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3"/>
  </bookViews>
  <sheets>
    <sheet name="дод 1 Джерела" sheetId="16" r:id="rId1"/>
    <sheet name="дод 2 Видатки" sheetId="19" r:id="rId2"/>
    <sheet name="дод 3 Трансферти" sheetId="20" r:id="rId3"/>
    <sheet name="дод 4 Програми" sheetId="11" r:id="rId4"/>
    <sheet name="дод 5 Бюдж розвитку" sheetId="17" r:id="rId5"/>
  </sheets>
  <externalReferences>
    <externalReference r:id="rId6"/>
  </externalReferences>
  <definedNames>
    <definedName name="_xlnm.Print_Titles" localSheetId="1">'дод 2 Видатки'!$17:$21</definedName>
    <definedName name="_xlnm.Print_Titles" localSheetId="3">'дод 4 Програми'!$20:$22</definedName>
    <definedName name="_xlnm.Print_Titles" localSheetId="4">'дод 5 Бюдж розвитку'!$20:$22</definedName>
    <definedName name="_xlnm.Print_Area" localSheetId="0">'дод 1 Джерела'!$A$1:$F$40</definedName>
    <definedName name="_xlnm.Print_Area" localSheetId="1">'дод 2 Видатки'!$A$1:$P$135</definedName>
    <definedName name="_xlnm.Print_Area" localSheetId="2">'дод 3 Трансферти'!$A$1:$D$62</definedName>
    <definedName name="_xlnm.Print_Area" localSheetId="3">'дод 4 Програми'!$A$1:$J$116</definedName>
    <definedName name="_xlnm.Print_Area" localSheetId="4">'дод 5 Бюдж розвитку'!$A$1:$K$94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20" l="1"/>
  <c r="D60" i="20"/>
  <c r="D59" i="20"/>
  <c r="D56" i="20"/>
  <c r="J24" i="17" l="1"/>
  <c r="J26" i="17" l="1"/>
  <c r="J24" i="11"/>
  <c r="I33" i="11"/>
  <c r="I24" i="11" s="1"/>
  <c r="G24" i="11" s="1"/>
  <c r="J33" i="11"/>
  <c r="H65" i="11"/>
  <c r="G55" i="11"/>
  <c r="H55" i="11"/>
  <c r="G62" i="11"/>
  <c r="H60" i="11"/>
  <c r="H59" i="11"/>
  <c r="G59" i="11"/>
  <c r="H24" i="11"/>
  <c r="I40" i="11"/>
  <c r="I39" i="11"/>
  <c r="H36" i="11"/>
  <c r="H31" i="11"/>
  <c r="D52" i="20"/>
  <c r="K23" i="19"/>
  <c r="J23" i="19"/>
  <c r="P23" i="19"/>
  <c r="O23" i="19"/>
  <c r="O38" i="19"/>
  <c r="K38" i="19" s="1"/>
  <c r="K28" i="19"/>
  <c r="K29" i="19"/>
  <c r="O29" i="19"/>
  <c r="O27" i="19"/>
  <c r="J27" i="19"/>
  <c r="K27" i="19"/>
  <c r="F124" i="19"/>
  <c r="F76" i="19"/>
  <c r="P59" i="19"/>
  <c r="E59" i="19"/>
  <c r="F59" i="19"/>
  <c r="P72" i="19"/>
  <c r="F72" i="19"/>
  <c r="E72" i="19"/>
  <c r="F34" i="19"/>
  <c r="F27" i="19"/>
  <c r="F24" i="19"/>
  <c r="D26" i="16"/>
  <c r="E28" i="16"/>
  <c r="D28" i="16"/>
  <c r="J38" i="19" l="1"/>
  <c r="P38" i="19" s="1"/>
  <c r="J87" i="17"/>
  <c r="J88" i="17" l="1"/>
  <c r="I99" i="11"/>
  <c r="H38" i="11"/>
  <c r="O112" i="19"/>
  <c r="F36" i="19"/>
  <c r="E25" i="16"/>
  <c r="C26" i="16" l="1"/>
  <c r="C25" i="16" s="1"/>
  <c r="C24" i="16" s="1"/>
  <c r="C29" i="16" s="1"/>
  <c r="J91" i="17" l="1"/>
  <c r="J90" i="17" s="1"/>
  <c r="J89" i="17" s="1"/>
  <c r="H88" i="17"/>
  <c r="G88" i="17"/>
  <c r="H87" i="17"/>
  <c r="G87" i="17"/>
  <c r="H84" i="17"/>
  <c r="I84" i="17" s="1"/>
  <c r="G77" i="17"/>
  <c r="G76" i="17"/>
  <c r="J75" i="17"/>
  <c r="H73" i="17"/>
  <c r="J72" i="17"/>
  <c r="H72" i="17"/>
  <c r="I72" i="17" s="1"/>
  <c r="J70" i="17"/>
  <c r="H70" i="17"/>
  <c r="I70" i="17" s="1"/>
  <c r="H67" i="17"/>
  <c r="G67" i="17"/>
  <c r="I64" i="17"/>
  <c r="H62" i="17"/>
  <c r="H61" i="17" s="1"/>
  <c r="I61" i="17" s="1"/>
  <c r="J61" i="17"/>
  <c r="H60" i="17"/>
  <c r="J59" i="17"/>
  <c r="H59" i="17"/>
  <c r="I59" i="17" s="1"/>
  <c r="J54" i="17"/>
  <c r="J53" i="17"/>
  <c r="J50" i="17"/>
  <c r="J49" i="17"/>
  <c r="J46" i="17"/>
  <c r="J45" i="17"/>
  <c r="J41" i="17"/>
  <c r="J40" i="17"/>
  <c r="J37" i="17"/>
  <c r="J36" i="17"/>
  <c r="J31" i="17"/>
  <c r="J30" i="17"/>
  <c r="J23" i="17" s="1"/>
  <c r="K88" i="17" l="1"/>
  <c r="K72" i="17"/>
  <c r="K87" i="17"/>
  <c r="I88" i="17"/>
  <c r="I87" i="17"/>
  <c r="J58" i="17"/>
  <c r="J57" i="17" s="1"/>
  <c r="J92" i="17" s="1"/>
  <c r="I94" i="11"/>
  <c r="G94" i="11" s="1"/>
  <c r="J97" i="11"/>
  <c r="I98" i="11"/>
  <c r="G98" i="11" s="1"/>
  <c r="I97" i="11"/>
  <c r="G97" i="11" s="1"/>
  <c r="I96" i="11"/>
  <c r="J96" i="11" s="1"/>
  <c r="I95" i="11"/>
  <c r="I93" i="11"/>
  <c r="J93" i="11" s="1"/>
  <c r="J102" i="11"/>
  <c r="I102" i="11"/>
  <c r="J42" i="11"/>
  <c r="I42" i="11"/>
  <c r="G51" i="11"/>
  <c r="G52" i="11"/>
  <c r="G45" i="11"/>
  <c r="H81" i="11"/>
  <c r="G89" i="11"/>
  <c r="H79" i="11"/>
  <c r="H44" i="11"/>
  <c r="G37" i="11"/>
  <c r="G39" i="11"/>
  <c r="H27" i="11"/>
  <c r="H35" i="11"/>
  <c r="G26" i="11"/>
  <c r="G93" i="11" l="1"/>
  <c r="I92" i="11"/>
  <c r="J98" i="11"/>
  <c r="G96" i="11"/>
  <c r="J94" i="11"/>
  <c r="D40" i="20"/>
  <c r="D32" i="20"/>
  <c r="D30" i="20"/>
  <c r="D26" i="20"/>
  <c r="O116" i="19"/>
  <c r="O114" i="19" s="1"/>
  <c r="J108" i="19"/>
  <c r="P108" i="19" s="1"/>
  <c r="O111" i="19"/>
  <c r="J111" i="19"/>
  <c r="P111" i="19" s="1"/>
  <c r="K111" i="19"/>
  <c r="O110" i="19"/>
  <c r="K110" i="19" s="1"/>
  <c r="K108" i="19"/>
  <c r="J107" i="19"/>
  <c r="P107" i="19" s="1"/>
  <c r="O109" i="19"/>
  <c r="O106" i="19"/>
  <c r="J106" i="19" s="1"/>
  <c r="P106" i="19" s="1"/>
  <c r="K106" i="19"/>
  <c r="J115" i="19"/>
  <c r="O40" i="19"/>
  <c r="K40" i="19"/>
  <c r="P54" i="19"/>
  <c r="P55" i="19"/>
  <c r="J35" i="19"/>
  <c r="P35" i="19" s="1"/>
  <c r="J32" i="19"/>
  <c r="J33" i="19"/>
  <c r="J34" i="19"/>
  <c r="J36" i="19"/>
  <c r="J37" i="19"/>
  <c r="F93" i="19"/>
  <c r="E101" i="19"/>
  <c r="P101" i="19" s="1"/>
  <c r="F91" i="19"/>
  <c r="G80" i="19"/>
  <c r="F80" i="19"/>
  <c r="E69" i="19"/>
  <c r="P69" i="19" s="1"/>
  <c r="F71" i="19"/>
  <c r="E44" i="19"/>
  <c r="E45" i="19"/>
  <c r="P45" i="19" s="1"/>
  <c r="G53" i="19"/>
  <c r="F53" i="19"/>
  <c r="E52" i="19"/>
  <c r="P52" i="19" s="1"/>
  <c r="G50" i="19"/>
  <c r="F50" i="19"/>
  <c r="E56" i="19"/>
  <c r="P56" i="19" s="1"/>
  <c r="F47" i="19"/>
  <c r="G47" i="19"/>
  <c r="J44" i="19"/>
  <c r="L43" i="19"/>
  <c r="L40" i="19" s="1"/>
  <c r="F43" i="19"/>
  <c r="G43" i="19"/>
  <c r="F42" i="19"/>
  <c r="G42" i="19"/>
  <c r="E37" i="19"/>
  <c r="F25" i="19"/>
  <c r="F33" i="19"/>
  <c r="F23" i="19" s="1"/>
  <c r="P44" i="19" l="1"/>
  <c r="O104" i="19"/>
  <c r="K109" i="19"/>
  <c r="K107" i="19"/>
  <c r="J110" i="19"/>
  <c r="P110" i="19" s="1"/>
  <c r="P37" i="19"/>
  <c r="H122" i="19" l="1"/>
  <c r="H121" i="19" s="1"/>
  <c r="G51" i="19" l="1"/>
  <c r="F51" i="19" s="1"/>
  <c r="E51" i="19" l="1"/>
  <c r="P51" i="19" s="1"/>
  <c r="F40" i="19"/>
  <c r="E62" i="19"/>
  <c r="P62" i="19" s="1"/>
  <c r="E63" i="19"/>
  <c r="P63" i="19" s="1"/>
  <c r="H108" i="11" l="1"/>
  <c r="H107" i="11" s="1"/>
  <c r="G109" i="11"/>
  <c r="J101" i="11" l="1"/>
  <c r="J100" i="11" s="1"/>
  <c r="I101" i="11"/>
  <c r="I100" i="11" s="1"/>
  <c r="H101" i="11"/>
  <c r="H100" i="11" s="1"/>
  <c r="G102" i="11"/>
  <c r="G100" i="11" l="1"/>
  <c r="G101" i="11"/>
  <c r="N114" i="19" l="1"/>
  <c r="M114" i="19"/>
  <c r="L114" i="19"/>
  <c r="J114" i="19" s="1"/>
  <c r="J116" i="19"/>
  <c r="K116" i="19"/>
  <c r="K114" i="19" s="1"/>
  <c r="E116" i="19"/>
  <c r="F115" i="19"/>
  <c r="J109" i="19"/>
  <c r="G46" i="19"/>
  <c r="P116" i="19" l="1"/>
  <c r="I81" i="11"/>
  <c r="G81" i="11" s="1"/>
  <c r="J85" i="11"/>
  <c r="G30" i="11"/>
  <c r="J30" i="11"/>
  <c r="G84" i="11"/>
  <c r="J84" i="11"/>
  <c r="J29" i="11"/>
  <c r="J81" i="11" l="1"/>
  <c r="H43" i="11"/>
  <c r="M40" i="19" l="1"/>
  <c r="H40" i="19" l="1"/>
  <c r="G87" i="11" l="1"/>
  <c r="I106" i="11"/>
  <c r="J106" i="11"/>
  <c r="G110" i="11"/>
  <c r="G108" i="11"/>
  <c r="G107" i="11"/>
  <c r="H92" i="11"/>
  <c r="G86" i="11"/>
  <c r="G57" i="11"/>
  <c r="H106" i="11" l="1"/>
  <c r="H67" i="11"/>
  <c r="J55" i="11"/>
  <c r="I55" i="11"/>
  <c r="H42" i="11"/>
  <c r="G42" i="11" s="1"/>
  <c r="G53" i="11"/>
  <c r="G106" i="11" l="1"/>
  <c r="N104" i="19"/>
  <c r="M104" i="19"/>
  <c r="L104" i="19"/>
  <c r="I104" i="19"/>
  <c r="H104" i="19"/>
  <c r="G104" i="19"/>
  <c r="F104" i="19"/>
  <c r="K112" i="19"/>
  <c r="K104" i="19" s="1"/>
  <c r="J112" i="19"/>
  <c r="E109" i="19"/>
  <c r="E112" i="19"/>
  <c r="P112" i="19" l="1"/>
  <c r="O93" i="19"/>
  <c r="N93" i="19"/>
  <c r="M93" i="19"/>
  <c r="L93" i="19"/>
  <c r="K93" i="19"/>
  <c r="I93" i="19"/>
  <c r="H93" i="19"/>
  <c r="G93" i="19"/>
  <c r="J97" i="19"/>
  <c r="E97" i="19"/>
  <c r="P97" i="19" l="1"/>
  <c r="K26" i="19"/>
  <c r="G128" i="19" l="1"/>
  <c r="F128" i="19"/>
  <c r="E131" i="19"/>
  <c r="P131" i="19" s="1"/>
  <c r="G122" i="19"/>
  <c r="F122" i="19"/>
  <c r="E126" i="19"/>
  <c r="P126" i="19" s="1"/>
  <c r="E124" i="19"/>
  <c r="P124" i="19" s="1"/>
  <c r="E125" i="19"/>
  <c r="P125" i="19" s="1"/>
  <c r="G119" i="19"/>
  <c r="E99" i="19"/>
  <c r="P99" i="19" s="1"/>
  <c r="O78" i="19"/>
  <c r="N78" i="19"/>
  <c r="M78" i="19"/>
  <c r="L78" i="19"/>
  <c r="I78" i="19"/>
  <c r="H78" i="19"/>
  <c r="G78" i="19"/>
  <c r="F78" i="19"/>
  <c r="H64" i="19"/>
  <c r="G64" i="19"/>
  <c r="G61" i="19"/>
  <c r="O59" i="19"/>
  <c r="N59" i="19"/>
  <c r="M59" i="19"/>
  <c r="L59" i="19"/>
  <c r="K59" i="19"/>
  <c r="I59" i="19"/>
  <c r="E57" i="19"/>
  <c r="P57" i="19" s="1"/>
  <c r="G59" i="19" l="1"/>
  <c r="H59" i="19"/>
  <c r="G49" i="19" l="1"/>
  <c r="G40" i="19" s="1"/>
  <c r="G114" i="19" l="1"/>
  <c r="E68" i="19" l="1"/>
  <c r="P68" i="19" s="1"/>
  <c r="E65" i="19"/>
  <c r="P65" i="19" s="1"/>
  <c r="E66" i="19"/>
  <c r="P66" i="19" s="1"/>
  <c r="D34" i="20" l="1"/>
  <c r="G25" i="11" l="1"/>
  <c r="N23" i="19" l="1"/>
  <c r="M23" i="19"/>
  <c r="L23" i="19"/>
  <c r="I23" i="19"/>
  <c r="H23" i="19"/>
  <c r="G23" i="19"/>
  <c r="G50" i="11" l="1"/>
  <c r="N40" i="19" l="1"/>
  <c r="I40" i="19"/>
  <c r="K85" i="19"/>
  <c r="K83" i="19"/>
  <c r="K82" i="19"/>
  <c r="K80" i="19"/>
  <c r="P109" i="19"/>
  <c r="J123" i="19"/>
  <c r="J102" i="19"/>
  <c r="I128" i="19"/>
  <c r="K128" i="19"/>
  <c r="L128" i="19"/>
  <c r="M128" i="19"/>
  <c r="N128" i="19"/>
  <c r="O128" i="19"/>
  <c r="H128" i="19"/>
  <c r="E35" i="16"/>
  <c r="E32" i="16" s="1"/>
  <c r="K78" i="19" l="1"/>
  <c r="J95" i="11"/>
  <c r="G95" i="11"/>
  <c r="J130" i="19" l="1"/>
  <c r="E130" i="19"/>
  <c r="J129" i="19"/>
  <c r="E129" i="19"/>
  <c r="K127" i="19"/>
  <c r="G127" i="19"/>
  <c r="F127" i="19"/>
  <c r="I127" i="19"/>
  <c r="H127" i="19"/>
  <c r="E123" i="19"/>
  <c r="O122" i="19"/>
  <c r="O121" i="19" s="1"/>
  <c r="N122" i="19"/>
  <c r="N121" i="19" s="1"/>
  <c r="M122" i="19"/>
  <c r="M121" i="19" s="1"/>
  <c r="L122" i="19"/>
  <c r="L121" i="19" s="1"/>
  <c r="K122" i="19"/>
  <c r="K121" i="19" s="1"/>
  <c r="I122" i="19"/>
  <c r="I121" i="19" s="1"/>
  <c r="G121" i="19"/>
  <c r="F121" i="19"/>
  <c r="E120" i="19"/>
  <c r="P120" i="19" s="1"/>
  <c r="J119" i="19"/>
  <c r="J118" i="19" s="1"/>
  <c r="J117" i="19" s="1"/>
  <c r="E119" i="19"/>
  <c r="O118" i="19"/>
  <c r="O117" i="19" s="1"/>
  <c r="N118" i="19"/>
  <c r="N117" i="19" s="1"/>
  <c r="M118" i="19"/>
  <c r="M117" i="19" s="1"/>
  <c r="L118" i="19"/>
  <c r="L117" i="19" s="1"/>
  <c r="K118" i="19"/>
  <c r="K117" i="19" s="1"/>
  <c r="I118" i="19"/>
  <c r="I117" i="19" s="1"/>
  <c r="H118" i="19"/>
  <c r="H117" i="19" s="1"/>
  <c r="G118" i="19"/>
  <c r="G117" i="19" s="1"/>
  <c r="F118" i="19"/>
  <c r="F117" i="19" s="1"/>
  <c r="J113" i="19"/>
  <c r="E115" i="19"/>
  <c r="O113" i="19"/>
  <c r="M113" i="19"/>
  <c r="L113" i="19"/>
  <c r="K113" i="19"/>
  <c r="I114" i="19"/>
  <c r="I113" i="19" s="1"/>
  <c r="H114" i="19"/>
  <c r="H113" i="19" s="1"/>
  <c r="G113" i="19"/>
  <c r="F114" i="19"/>
  <c r="F113" i="19" s="1"/>
  <c r="N113" i="19"/>
  <c r="J105" i="19"/>
  <c r="J104" i="19" s="1"/>
  <c r="E105" i="19"/>
  <c r="E104" i="19" s="1"/>
  <c r="O103" i="19"/>
  <c r="N103" i="19"/>
  <c r="M103" i="19"/>
  <c r="L103" i="19"/>
  <c r="K103" i="19"/>
  <c r="I103" i="19"/>
  <c r="H103" i="19"/>
  <c r="G103" i="19"/>
  <c r="E102" i="19"/>
  <c r="J100" i="19"/>
  <c r="E100" i="19"/>
  <c r="J98" i="19"/>
  <c r="E98" i="19"/>
  <c r="J96" i="19"/>
  <c r="E96" i="19"/>
  <c r="J95" i="19"/>
  <c r="E95" i="19"/>
  <c r="K92" i="19"/>
  <c r="E94" i="19"/>
  <c r="O92" i="19"/>
  <c r="N92" i="19"/>
  <c r="M92" i="19"/>
  <c r="L92" i="19"/>
  <c r="I92" i="19"/>
  <c r="H92" i="19"/>
  <c r="G92" i="19"/>
  <c r="F92" i="19"/>
  <c r="J91" i="19"/>
  <c r="E91" i="19"/>
  <c r="J90" i="19"/>
  <c r="E90" i="19"/>
  <c r="J89" i="19"/>
  <c r="E89" i="19"/>
  <c r="J88" i="19"/>
  <c r="E88" i="19"/>
  <c r="J87" i="19"/>
  <c r="E87" i="19"/>
  <c r="J86" i="19"/>
  <c r="E86" i="19"/>
  <c r="J85" i="19"/>
  <c r="E85" i="19"/>
  <c r="J84" i="19"/>
  <c r="E84" i="19"/>
  <c r="J83" i="19"/>
  <c r="E83" i="19"/>
  <c r="J82" i="19"/>
  <c r="E82" i="19"/>
  <c r="J81" i="19"/>
  <c r="E81" i="19"/>
  <c r="J80" i="19"/>
  <c r="E80" i="19"/>
  <c r="J79" i="19"/>
  <c r="E79" i="19"/>
  <c r="O77" i="19"/>
  <c r="N77" i="19"/>
  <c r="M77" i="19"/>
  <c r="L77" i="19"/>
  <c r="K77" i="19"/>
  <c r="I77" i="19"/>
  <c r="H77" i="19"/>
  <c r="G77" i="19"/>
  <c r="F77" i="19"/>
  <c r="J76" i="19"/>
  <c r="E76" i="19"/>
  <c r="J75" i="19"/>
  <c r="E75" i="19"/>
  <c r="O74" i="19"/>
  <c r="O73" i="19" s="1"/>
  <c r="N74" i="19"/>
  <c r="N73" i="19" s="1"/>
  <c r="M74" i="19"/>
  <c r="M73" i="19" s="1"/>
  <c r="L74" i="19"/>
  <c r="L73" i="19" s="1"/>
  <c r="K74" i="19"/>
  <c r="K73" i="19" s="1"/>
  <c r="I74" i="19"/>
  <c r="I73" i="19" s="1"/>
  <c r="H74" i="19"/>
  <c r="H73" i="19" s="1"/>
  <c r="G74" i="19"/>
  <c r="G73" i="19" s="1"/>
  <c r="F74" i="19"/>
  <c r="F73" i="19" s="1"/>
  <c r="J71" i="19"/>
  <c r="E71" i="19"/>
  <c r="J70" i="19"/>
  <c r="E70" i="19"/>
  <c r="J67" i="19"/>
  <c r="E67" i="19"/>
  <c r="J64" i="19"/>
  <c r="E64" i="19"/>
  <c r="J61" i="19"/>
  <c r="E61" i="19"/>
  <c r="J60" i="19"/>
  <c r="E60" i="19"/>
  <c r="O58" i="19"/>
  <c r="N58" i="19"/>
  <c r="M58" i="19"/>
  <c r="L58" i="19"/>
  <c r="K58" i="19"/>
  <c r="I58" i="19"/>
  <c r="H58" i="19"/>
  <c r="G58" i="19"/>
  <c r="F58" i="19"/>
  <c r="E53" i="19"/>
  <c r="E50" i="19"/>
  <c r="E49" i="19"/>
  <c r="P49" i="19" s="1"/>
  <c r="E48" i="19"/>
  <c r="P48" i="19" s="1"/>
  <c r="E47" i="19"/>
  <c r="P47" i="19" s="1"/>
  <c r="J46" i="19"/>
  <c r="F39" i="19" s="1"/>
  <c r="J43" i="19"/>
  <c r="E43" i="19"/>
  <c r="J42" i="19"/>
  <c r="E42" i="19"/>
  <c r="J41" i="19"/>
  <c r="E41" i="19"/>
  <c r="N39" i="19"/>
  <c r="M39" i="19"/>
  <c r="K39" i="19"/>
  <c r="H39" i="19"/>
  <c r="O39" i="19"/>
  <c r="L39" i="19"/>
  <c r="I39" i="19"/>
  <c r="E36" i="19"/>
  <c r="E34" i="19"/>
  <c r="E33" i="19"/>
  <c r="E32" i="19"/>
  <c r="J31" i="19"/>
  <c r="E31" i="19"/>
  <c r="J30" i="19"/>
  <c r="E30" i="19"/>
  <c r="J29" i="19"/>
  <c r="E29" i="19"/>
  <c r="J28" i="19"/>
  <c r="E28" i="19"/>
  <c r="E27" i="19"/>
  <c r="J26" i="19"/>
  <c r="E26" i="19"/>
  <c r="J25" i="19"/>
  <c r="E25" i="19"/>
  <c r="J24" i="19"/>
  <c r="E24" i="19"/>
  <c r="O22" i="19"/>
  <c r="N22" i="19"/>
  <c r="M22" i="19"/>
  <c r="K22" i="19"/>
  <c r="I22" i="19"/>
  <c r="H22" i="19"/>
  <c r="G22" i="19"/>
  <c r="F22" i="19"/>
  <c r="L22" i="19"/>
  <c r="J22" i="19" l="1"/>
  <c r="E114" i="19"/>
  <c r="E113" i="19" s="1"/>
  <c r="P113" i="19" s="1"/>
  <c r="P115" i="19"/>
  <c r="J40" i="19"/>
  <c r="J39" i="19" s="1"/>
  <c r="P104" i="19"/>
  <c r="E58" i="19"/>
  <c r="E93" i="19"/>
  <c r="E92" i="19" s="1"/>
  <c r="P53" i="19"/>
  <c r="E23" i="19"/>
  <c r="H132" i="19"/>
  <c r="K132" i="19"/>
  <c r="E128" i="19"/>
  <c r="E127" i="19" s="1"/>
  <c r="J93" i="19"/>
  <c r="J92" i="19" s="1"/>
  <c r="P123" i="19"/>
  <c r="P122" i="19" s="1"/>
  <c r="E122" i="19"/>
  <c r="E121" i="19" s="1"/>
  <c r="J59" i="19"/>
  <c r="J58" i="19" s="1"/>
  <c r="E103" i="19"/>
  <c r="F103" i="19" s="1"/>
  <c r="F132" i="19" s="1"/>
  <c r="E78" i="19"/>
  <c r="E77" i="19" s="1"/>
  <c r="J78" i="19"/>
  <c r="J77" i="19" s="1"/>
  <c r="E46" i="19"/>
  <c r="E40" i="19" s="1"/>
  <c r="P41" i="19"/>
  <c r="P33" i="19"/>
  <c r="J103" i="19"/>
  <c r="P96" i="19"/>
  <c r="E118" i="19"/>
  <c r="E117" i="19" s="1"/>
  <c r="P117" i="19" s="1"/>
  <c r="P25" i="19"/>
  <c r="P31" i="19"/>
  <c r="P36" i="19"/>
  <c r="P98" i="19"/>
  <c r="P79" i="19"/>
  <c r="P94" i="19"/>
  <c r="P95" i="19"/>
  <c r="P80" i="19"/>
  <c r="P88" i="19"/>
  <c r="P82" i="19"/>
  <c r="P83" i="19"/>
  <c r="P87" i="19"/>
  <c r="P91" i="19"/>
  <c r="P43" i="19"/>
  <c r="P61" i="19"/>
  <c r="P81" i="19"/>
  <c r="P89" i="19"/>
  <c r="G39" i="19"/>
  <c r="G132" i="19" s="1"/>
  <c r="P34" i="19"/>
  <c r="P50" i="19"/>
  <c r="P75" i="19"/>
  <c r="P70" i="19"/>
  <c r="P24" i="19"/>
  <c r="P42" i="19"/>
  <c r="P64" i="19"/>
  <c r="P76" i="19"/>
  <c r="P129" i="19"/>
  <c r="J74" i="19"/>
  <c r="J73" i="19" s="1"/>
  <c r="P32" i="19"/>
  <c r="L132" i="19"/>
  <c r="P30" i="19"/>
  <c r="P27" i="19"/>
  <c r="J128" i="19"/>
  <c r="J127" i="19" s="1"/>
  <c r="J122" i="19"/>
  <c r="J121" i="19" s="1"/>
  <c r="P85" i="19"/>
  <c r="P100" i="19"/>
  <c r="P130" i="19"/>
  <c r="P71" i="19"/>
  <c r="P84" i="19"/>
  <c r="P105" i="19"/>
  <c r="P119" i="19"/>
  <c r="O132" i="19"/>
  <c r="I132" i="19"/>
  <c r="P28" i="19"/>
  <c r="P102" i="19"/>
  <c r="P29" i="19"/>
  <c r="P67" i="19"/>
  <c r="M132" i="19"/>
  <c r="P26" i="19"/>
  <c r="N132" i="19"/>
  <c r="P90" i="19"/>
  <c r="E74" i="19"/>
  <c r="P60" i="19"/>
  <c r="P86" i="19"/>
  <c r="P40" i="19" l="1"/>
  <c r="P114" i="19"/>
  <c r="P93" i="19"/>
  <c r="E22" i="19"/>
  <c r="P22" i="19" s="1"/>
  <c r="P128" i="19"/>
  <c r="P118" i="19"/>
  <c r="P46" i="19"/>
  <c r="P78" i="19"/>
  <c r="P77" i="19"/>
  <c r="P121" i="19"/>
  <c r="P103" i="19"/>
  <c r="P127" i="19"/>
  <c r="J132" i="19"/>
  <c r="P58" i="19"/>
  <c r="P92" i="19"/>
  <c r="E73" i="19"/>
  <c r="P73" i="19" s="1"/>
  <c r="P74" i="19"/>
  <c r="E39" i="19"/>
  <c r="P39" i="19" l="1"/>
  <c r="E132" i="19"/>
  <c r="P132" i="19" s="1"/>
  <c r="D22" i="20" l="1"/>
  <c r="I31" i="11" l="1"/>
  <c r="H104" i="11"/>
  <c r="H103" i="11" s="1"/>
  <c r="I104" i="11"/>
  <c r="I103" i="11" s="1"/>
  <c r="J104" i="11"/>
  <c r="J103" i="11" s="1"/>
  <c r="G105" i="11"/>
  <c r="G104" i="11" l="1"/>
  <c r="G103" i="11" s="1"/>
  <c r="G69" i="11" l="1"/>
  <c r="G58" i="11"/>
  <c r="G60" i="11"/>
  <c r="H66" i="11" l="1"/>
  <c r="G79" i="11"/>
  <c r="J23" i="11" l="1"/>
  <c r="H23" i="11"/>
  <c r="G32" i="11"/>
  <c r="G27" i="11" l="1"/>
  <c r="G99" i="11" l="1"/>
  <c r="G65" i="11"/>
  <c r="D25" i="16" l="1"/>
  <c r="J99" i="11" l="1"/>
  <c r="J92" i="11" s="1"/>
  <c r="G92" i="11" l="1"/>
  <c r="G90" i="11"/>
  <c r="G88" i="11"/>
  <c r="G85" i="11"/>
  <c r="G83" i="11"/>
  <c r="G82" i="11"/>
  <c r="J67" i="11"/>
  <c r="I67" i="11"/>
  <c r="G67" i="11" s="1"/>
  <c r="G78" i="11"/>
  <c r="G77" i="11"/>
  <c r="G76" i="11"/>
  <c r="G75" i="11"/>
  <c r="G74" i="11"/>
  <c r="G73" i="11"/>
  <c r="G72" i="11"/>
  <c r="G71" i="11"/>
  <c r="G70" i="11"/>
  <c r="G68" i="11"/>
  <c r="G61" i="11"/>
  <c r="G56" i="11"/>
  <c r="G44" i="11"/>
  <c r="G46" i="11"/>
  <c r="G47" i="11"/>
  <c r="G48" i="11"/>
  <c r="G49" i="11"/>
  <c r="G43" i="11"/>
  <c r="G31" i="11" l="1"/>
  <c r="G33" i="11"/>
  <c r="G34" i="11"/>
  <c r="G35" i="11"/>
  <c r="G36" i="11"/>
  <c r="G38" i="11"/>
  <c r="G29" i="11"/>
  <c r="G28" i="11"/>
  <c r="D53" i="20" l="1"/>
  <c r="D51" i="20"/>
  <c r="D38" i="20"/>
  <c r="D36" i="20"/>
  <c r="D28" i="20"/>
  <c r="D24" i="20"/>
  <c r="D45" i="20" l="1"/>
  <c r="D44" i="20"/>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80" i="11"/>
  <c r="I80" i="11"/>
  <c r="J66" i="11"/>
  <c r="J64" i="11"/>
  <c r="J63" i="11" s="1"/>
  <c r="I64" i="11"/>
  <c r="I63" i="11" s="1"/>
  <c r="H64" i="11"/>
  <c r="J54" i="11"/>
  <c r="H54" i="11"/>
  <c r="J41" i="11"/>
  <c r="H41" i="11"/>
  <c r="H63" i="11" l="1"/>
  <c r="G64" i="11"/>
  <c r="I66" i="11"/>
  <c r="G66" i="11" s="1"/>
  <c r="J91" i="11"/>
  <c r="J111" i="11" s="1"/>
  <c r="I91" i="11"/>
  <c r="I54" i="11"/>
  <c r="G54" i="11" s="1"/>
  <c r="H91" i="11"/>
  <c r="I41" i="11"/>
  <c r="G41" i="11" l="1"/>
  <c r="I111" i="11"/>
  <c r="G63" i="11"/>
  <c r="G91" i="11"/>
  <c r="H80" i="11"/>
  <c r="H111" i="11" s="1"/>
  <c r="G80" i="11" l="1"/>
  <c r="G111" i="11"/>
</calcChain>
</file>

<file path=xl/sharedStrings.xml><?xml version="1.0" encoding="utf-8"?>
<sst xmlns="http://schemas.openxmlformats.org/spreadsheetml/2006/main" count="1380" uniqueCount="549">
  <si>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</si>
  <si>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</si>
  <si>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</si>
  <si>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</si>
  <si>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</si>
  <si>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</si>
  <si>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</si>
  <si>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</si>
  <si>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</si>
  <si>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</si>
  <si>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</si>
  <si>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</si>
  <si>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</si>
  <si>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</si>
  <si>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</si>
  <si>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</si>
  <si>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</si>
  <si>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</si>
  <si>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</si>
  <si>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</si>
  <si>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</si>
  <si>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</si>
  <si>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</si>
  <si>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</si>
  <si>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</si>
  <si>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</si>
  <si>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</si>
  <si>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</si>
  <si>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</si>
  <si>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</si>
  <si>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</si>
  <si>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</si>
  <si>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</si>
  <si>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</si>
  <si>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</si>
  <si>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</si>
  <si>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</si>
  <si>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</si>
  <si>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</si>
  <si>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</si>
  <si>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</si>
  <si>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</si>
  <si>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</si>
  <si>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</si>
  <si>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</si>
  <si>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</si>
  <si>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</si>
  <si>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</si>
  <si>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</si>
  <si>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</si>
  <si>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</si>
  <si>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</si>
  <si>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</si>
  <si>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</si>
  <si>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</si>
  <si>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</si>
  <si>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</si>
  <si>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</si>
  <si>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</si>
  <si>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</si>
  <si>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</si>
  <si>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</si>
  <si>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</si>
  <si>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</si>
  <si>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</si>
  <si>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</si>
  <si>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</si>
  <si>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</si>
  <si>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</si>
  <si>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</si>
  <si>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</si>
  <si>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</si>
  <si>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</si>
  <si>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</si>
  <si>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</si>
  <si>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</si>
  <si>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</si>
  <si>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</si>
  <si>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</si>
  <si>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</si>
  <si>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</si>
  <si>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</si>
  <si>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</si>
  <si>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</si>
  <si>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</si>
  <si>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</si>
  <si>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</si>
  <si>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</si>
  <si>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</si>
  <si>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</si>
  <si>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</si>
  <si>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</si>
  <si>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</si>
  <si>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</si>
  <si>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</si>
  <si>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</si>
  <si>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</si>
  <si>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</si>
  <si>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</si>
  <si>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</si>
  <si>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</si>
  <si>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</si>
  <si>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</si>
  <si>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</si>
  <si>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</si>
  <si>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</si>
  <si>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</si>
  <si>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</si>
  <si>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</si>
  <si>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</si>
  <si>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</si>
  <si>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</si>
  <si>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</si>
  <si>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</si>
  <si>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</si>
  <si>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</si>
  <si>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</si>
  <si>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</si>
  <si>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</si>
  <si>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</si>
  <si>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</si>
  <si>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</si>
  <si>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</si>
  <si>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</si>
  <si>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</si>
  <si>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</si>
  <si>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</si>
  <si>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</si>
  <si>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</si>
  <si>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</si>
  <si>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</si>
  <si>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</si>
  <si>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</si>
  <si>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</si>
  <si>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</si>
  <si>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</si>
  <si>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</si>
  <si>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</si>
  <si>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</si>
  <si>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</si>
  <si>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</si>
  <si>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</si>
  <si>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</si>
  <si>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</si>
  <si>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</si>
  <si>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</si>
  <si>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</si>
  <si>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</si>
  <si>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</si>
  <si>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</si>
  <si>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</si>
  <si>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</si>
  <si>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</si>
  <si>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</si>
  <si>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</si>
  <si>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</si>
  <si>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</si>
  <si>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</si>
  <si>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</si>
  <si>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</si>
  <si>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</si>
  <si>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</si>
  <si>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</si>
  <si>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</si>
  <si>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</si>
  <si>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</si>
  <si>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</si>
  <si>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</si>
  <si>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</si>
  <si>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</si>
  <si>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</si>
  <si>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</si>
  <si>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</si>
  <si>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</si>
  <si>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</si>
  <si>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</si>
  <si>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</si>
  <si>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</si>
  <si>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</si>
  <si>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</si>
  <si>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</si>
  <si>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</si>
  <si>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</si>
  <si>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</si>
  <si>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</si>
  <si>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</si>
  <si>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</si>
  <si>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</si>
  <si>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</si>
  <si>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</si>
  <si>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</si>
  <si>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</si>
  <si>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</si>
  <si>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</si>
  <si>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</si>
  <si>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</si>
  <si>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</si>
  <si>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</si>
  <si>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</si>
  <si>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</si>
  <si>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</si>
  <si>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</si>
  <si>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</si>
  <si>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</si>
  <si>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</si>
  <si>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</si>
  <si>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</si>
  <si>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</si>
  <si>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</si>
  <si>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</si>
  <si>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</si>
  <si>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</si>
  <si>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</si>
  <si>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</si>
  <si>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</si>
  <si>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</si>
  <si>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</si>
  <si>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</si>
  <si>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</si>
  <si>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</si>
  <si>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</si>
  <si>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</si>
  <si>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</si>
  <si>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</si>
  <si>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</si>
  <si>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</si>
  <si>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</si>
  <si>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</si>
  <si>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</si>
  <si>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</si>
  <si>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</si>
  <si>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</si>
  <si>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</si>
  <si>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</si>
  <si>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</si>
  <si>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</si>
  <si>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</si>
  <si>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</si>
  <si>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</si>
  <si>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</si>
  <si>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</si>
  <si>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</si>
  <si>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</si>
  <si>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</si>
  <si>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</si>
  <si>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</si>
  <si>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</si>
  <si>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</si>
  <si>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</si>
  <si>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</si>
  <si>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</si>
  <si>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</si>
  <si>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</si>
  <si>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</si>
  <si>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</si>
  <si>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</si>
  <si>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</si>
  <si>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</si>
  <si>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</si>
  <si>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</si>
  <si>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</si>
  <si>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</si>
  <si>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</si>
  <si>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</si>
  <si>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</si>
  <si>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</si>
  <si>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</si>
  <si>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</si>
  <si>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</si>
  <si>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</si>
  <si>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</si>
  <si>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</si>
  <si>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</si>
  <si>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</si>
  <si>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</si>
  <si>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</si>
  <si>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</si>
  <si>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</si>
  <si>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</si>
  <si>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</si>
  <si>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</si>
  <si>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</si>
  <si>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</si>
  <si>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</si>
  <si>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</si>
  <si>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</si>
  <si>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</si>
  <si>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</si>
  <si>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</si>
  <si>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</si>
  <si>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</si>
  <si>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</si>
  <si>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</si>
  <si>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</si>
  <si>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</si>
  <si>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</si>
  <si>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</si>
  <si>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</si>
  <si>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</si>
  <si>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</si>
  <si>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</si>
  <si>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</si>
  <si>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</si>
  <si>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</si>
  <si>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</si>
  <si>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</si>
  <si>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</si>
  <si>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</si>
  <si>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</si>
  <si>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</si>
  <si>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</si>
  <si>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</si>
  <si>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</si>
  <si>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</si>
  <si>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</si>
  <si>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</si>
  <si>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</si>
  <si>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</si>
  <si>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</si>
  <si>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</si>
  <si>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</si>
  <si>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</si>
  <si>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</si>
  <si>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</si>
  <si>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</si>
  <si>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</si>
  <si>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</si>
  <si>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</si>
  <si>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</si>
  <si>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</si>
  <si>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</si>
  <si>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</si>
  <si>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</si>
  <si>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</si>
  <si>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</si>
  <si>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</si>
  <si>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</si>
  <si>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</si>
  <si>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</si>
  <si>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</si>
  <si>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</si>
  <si>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</si>
  <si>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</si>
  <si>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</si>
  <si>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</si>
  <si>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</si>
  <si>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</si>
  <si>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</si>
  <si>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</si>
  <si>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</si>
  <si>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</si>
  <si>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</si>
  <si>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</si>
  <si>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</si>
  <si>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</si>
  <si>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</si>
  <si>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</si>
  <si>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</si>
  <si>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</si>
  <si>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</si>
  <si>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</si>
  <si>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</si>
  <si>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</si>
  <si>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</si>
  <si>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</si>
  <si>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</si>
  <si>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</si>
  <si>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</si>
  <si>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</si>
  <si>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</si>
  <si>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</si>
  <si>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</si>
  <si>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</si>
  <si>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</si>
  <si>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</si>
  <si>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</si>
  <si>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</si>
  <si>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</si>
  <si>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</si>
  <si>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</si>
  <si>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</si>
  <si>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</si>
  <si>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</si>
  <si>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</si>
  <si>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</si>
  <si>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</si>
  <si>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</si>
  <si>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</si>
  <si>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</si>
  <si>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</si>
  <si>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</si>
  <si>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</si>
  <si>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</si>
  <si>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</si>
  <si>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</si>
  <si>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</si>
  <si>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</si>
  <si>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</si>
  <si>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</si>
  <si>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</si>
  <si>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</si>
  <si>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</si>
  <si>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</si>
  <si>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</si>
  <si>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</si>
  <si>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</si>
  <si>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</si>
  <si>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</si>
  <si>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</si>
  <si>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</si>
  <si>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</si>
  <si>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</si>
  <si>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</si>
  <si>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</si>
  <si>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</si>
  <si>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</si>
  <si>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</si>
  <si>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</si>
  <si>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</si>
  <si>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</si>
  <si>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</si>
  <si>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</si>
  <si>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</si>
  <si>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</si>
  <si>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</si>
  <si>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</si>
  <si>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</si>
  <si>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</si>
  <si>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</si>
  <si>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</si>
  <si>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</si>
  <si>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</si>
  <si>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</si>
  <si>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</si>
  <si>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</si>
  <si>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</si>
  <si>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</si>
  <si>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</si>
  <si>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</si>
  <si>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</si>
  <si>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</si>
  <si>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</si>
  <si>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</si>
  <si>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</si>
  <si>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</si>
  <si>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</si>
  <si>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</si>
  <si>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</si>
  <si>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</si>
  <si>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</si>
  <si>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</si>
  <si>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</si>
  <si>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</si>
  <si>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</si>
  <si>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</si>
  <si>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</si>
  <si>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Рішення ЮМР від 13.07.2023 року № 1401-VIІI з внесеними змінами від                    2025 року №        -VIIІ шляхом викладення у новій редакції</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</si>
  <si>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</si>
  <si>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</si>
  <si>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</si>
  <si>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</si>
  <si>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</si>
  <si>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</si>
  <si>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</si>
  <si>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</si>
  <si>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</si>
  <si>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</si>
  <si>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</si>
  <si>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</si>
  <si>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</si>
  <si>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</si>
  <si>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</si>
  <si>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</si>
  <si>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</si>
  <si>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</si>
  <si>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</si>
  <si>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</si>
  <si>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</si>
  <si>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</si>
  <si>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</si>
  <si>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</si>
  <si>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</si>
  <si>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</si>
  <si>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</si>
  <si>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</si>
  <si>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</si>
  <si>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</si>
  <si>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</si>
  <si>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</si>
  <si>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</si>
  <si>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</si>
  <si>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</si>
  <si>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</si>
  <si>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</si>
  <si>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</si>
  <si>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</si>
  <si>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</si>
  <si>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</si>
  <si>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</si>
  <si>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</si>
  <si>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</si>
  <si>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</si>
  <si>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</si>
  <si>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</si>
  <si>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</si>
  <si>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</si>
  <si>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</si>
  <si>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</si>
  <si>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</si>
  <si>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</si>
  <si>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</si>
  <si>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</si>
  <si>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</si>
  <si>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</si>
  <si>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 xml:space="preserve">Рішення ПМР від  06.03.2025 року № 2109-VIIІ  </t>
  </si>
  <si>
    <t>Рішення ЮМР від 28.10.2022 року № 1121-VIІI з внесеними змінами від 06.03.       2025 року № 2113-VIIІ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</si>
  <si>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</si>
  <si>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</si>
  <si>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</si>
  <si>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</si>
  <si>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</si>
  <si>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Рішення ЮМР від 07.03.2023 року               №1299-VIIІ з внесеними змінами від  06.03.2025 року № 2075 -VIII шляхом викладення у новій редакції</t>
  </si>
  <si>
    <t>Рішення ЮМР від 24.12.2024 року № 2053-VIІI з внесеними змінами від 06.03.2025 року № 2128 -VIIІ шляхом викладення у новій редакції</t>
  </si>
  <si>
    <t>Рішення Южненської міської ради  від 29.04.2021 року №360-VIIІ з внесеними змінами  від 06.03.2025  року № 2136-VIII, шляхом викладення у новій редакції</t>
  </si>
  <si>
    <t>Рішення ЮМР від 14.10.2024 року № 1892-VІІІ з внесеними змінами від 24.12.2024 року  № 2003-VIIІ шляхом викладення у новій редакції</t>
  </si>
  <si>
    <t>від               2025 року</t>
  </si>
  <si>
    <t xml:space="preserve">№ </t>
  </si>
  <si>
    <t>від                  2025 року</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</si>
  <si>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</si>
  <si>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</si>
  <si>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</si>
  <si>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</si>
  <si>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</si>
  <si>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</si>
  <si>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від                        2025 року</t>
  </si>
  <si>
    <t>(пункт 3)"</t>
  </si>
  <si>
    <t xml:space="preserve">Рішення ЮМР від 14.12.2023 року № 1567-VIIІ  з внесеними змінами  від  29.08.2024 року №1849-VIII шляхом викладення  у новій редакції  </t>
  </si>
  <si>
    <t>Рішення ЮМР від 23.08.2023 року № 1431- VIIІ з внесеними змінами від            2025 року   №         -VIIІ шляхом викладення у новій редакції</t>
  </si>
  <si>
    <t xml:space="preserve">Рішення ПМР від  06.03.2025 року № 2109-VIIІ з внесеними змінами від           2025 року №       шляхом викладення  у новій редакції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</si>
  <si>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</si>
  <si>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</si>
  <si>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 xml:space="preserve">Рішення ЮМР від 13.07.2023 року № 1404-VII з внесеними змінами від            2025 року  №      -VIIІ  </t>
  </si>
  <si>
    <t xml:space="preserve">Рішення ЮМР від 13.07.2023 року № 1404-VII з внесеними змінами від 06.03.2025 року  № 2098-VIIІ  </t>
  </si>
  <si>
    <t>Рішення ЮМР від 13.07.2023 року №1402 -VIIІ з внесеними змінами від         2025 року №           шляхом викладення у новій редакції</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</si>
  <si>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</si>
  <si>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</si>
  <si>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</si>
  <si>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</si>
  <si>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від                      2025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</si>
</sst>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48"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5">
    <xf numFmtId="0" fontId="0" fillId="0" borderId="0"/>
    <xf numFmtId="166" fontId="11" fillId="0" borderId="0" applyFont="0" applyFill="0" applyBorder="0" applyAlignment="0" applyProtection="0"/>
    <xf numFmtId="0" fontId="13" fillId="0" borderId="0"/>
    <xf numFmtId="0" fontId="11" fillId="0" borderId="0"/>
    <xf numFmtId="164" fontId="13" fillId="0" borderId="0" applyFont="0" applyFill="0" applyBorder="0" applyAlignment="0" applyProtection="0"/>
  </cellStyleXfs>
  <cellXfs count="838">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5" fontId="6" fillId="2" borderId="15" xfId="0" applyNumberFormat="1" applyFont="1" applyFill="1" applyBorder="1" applyAlignment="1">
      <alignment horizontal="right" vertical="center"/>
    </xf>
    <xf numFmtId="165" fontId="6" fillId="0" borderId="15" xfId="0" applyNumberFormat="1" applyFont="1" applyBorder="1" applyAlignment="1">
      <alignment horizontal="right" vertical="center"/>
    </xf>
    <xf numFmtId="165"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5" fontId="5" fillId="2" borderId="18" xfId="0" applyNumberFormat="1" applyFont="1" applyFill="1" applyBorder="1" applyAlignment="1">
      <alignment horizontal="right" vertical="center"/>
    </xf>
    <xf numFmtId="165" fontId="5" fillId="0" borderId="18" xfId="0" applyNumberFormat="1" applyFont="1" applyBorder="1" applyAlignment="1">
      <alignment horizontal="right" vertical="center"/>
    </xf>
    <xf numFmtId="165"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5" fontId="5" fillId="0" borderId="1" xfId="0" applyNumberFormat="1" applyFont="1" applyBorder="1" applyAlignment="1">
      <alignment horizontal="right" vertical="center"/>
    </xf>
    <xf numFmtId="165"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5" fontId="5" fillId="2" borderId="12" xfId="0" applyNumberFormat="1" applyFont="1" applyFill="1" applyBorder="1" applyAlignment="1">
      <alignment horizontal="right" vertical="center"/>
    </xf>
    <xf numFmtId="165" fontId="5" fillId="0" borderId="12" xfId="0" applyNumberFormat="1" applyFont="1" applyBorder="1" applyAlignment="1">
      <alignment horizontal="right" vertical="center"/>
    </xf>
    <xf numFmtId="165" fontId="5" fillId="0" borderId="13" xfId="0" applyNumberFormat="1" applyFont="1" applyBorder="1" applyAlignment="1">
      <alignment horizontal="right" vertical="center"/>
    </xf>
    <xf numFmtId="165" fontId="8" fillId="2" borderId="18" xfId="0" applyNumberFormat="1" applyFont="1" applyFill="1" applyBorder="1" applyAlignment="1">
      <alignment horizontal="right" vertical="center"/>
    </xf>
    <xf numFmtId="165" fontId="8" fillId="0" borderId="18" xfId="0" applyNumberFormat="1" applyFont="1" applyBorder="1" applyAlignment="1">
      <alignment horizontal="right" vertical="center"/>
    </xf>
    <xf numFmtId="165"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5"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6" fillId="2" borderId="9" xfId="0" applyNumberFormat="1" applyFont="1" applyFill="1" applyBorder="1" applyAlignment="1">
      <alignment horizontal="center"/>
    </xf>
    <xf numFmtId="165" fontId="6" fillId="2" borderId="1" xfId="0" applyNumberFormat="1" applyFont="1" applyFill="1" applyBorder="1"/>
    <xf numFmtId="165" fontId="6" fillId="2" borderId="1" xfId="0" applyNumberFormat="1" applyFont="1" applyFill="1" applyBorder="1" applyAlignment="1">
      <alignment horizontal="right"/>
    </xf>
    <xf numFmtId="165" fontId="17" fillId="2" borderId="10" xfId="0" applyNumberFormat="1" applyFont="1" applyFill="1" applyBorder="1" applyAlignment="1">
      <alignment horizontal="right"/>
    </xf>
    <xf numFmtId="165" fontId="17" fillId="2" borderId="10" xfId="0" applyNumberFormat="1" applyFont="1" applyFill="1" applyBorder="1" applyAlignment="1">
      <alignment horizontal="right" vertical="center"/>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5" fillId="2" borderId="13" xfId="0" applyNumberFormat="1" applyFont="1" applyFill="1" applyBorder="1" applyAlignment="1">
      <alignment horizontal="right" vertical="center"/>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7"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7"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45"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165" fontId="5" fillId="0" borderId="45" xfId="0" applyNumberFormat="1" applyFont="1" applyBorder="1" applyAlignment="1">
      <alignment horizontal="center" vertical="center"/>
    </xf>
    <xf numFmtId="168"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6" xfId="0" applyFont="1" applyBorder="1" applyAlignment="1">
      <alignment horizontal="left"/>
    </xf>
    <xf numFmtId="0" fontId="5" fillId="0" borderId="47"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165" fontId="6" fillId="0" borderId="10"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5"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left" vertical="center"/>
    </xf>
    <xf numFmtId="165"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0" fontId="5" fillId="2" borderId="1" xfId="0" quotePrefix="1" applyFont="1" applyFill="1" applyBorder="1" applyAlignment="1">
      <alignment vertical="center" wrapText="1"/>
    </xf>
    <xf numFmtId="0" fontId="23" fillId="0" borderId="0" xfId="0" applyFont="1" applyAlignment="1">
      <alignment horizontal="center" vertical="center" wrapText="1"/>
    </xf>
    <xf numFmtId="49" fontId="7" fillId="0" borderId="15" xfId="0" applyNumberFormat="1" applyFont="1" applyBorder="1" applyAlignment="1">
      <alignment horizontal="center" vertical="center" wrapText="1"/>
    </xf>
    <xf numFmtId="0" fontId="7" fillId="0" borderId="1" xfId="0" applyFont="1" applyBorder="1" applyAlignment="1">
      <alignment vertical="center" wrapText="1"/>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5"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7" fontId="25" fillId="0" borderId="1" xfId="1" applyNumberFormat="1" applyFont="1" applyFill="1" applyBorder="1" applyAlignment="1">
      <alignment horizontal="right" vertical="center" wrapText="1"/>
    </xf>
    <xf numFmtId="0" fontId="5" fillId="0" borderId="41" xfId="0" quotePrefix="1" applyFont="1" applyBorder="1" applyAlignment="1">
      <alignment vertical="center" wrapText="1"/>
    </xf>
    <xf numFmtId="165" fontId="5" fillId="2" borderId="21" xfId="0" applyNumberFormat="1" applyFont="1" applyFill="1" applyBorder="1" applyAlignment="1">
      <alignment horizontal="right" vertical="center"/>
    </xf>
    <xf numFmtId="165" fontId="5" fillId="0" borderId="22" xfId="0" applyNumberFormat="1" applyFont="1" applyBorder="1" applyAlignment="1">
      <alignment horizontal="right" vertical="center"/>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165"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5" fontId="6" fillId="2" borderId="25" xfId="0" applyNumberFormat="1" applyFont="1" applyFill="1" applyBorder="1" applyAlignment="1">
      <alignment horizontal="right" vertical="center"/>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7" xfId="0" applyFont="1" applyBorder="1" applyAlignment="1">
      <alignment horizontal="left" vertical="center" wrapText="1"/>
    </xf>
    <xf numFmtId="165" fontId="7" fillId="0" borderId="1" xfId="0" applyNumberFormat="1" applyFont="1" applyBorder="1" applyAlignment="1">
      <alignment horizontal="right" vertical="center"/>
    </xf>
    <xf numFmtId="165" fontId="7" fillId="2" borderId="1" xfId="0" applyNumberFormat="1" applyFont="1" applyFill="1" applyBorder="1" applyAlignment="1">
      <alignment horizontal="right" vertical="center"/>
    </xf>
    <xf numFmtId="165" fontId="7" fillId="2" borderId="18" xfId="0" applyNumberFormat="1" applyFont="1" applyFill="1" applyBorder="1" applyAlignment="1">
      <alignment horizontal="right" vertical="center"/>
    </xf>
    <xf numFmtId="165" fontId="7" fillId="0" borderId="10" xfId="0" applyNumberFormat="1" applyFont="1" applyBorder="1" applyAlignment="1">
      <alignment horizontal="right" vertical="center"/>
    </xf>
    <xf numFmtId="165" fontId="7" fillId="0" borderId="12" xfId="0" applyNumberFormat="1" applyFont="1" applyBorder="1" applyAlignment="1">
      <alignment horizontal="right" vertical="center"/>
    </xf>
    <xf numFmtId="0" fontId="34" fillId="0" borderId="43" xfId="0" applyFont="1" applyBorder="1" applyAlignment="1">
      <alignment horizontal="center" vertical="center"/>
    </xf>
    <xf numFmtId="0" fontId="35" fillId="0" borderId="32" xfId="0" applyFont="1" applyBorder="1" applyAlignment="1">
      <alignment horizontal="center" vertical="center"/>
    </xf>
    <xf numFmtId="3" fontId="5" fillId="0" borderId="45" xfId="0" applyNumberFormat="1" applyFont="1" applyBorder="1" applyAlignment="1">
      <alignment horizontal="center"/>
    </xf>
    <xf numFmtId="3" fontId="6" fillId="0" borderId="45" xfId="0" applyNumberFormat="1" applyFont="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5"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165"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165"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165" fontId="6" fillId="2" borderId="16" xfId="0" applyNumberFormat="1" applyFont="1" applyFill="1" applyBorder="1" applyAlignment="1">
      <alignment vertical="center"/>
    </xf>
    <xf numFmtId="165" fontId="8" fillId="2" borderId="19"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13" xfId="0" applyNumberFormat="1" applyFont="1" applyFill="1" applyBorder="1" applyAlignment="1">
      <alignment vertical="center"/>
    </xf>
    <xf numFmtId="165"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38" fillId="2" borderId="0" xfId="0" applyNumberFormat="1" applyFont="1" applyFill="1"/>
    <xf numFmtId="165"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5" fontId="5" fillId="2" borderId="19" xfId="0" applyNumberFormat="1" applyFont="1" applyFill="1" applyBorder="1" applyAlignment="1">
      <alignment horizontal="center" vertical="center" wrapText="1"/>
    </xf>
    <xf numFmtId="165"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41" fillId="2" borderId="17"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7" fontId="20" fillId="0" borderId="15" xfId="1" applyNumberFormat="1" applyFont="1" applyFill="1" applyBorder="1" applyAlignment="1">
      <alignment horizontal="right" vertical="center" wrapText="1"/>
    </xf>
    <xf numFmtId="167"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7" fontId="19" fillId="0" borderId="0" xfId="0" applyNumberFormat="1" applyFont="1"/>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5"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8" xfId="0" applyFont="1" applyBorder="1" applyAlignment="1">
      <alignment vertical="center" wrapText="1"/>
    </xf>
    <xf numFmtId="0" fontId="6" fillId="0" borderId="1" xfId="0" applyFont="1" applyBorder="1" applyAlignment="1">
      <alignment horizontal="centerContinuous" vertical="center"/>
    </xf>
    <xf numFmtId="0" fontId="5" fillId="0" borderId="12" xfId="0" applyFont="1" applyBorder="1" applyAlignment="1">
      <alignment horizontal="centerContinuous" vertical="center"/>
    </xf>
    <xf numFmtId="4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40" xfId="0" quotePrefix="1" applyFont="1" applyBorder="1" applyAlignment="1">
      <alignment vertical="center" wrapText="1"/>
    </xf>
    <xf numFmtId="0" fontId="7" fillId="0" borderId="27" xfId="0" quotePrefix="1" applyFont="1" applyBorder="1" applyAlignment="1">
      <alignment vertical="center" wrapText="1"/>
    </xf>
    <xf numFmtId="0" fontId="7" fillId="0" borderId="1" xfId="0" applyFont="1" applyBorder="1" applyAlignment="1">
      <alignment horizontal="center" vertical="center" wrapText="1"/>
    </xf>
    <xf numFmtId="0" fontId="7" fillId="0" borderId="5" xfId="0" quotePrefix="1" applyFont="1" applyBorder="1" applyAlignment="1">
      <alignment vertical="center" wrapText="1"/>
    </xf>
    <xf numFmtId="0" fontId="7" fillId="0" borderId="1" xfId="0" quotePrefix="1" applyFont="1" applyBorder="1" applyAlignment="1">
      <alignment vertical="center" wrapText="1"/>
    </xf>
    <xf numFmtId="0" fontId="7" fillId="0" borderId="4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quotePrefix="1" applyFont="1" applyBorder="1" applyAlignment="1">
      <alignment vertical="center" wrapText="1"/>
    </xf>
    <xf numFmtId="165" fontId="7" fillId="2" borderId="12" xfId="0" applyNumberFormat="1" applyFont="1" applyFill="1" applyBorder="1" applyAlignment="1">
      <alignment horizontal="right" vertical="center"/>
    </xf>
    <xf numFmtId="165" fontId="7" fillId="0" borderId="13" xfId="0" applyNumberFormat="1" applyFont="1" applyBorder="1" applyAlignment="1">
      <alignment horizontal="right" vertical="center"/>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5" xfId="0" applyFont="1" applyBorder="1" applyAlignment="1">
      <alignment horizontal="left" vertical="center" wrapText="1"/>
    </xf>
    <xf numFmtId="165" fontId="15" fillId="2" borderId="15" xfId="0" applyNumberFormat="1" applyFont="1" applyFill="1" applyBorder="1" applyAlignment="1">
      <alignment horizontal="right" vertical="center"/>
    </xf>
    <xf numFmtId="165"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5"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5" fontId="15" fillId="0" borderId="15" xfId="0" applyNumberFormat="1" applyFont="1" applyBorder="1" applyAlignment="1">
      <alignment horizontal="right" vertical="center"/>
    </xf>
    <xf numFmtId="0" fontId="18" fillId="0" borderId="6" xfId="0" applyFont="1" applyBorder="1" applyAlignment="1">
      <alignment horizontal="center" vertical="center" wrapText="1"/>
    </xf>
    <xf numFmtId="49" fontId="7" fillId="0" borderId="2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7" fillId="0" borderId="11"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quotePrefix="1"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31" xfId="0" quotePrefix="1" applyFont="1" applyBorder="1" applyAlignment="1">
      <alignment vertical="center" wrapText="1"/>
    </xf>
    <xf numFmtId="165" fontId="18" fillId="2" borderId="27" xfId="0" applyNumberFormat="1" applyFont="1" applyFill="1" applyBorder="1" applyAlignment="1">
      <alignment horizontal="right" vertical="center"/>
    </xf>
    <xf numFmtId="165" fontId="18" fillId="0" borderId="27" xfId="0" applyNumberFormat="1" applyFont="1" applyBorder="1" applyAlignment="1">
      <alignment horizontal="right" vertical="center"/>
    </xf>
    <xf numFmtId="165" fontId="18" fillId="0" borderId="12" xfId="0" applyNumberFormat="1" applyFont="1" applyBorder="1" applyAlignment="1">
      <alignment horizontal="right" vertical="center"/>
    </xf>
    <xf numFmtId="165" fontId="18" fillId="0" borderId="13" xfId="0" applyNumberFormat="1" applyFont="1" applyBorder="1" applyAlignment="1">
      <alignment horizontal="right" vertical="center"/>
    </xf>
    <xf numFmtId="0" fontId="7" fillId="0" borderId="7" xfId="0" quotePrefix="1" applyFont="1" applyBorder="1" applyAlignment="1">
      <alignment vertical="center" wrapText="1"/>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Border="1" applyAlignment="1">
      <alignment horizontal="left"/>
    </xf>
    <xf numFmtId="49" fontId="7" fillId="0" borderId="4" xfId="0" applyNumberFormat="1" applyFont="1" applyBorder="1" applyAlignment="1">
      <alignment vertical="center"/>
    </xf>
    <xf numFmtId="0" fontId="7" fillId="2" borderId="0" xfId="0" applyFont="1" applyFill="1" applyAlignment="1">
      <alignment vertical="center"/>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41" fillId="2" borderId="17" xfId="0" applyNumberFormat="1" applyFont="1" applyFill="1" applyBorder="1" applyAlignment="1">
      <alignment horizontal="center" vertical="center" wrapText="1"/>
    </xf>
    <xf numFmtId="0" fontId="42"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0" fontId="43"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43"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7"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3" fontId="25" fillId="0" borderId="1"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3" fontId="24" fillId="2" borderId="44" xfId="0" applyNumberFormat="1" applyFont="1" applyFill="1" applyBorder="1" applyAlignment="1">
      <alignment vertical="center" wrapText="1"/>
    </xf>
    <xf numFmtId="167" fontId="20" fillId="3" borderId="49" xfId="1" applyNumberFormat="1" applyFont="1" applyFill="1" applyBorder="1" applyAlignment="1">
      <alignment horizontal="center" vertical="center" wrapText="1"/>
    </xf>
    <xf numFmtId="167"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5" fillId="2" borderId="12" xfId="0" applyNumberFormat="1" applyFont="1" applyFill="1" applyBorder="1" applyAlignment="1">
      <alignment horizontal="center" vertical="center" wrapText="1"/>
    </xf>
    <xf numFmtId="165" fontId="7" fillId="2" borderId="27" xfId="0" applyNumberFormat="1" applyFont="1" applyFill="1" applyBorder="1" applyAlignment="1">
      <alignment horizontal="right" vertical="center"/>
    </xf>
    <xf numFmtId="165"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0" fontId="44" fillId="0" borderId="27" xfId="0" applyFont="1" applyBorder="1" applyAlignment="1">
      <alignment vertical="center" wrapText="1"/>
    </xf>
    <xf numFmtId="165" fontId="7" fillId="2" borderId="7" xfId="0" applyNumberFormat="1" applyFont="1" applyFill="1" applyBorder="1" applyAlignment="1">
      <alignment horizontal="right" vertical="center"/>
    </xf>
    <xf numFmtId="165" fontId="7" fillId="0" borderId="7" xfId="0" applyNumberFormat="1" applyFont="1" applyBorder="1" applyAlignment="1">
      <alignment horizontal="right" vertical="center"/>
    </xf>
    <xf numFmtId="165" fontId="7" fillId="0" borderId="8" xfId="0" applyNumberFormat="1" applyFont="1" applyBorder="1" applyAlignment="1">
      <alignment horizontal="right" vertical="center"/>
    </xf>
    <xf numFmtId="165"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quotePrefix="1" applyFont="1" applyBorder="1" applyAlignment="1">
      <alignment vertical="center" wrapText="1"/>
    </xf>
    <xf numFmtId="0" fontId="25"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quotePrefix="1" applyFont="1" applyBorder="1" applyAlignment="1">
      <alignment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25" fillId="2" borderId="18" xfId="0" applyFont="1" applyFill="1" applyBorder="1" applyAlignment="1">
      <alignment horizontal="left" vertical="center" wrapText="1"/>
    </xf>
    <xf numFmtId="0" fontId="45" fillId="0" borderId="18" xfId="0" applyFont="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50" xfId="0" applyNumberFormat="1" applyFont="1" applyFill="1" applyBorder="1" applyAlignment="1">
      <alignment horizontal="right" vertical="center"/>
    </xf>
    <xf numFmtId="3" fontId="20" fillId="2" borderId="49"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2" borderId="23" xfId="0" quotePrefix="1" applyFont="1" applyFill="1" applyBorder="1" applyAlignment="1">
      <alignment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xf numFmtId="0" fontId="7" fillId="0" borderId="0" xfId="0" applyFont="1" applyFill="1" applyBorder="1" applyAlignment="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Alignment="1">
      <alignment horizontal="left" vertical="center"/>
    </xf>
    <xf numFmtId="0" fontId="23" fillId="0" borderId="0" xfId="0" applyFont="1" applyAlignment="1">
      <alignment horizontal="left"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165" fontId="5" fillId="2" borderId="19" xfId="0" applyNumberFormat="1" applyFont="1" applyFill="1" applyBorder="1" applyAlignment="1">
      <alignment vertical="center"/>
    </xf>
    <xf numFmtId="49" fontId="5" fillId="2" borderId="5" xfId="0" applyNumberFormat="1" applyFont="1" applyFill="1" applyBorder="1" applyAlignment="1">
      <alignment horizontal="center" vertical="center" wrapText="1"/>
    </xf>
    <xf numFmtId="0" fontId="6" fillId="0" borderId="43" xfId="0" applyFont="1" applyBorder="1" applyAlignment="1">
      <alignment horizontal="center" vertical="center"/>
    </xf>
    <xf numFmtId="165" fontId="6" fillId="0" borderId="45" xfId="0" applyNumberFormat="1" applyFont="1" applyBorder="1" applyAlignment="1">
      <alignment horizontal="center" vertical="center"/>
    </xf>
    <xf numFmtId="0" fontId="6" fillId="0" borderId="1" xfId="0" applyFont="1" applyBorder="1" applyAlignment="1">
      <alignment horizontal="left" vertical="center" wrapText="1"/>
    </xf>
    <xf numFmtId="0" fontId="5" fillId="0" borderId="12" xfId="0" applyFont="1" applyBorder="1" applyAlignment="1">
      <alignment horizontal="left" vertical="center" wrapText="1"/>
    </xf>
    <xf numFmtId="49" fontId="6" fillId="0" borderId="9" xfId="0" applyNumberFormat="1" applyFont="1" applyBorder="1" applyAlignment="1">
      <alignment horizontal="center"/>
    </xf>
    <xf numFmtId="0" fontId="7" fillId="0" borderId="3" xfId="0" applyFont="1" applyBorder="1" applyAlignment="1">
      <alignment wrapText="1"/>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165" fontId="5" fillId="0" borderId="3" xfId="0" applyNumberFormat="1" applyFont="1" applyBorder="1" applyAlignment="1">
      <alignment horizontal="right" vertical="center"/>
    </xf>
    <xf numFmtId="49" fontId="5" fillId="0" borderId="18" xfId="0" applyNumberFormat="1" applyFont="1" applyBorder="1" applyAlignment="1">
      <alignment horizontal="center" vertical="center" wrapText="1"/>
    </xf>
    <xf numFmtId="165" fontId="8" fillId="0" borderId="27"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51" xfId="0" applyNumberFormat="1" applyFont="1" applyBorder="1" applyAlignment="1">
      <alignment horizontal="center" vertical="center"/>
    </xf>
    <xf numFmtId="165" fontId="8" fillId="0" borderId="1" xfId="0" applyNumberFormat="1" applyFont="1" applyBorder="1" applyAlignment="1">
      <alignment horizontal="right" vertical="center"/>
    </xf>
    <xf numFmtId="0" fontId="25" fillId="3" borderId="27" xfId="0" applyFont="1" applyFill="1" applyBorder="1" applyAlignment="1">
      <alignment horizontal="left" vertical="center" wrapText="1"/>
    </xf>
    <xf numFmtId="49" fontId="3" fillId="2" borderId="15" xfId="0" applyNumberFormat="1" applyFont="1" applyFill="1" applyBorder="1" applyAlignment="1">
      <alignment horizontal="center" vertical="center" wrapText="1"/>
    </xf>
    <xf numFmtId="49" fontId="41" fillId="2" borderId="18" xfId="0" applyNumberFormat="1" applyFont="1" applyFill="1" applyBorder="1" applyAlignment="1">
      <alignment horizontal="center" vertical="center" wrapText="1"/>
    </xf>
    <xf numFmtId="9" fontId="24" fillId="0" borderId="18"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4"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7"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wrapText="1"/>
    </xf>
    <xf numFmtId="3" fontId="25" fillId="0" borderId="27"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3" fontId="25" fillId="0" borderId="1" xfId="0" quotePrefix="1"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25" fillId="0" borderId="18" xfId="0" quotePrefix="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25" fillId="0" borderId="18" xfId="0" applyNumberFormat="1" applyFont="1" applyFill="1" applyBorder="1" applyAlignment="1">
      <alignment horizontal="center" vertical="center" wrapText="1"/>
    </xf>
    <xf numFmtId="3" fontId="25" fillId="0" borderId="1" xfId="0" applyNumberFormat="1" applyFont="1" applyFill="1" applyBorder="1" applyAlignment="1">
      <alignment horizontal="right" vertical="center"/>
    </xf>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9"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 xfId="0" applyNumberFormat="1" applyFont="1" applyFill="1" applyBorder="1" applyAlignment="1">
      <alignment horizontal="center" vertical="center"/>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0" fontId="25" fillId="0" borderId="18" xfId="0"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3" fillId="0" borderId="1" xfId="0" applyFont="1" applyFill="1" applyBorder="1" applyAlignment="1">
      <alignment vertical="center" wrapText="1"/>
    </xf>
    <xf numFmtId="171" fontId="25" fillId="0" borderId="1" xfId="4" applyNumberFormat="1" applyFont="1" applyFill="1" applyBorder="1" applyAlignment="1">
      <alignment horizontal="right" vertical="center" wrapText="1"/>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72" fontId="24" fillId="0" borderId="1" xfId="0" applyNumberFormat="1" applyFont="1" applyFill="1" applyBorder="1" applyAlignment="1">
      <alignment vertical="center"/>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wrapText="1"/>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2" xfId="0" quotePrefix="1" applyFont="1" applyFill="1" applyBorder="1" applyAlignment="1">
      <alignment horizontal="center" vertical="center" wrapText="1"/>
    </xf>
    <xf numFmtId="0" fontId="3" fillId="0" borderId="44" xfId="0" applyFont="1" applyFill="1" applyBorder="1" applyAlignment="1">
      <alignment horizontal="left" vertical="center" wrapText="1"/>
    </xf>
    <xf numFmtId="0" fontId="25" fillId="0" borderId="12" xfId="0" applyFont="1" applyFill="1" applyBorder="1" applyAlignment="1">
      <alignment horizontal="center"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9" fontId="24" fillId="2" borderId="12" xfId="0" applyNumberFormat="1" applyFont="1" applyFill="1" applyBorder="1" applyAlignment="1">
      <alignment horizontal="center" vertical="center" wrapText="1"/>
    </xf>
    <xf numFmtId="9" fontId="24" fillId="2" borderId="13" xfId="0" applyNumberFormat="1" applyFont="1" applyFill="1" applyBorder="1" applyAlignment="1">
      <alignment horizontal="center" vertical="center"/>
    </xf>
    <xf numFmtId="0" fontId="15" fillId="0" borderId="0" xfId="0" applyFont="1" applyBorder="1"/>
    <xf numFmtId="0" fontId="18" fillId="0" borderId="0" xfId="0" applyFont="1" applyBorder="1"/>
    <xf numFmtId="0" fontId="15" fillId="0" borderId="0" xfId="0" applyFont="1" applyFill="1"/>
    <xf numFmtId="0" fontId="25" fillId="0" borderId="0" xfId="0" applyFont="1" applyFill="1" applyBorder="1" applyAlignment="1">
      <alignment horizontal="center" vertical="center" wrapText="1"/>
    </xf>
    <xf numFmtId="0" fontId="25" fillId="0" borderId="0" xfId="0" applyFont="1" applyFill="1"/>
    <xf numFmtId="0" fontId="25" fillId="0" borderId="0" xfId="0" applyFont="1" applyFill="1" applyBorder="1"/>
    <xf numFmtId="3" fontId="25" fillId="0" borderId="0" xfId="0" applyNumberFormat="1" applyFont="1" applyFill="1" applyBorder="1"/>
    <xf numFmtId="0" fontId="19" fillId="0" borderId="0" xfId="0" applyFont="1" applyFill="1"/>
    <xf numFmtId="0" fontId="47"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25" fillId="0" borderId="0" xfId="0" applyFont="1" applyFill="1" applyAlignment="1">
      <alignment horizontal="center" vertical="center"/>
    </xf>
    <xf numFmtId="9" fontId="25"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5" fillId="0" borderId="10" xfId="0" applyNumberFormat="1" applyFont="1" applyBorder="1" applyAlignment="1">
      <alignment horizontal="center" vertical="center"/>
    </xf>
    <xf numFmtId="9" fontId="24" fillId="0" borderId="10" xfId="0" applyNumberFormat="1" applyFont="1" applyBorder="1" applyAlignment="1">
      <alignment horizontal="center" vertical="center"/>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5" xfId="0" quotePrefix="1" applyFont="1" applyFill="1" applyBorder="1" applyAlignment="1">
      <alignment vertical="center" wrapText="1"/>
    </xf>
    <xf numFmtId="165" fontId="5" fillId="2" borderId="25" xfId="0" applyNumberFormat="1" applyFont="1" applyFill="1" applyBorder="1" applyAlignment="1">
      <alignment vertical="center"/>
    </xf>
    <xf numFmtId="165" fontId="5" fillId="2" borderId="25" xfId="0" applyNumberFormat="1" applyFont="1" applyFill="1" applyBorder="1" applyAlignment="1">
      <alignment horizontal="right" vertical="center"/>
    </xf>
    <xf numFmtId="49" fontId="5" fillId="2" borderId="24" xfId="0" applyNumberFormat="1"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pplyBorder="1" applyAlignment="1">
      <alignment vertical="center"/>
    </xf>
    <xf numFmtId="0" fontId="32" fillId="0" borderId="0" xfId="0" applyFont="1" applyAlignment="1"/>
    <xf numFmtId="165" fontId="5" fillId="0" borderId="50" xfId="0" applyNumberFormat="1" applyFont="1" applyBorder="1" applyAlignment="1">
      <alignment horizontal="right" vertical="center"/>
    </xf>
    <xf numFmtId="165" fontId="5" fillId="0" borderId="1" xfId="0" quotePrefix="1" applyNumberFormat="1" applyFont="1" applyBorder="1" applyAlignment="1">
      <alignment vertical="center" wrapText="1"/>
    </xf>
    <xf numFmtId="165" fontId="5" fillId="0" borderId="28" xfId="0" applyNumberFormat="1" applyFont="1" applyBorder="1" applyAlignment="1">
      <alignment horizontal="right" vertical="center"/>
    </xf>
    <xf numFmtId="0" fontId="34" fillId="2" borderId="15" xfId="0" quotePrefix="1" applyFont="1" applyFill="1" applyBorder="1" applyAlignment="1">
      <alignment horizontal="left" vertical="center" wrapText="1"/>
    </xf>
    <xf numFmtId="49" fontId="3" fillId="2" borderId="26" xfId="0" applyNumberFormat="1" applyFont="1" applyFill="1" applyBorder="1" applyAlignment="1">
      <alignment horizontal="center" vertical="center" wrapText="1"/>
    </xf>
    <xf numFmtId="0" fontId="37" fillId="2" borderId="18" xfId="0" quotePrefix="1" applyFont="1" applyFill="1" applyBorder="1" applyAlignment="1">
      <alignment horizontal="left" vertical="center" wrapText="1"/>
    </xf>
    <xf numFmtId="0" fontId="12" fillId="0" borderId="1" xfId="0" applyFont="1" applyBorder="1" applyAlignment="1">
      <alignment horizontal="center" vertical="center" wrapText="1"/>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wrapText="1"/>
    </xf>
    <xf numFmtId="49" fontId="6" fillId="0" borderId="2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0" xfId="0" applyFont="1" applyFill="1" applyBorder="1" applyAlignment="1">
      <alignment horizontal="left" vertical="center"/>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5" fontId="6" fillId="2" borderId="32" xfId="0" applyNumberFormat="1" applyFont="1" applyFill="1" applyBorder="1" applyAlignment="1">
      <alignment horizontal="left" vertical="center"/>
    </xf>
    <xf numFmtId="165" fontId="5" fillId="2" borderId="4" xfId="0" applyNumberFormat="1" applyFont="1" applyFill="1" applyBorder="1" applyAlignment="1">
      <alignment horizontal="left"/>
    </xf>
    <xf numFmtId="165" fontId="5" fillId="2" borderId="35" xfId="0" applyNumberFormat="1" applyFont="1" applyFill="1" applyBorder="1" applyAlignment="1">
      <alignment horizontal="left"/>
    </xf>
    <xf numFmtId="0" fontId="16"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4" fillId="0" borderId="0" xfId="0" quotePrefix="1" applyFont="1" applyAlignment="1">
      <alignment horizontal="left"/>
    </xf>
    <xf numFmtId="0" fontId="5" fillId="0" borderId="0" xfId="0" applyFont="1" applyAlignment="1">
      <alignment horizontal="left"/>
    </xf>
    <xf numFmtId="0" fontId="15" fillId="0" borderId="0" xfId="0" applyFont="1" applyAlignment="1">
      <alignment horizont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4" xfId="0" applyFont="1" applyBorder="1" applyAlignment="1">
      <alignment horizontal="center" vertical="top" wrapText="1"/>
    </xf>
    <xf numFmtId="0" fontId="5" fillId="0" borderId="23" xfId="0" applyFont="1" applyBorder="1" applyAlignment="1">
      <alignment horizontal="center" vertical="top"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23" fillId="0" borderId="0" xfId="0" applyFont="1" applyAlignment="1">
      <alignment horizontal="left" vertical="center"/>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1" xfId="0" applyFont="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0" fontId="10" fillId="0" borderId="0" xfId="0" applyFont="1" applyAlignment="1">
      <alignment horizontal="left"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25" fillId="0" borderId="12"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0" fontId="12" fillId="0" borderId="12" xfId="0" quotePrefix="1" applyFont="1" applyFill="1" applyBorder="1" applyAlignment="1">
      <alignment horizontal="center" vertical="center" wrapText="1"/>
    </xf>
    <xf numFmtId="0" fontId="12" fillId="0" borderId="27" xfId="0" quotePrefix="1" applyFont="1" applyFill="1" applyBorder="1" applyAlignment="1">
      <alignment horizontal="center" vertical="center" wrapText="1"/>
    </xf>
    <xf numFmtId="0" fontId="12" fillId="0"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3" fontId="25" fillId="0" borderId="12" xfId="0" quotePrefix="1"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27" xfId="0" applyNumberFormat="1" applyFont="1" applyFill="1" applyBorder="1" applyAlignment="1">
      <alignment horizontal="center" vertical="center"/>
    </xf>
    <xf numFmtId="0" fontId="23" fillId="0" borderId="0" xfId="0" applyFont="1" applyAlignment="1">
      <alignment horizontal="center" wrapText="1"/>
    </xf>
    <xf numFmtId="0" fontId="7" fillId="2" borderId="0" xfId="0" applyFont="1" applyFill="1" applyBorder="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7" fillId="0" borderId="21" xfId="0" quotePrefix="1" applyFont="1" applyBorder="1" applyAlignment="1">
      <alignment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90" zoomScaleNormal="100" zoomScaleSheetLayoutView="90" workbookViewId="0">
      <selection activeCell="E25" sqref="E25"/>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58" t="s">
        <v>213</v>
      </c>
      <c r="E1" s="4"/>
    </row>
    <row r="2" spans="1:6" ht="15.75" x14ac:dyDescent="0.2">
      <c r="D2" s="558" t="s">
        <v>388</v>
      </c>
      <c r="E2" s="4"/>
    </row>
    <row r="3" spans="1:6" ht="15.75" x14ac:dyDescent="0.25">
      <c r="D3" s="559" t="s">
        <v>525</v>
      </c>
      <c r="E3" s="7"/>
    </row>
    <row r="4" spans="1:6" ht="15.75" x14ac:dyDescent="0.25">
      <c r="D4" s="561" t="s">
        <v>526</v>
      </c>
      <c r="E4" s="439"/>
    </row>
    <row r="5" spans="1:6" ht="15.75" x14ac:dyDescent="0.2">
      <c r="D5" s="709" t="s">
        <v>441</v>
      </c>
      <c r="E5" s="709"/>
    </row>
    <row r="7" spans="1:6" ht="15.75" x14ac:dyDescent="0.2">
      <c r="D7" s="3" t="s">
        <v>442</v>
      </c>
      <c r="E7" s="4"/>
      <c r="F7" s="5"/>
    </row>
    <row r="8" spans="1:6" ht="15.75" x14ac:dyDescent="0.2">
      <c r="D8" s="3" t="s">
        <v>389</v>
      </c>
      <c r="E8" s="4"/>
      <c r="F8" s="5"/>
    </row>
    <row r="9" spans="1:6" ht="15.75" x14ac:dyDescent="0.2">
      <c r="D9" s="3" t="s">
        <v>8</v>
      </c>
      <c r="E9" s="4"/>
      <c r="F9" s="5"/>
    </row>
    <row r="10" spans="1:6" ht="15.75" x14ac:dyDescent="0.2">
      <c r="D10" s="3" t="s">
        <v>324</v>
      </c>
      <c r="E10" s="4"/>
      <c r="F10" s="5"/>
    </row>
    <row r="11" spans="1:6" ht="15.75" x14ac:dyDescent="0.25">
      <c r="D11" s="6" t="s">
        <v>403</v>
      </c>
      <c r="E11" s="7"/>
      <c r="F11" s="5"/>
    </row>
    <row r="12" spans="1:6" ht="15.75" x14ac:dyDescent="0.25">
      <c r="D12" s="6" t="s">
        <v>404</v>
      </c>
      <c r="E12" s="4"/>
      <c r="F12" s="5"/>
    </row>
    <row r="13" spans="1:6" ht="15.75" x14ac:dyDescent="0.2">
      <c r="D13" s="717" t="s">
        <v>443</v>
      </c>
      <c r="E13" s="717"/>
      <c r="F13" s="5"/>
    </row>
    <row r="15" spans="1:6" ht="20.25" x14ac:dyDescent="0.3">
      <c r="A15" s="718" t="s">
        <v>322</v>
      </c>
      <c r="B15" s="719"/>
      <c r="C15" s="719"/>
      <c r="D15" s="719"/>
      <c r="E15" s="719"/>
      <c r="F15" s="719"/>
    </row>
    <row r="16" spans="1:6" ht="20.25" x14ac:dyDescent="0.3">
      <c r="A16" s="65"/>
      <c r="B16" s="66"/>
      <c r="C16" s="66"/>
      <c r="D16" s="66"/>
      <c r="E16" s="66"/>
      <c r="F16" s="66"/>
    </row>
    <row r="17" spans="1:6" ht="15.75" x14ac:dyDescent="0.25">
      <c r="A17" s="67" t="s">
        <v>214</v>
      </c>
      <c r="B17" s="1"/>
      <c r="C17" s="1"/>
      <c r="D17" s="1"/>
      <c r="E17" s="1"/>
      <c r="F17" s="1"/>
    </row>
    <row r="18" spans="1:6" ht="16.5" thickBot="1" x14ac:dyDescent="0.3">
      <c r="A18" s="68" t="s">
        <v>0</v>
      </c>
      <c r="B18" s="1"/>
      <c r="C18" s="1"/>
      <c r="D18" s="1"/>
      <c r="E18" s="1"/>
      <c r="F18" s="2" t="s">
        <v>1</v>
      </c>
    </row>
    <row r="19" spans="1:6" ht="15.75" x14ac:dyDescent="0.2">
      <c r="A19" s="720" t="s">
        <v>146</v>
      </c>
      <c r="B19" s="723" t="s">
        <v>147</v>
      </c>
      <c r="C19" s="723" t="s">
        <v>2</v>
      </c>
      <c r="D19" s="723" t="s">
        <v>3</v>
      </c>
      <c r="E19" s="723" t="s">
        <v>4</v>
      </c>
      <c r="F19" s="726"/>
    </row>
    <row r="20" spans="1:6" x14ac:dyDescent="0.2">
      <c r="A20" s="721"/>
      <c r="B20" s="724"/>
      <c r="C20" s="724"/>
      <c r="D20" s="724"/>
      <c r="E20" s="724" t="s">
        <v>5</v>
      </c>
      <c r="F20" s="727" t="s">
        <v>6</v>
      </c>
    </row>
    <row r="21" spans="1:6" ht="44.45" customHeight="1" thickBot="1" x14ac:dyDescent="0.25">
      <c r="A21" s="722"/>
      <c r="B21" s="725"/>
      <c r="C21" s="725"/>
      <c r="D21" s="725"/>
      <c r="E21" s="725"/>
      <c r="F21" s="728"/>
    </row>
    <row r="22" spans="1:6" ht="15.75" x14ac:dyDescent="0.2">
      <c r="A22" s="69">
        <v>1</v>
      </c>
      <c r="B22" s="70">
        <v>2</v>
      </c>
      <c r="C22" s="70">
        <v>3</v>
      </c>
      <c r="D22" s="70">
        <v>4</v>
      </c>
      <c r="E22" s="70">
        <v>5</v>
      </c>
      <c r="F22" s="71">
        <v>6</v>
      </c>
    </row>
    <row r="23" spans="1:6" ht="15.75" x14ac:dyDescent="0.25">
      <c r="A23" s="710" t="s">
        <v>148</v>
      </c>
      <c r="B23" s="711"/>
      <c r="C23" s="711"/>
      <c r="D23" s="711"/>
      <c r="E23" s="711"/>
      <c r="F23" s="712"/>
    </row>
    <row r="24" spans="1:6" ht="15.75" x14ac:dyDescent="0.2">
      <c r="A24" s="72" t="s">
        <v>149</v>
      </c>
      <c r="B24" s="73" t="s">
        <v>150</v>
      </c>
      <c r="C24" s="74">
        <f>C25</f>
        <v>93078982</v>
      </c>
      <c r="D24" s="74">
        <f>D25</f>
        <v>48670831</v>
      </c>
      <c r="E24" s="74">
        <f>E25</f>
        <v>44408151</v>
      </c>
      <c r="F24" s="75">
        <f>F25</f>
        <v>40907551</v>
      </c>
    </row>
    <row r="25" spans="1:6" ht="31.5" x14ac:dyDescent="0.2">
      <c r="A25" s="76" t="s">
        <v>151</v>
      </c>
      <c r="B25" s="77" t="s">
        <v>152</v>
      </c>
      <c r="C25" s="8">
        <f>C26-1000000+C28</f>
        <v>93078982</v>
      </c>
      <c r="D25" s="8">
        <f>D26-1000000+D28</f>
        <v>48670831</v>
      </c>
      <c r="E25" s="8">
        <f>E28+E26</f>
        <v>44408151</v>
      </c>
      <c r="F25" s="78">
        <f>F28</f>
        <v>40907551</v>
      </c>
    </row>
    <row r="26" spans="1:6" ht="15.75" x14ac:dyDescent="0.2">
      <c r="A26" s="76" t="s">
        <v>153</v>
      </c>
      <c r="B26" s="77" t="s">
        <v>154</v>
      </c>
      <c r="C26" s="8">
        <f>D26+E26</f>
        <v>94078982</v>
      </c>
      <c r="D26" s="33">
        <f>1000000+85018102+4560280</f>
        <v>90578382</v>
      </c>
      <c r="E26" s="8">
        <v>3500600</v>
      </c>
      <c r="F26" s="79">
        <v>0</v>
      </c>
    </row>
    <row r="27" spans="1:6" ht="15.75" x14ac:dyDescent="0.2">
      <c r="A27" s="76" t="s">
        <v>155</v>
      </c>
      <c r="B27" s="77" t="s">
        <v>156</v>
      </c>
      <c r="C27" s="8">
        <v>1000000</v>
      </c>
      <c r="D27" s="8">
        <v>1000000</v>
      </c>
      <c r="E27" s="8">
        <v>0</v>
      </c>
      <c r="F27" s="79">
        <v>0</v>
      </c>
    </row>
    <row r="28" spans="1:6" ht="47.25" x14ac:dyDescent="0.2">
      <c r="A28" s="76" t="s">
        <v>157</v>
      </c>
      <c r="B28" s="77" t="s">
        <v>158</v>
      </c>
      <c r="C28" s="8">
        <v>0</v>
      </c>
      <c r="D28" s="8">
        <f>-1553800-33472623-490356-5390772</f>
        <v>-40907551</v>
      </c>
      <c r="E28" s="8">
        <f>1553800+33472623+490356+5390772</f>
        <v>40907551</v>
      </c>
      <c r="F28" s="79">
        <f>E28</f>
        <v>40907551</v>
      </c>
    </row>
    <row r="29" spans="1:6" ht="15.75" x14ac:dyDescent="0.25">
      <c r="A29" s="80" t="s">
        <v>7</v>
      </c>
      <c r="B29" s="81" t="s">
        <v>159</v>
      </c>
      <c r="C29" s="82">
        <f>C24</f>
        <v>93078982</v>
      </c>
      <c r="D29" s="82">
        <f>D24</f>
        <v>48670831</v>
      </c>
      <c r="E29" s="82">
        <f>E24</f>
        <v>44408151</v>
      </c>
      <c r="F29" s="83">
        <f>F24</f>
        <v>40907551</v>
      </c>
    </row>
    <row r="30" spans="1:6" ht="15.75" x14ac:dyDescent="0.25">
      <c r="A30" s="713" t="s">
        <v>160</v>
      </c>
      <c r="B30" s="714"/>
      <c r="C30" s="714"/>
      <c r="D30" s="714"/>
      <c r="E30" s="714"/>
      <c r="F30" s="715"/>
    </row>
    <row r="31" spans="1:6" ht="31.5" x14ac:dyDescent="0.2">
      <c r="A31" s="72" t="s">
        <v>161</v>
      </c>
      <c r="B31" s="73" t="s">
        <v>162</v>
      </c>
      <c r="C31" s="74">
        <f>C24</f>
        <v>93078982</v>
      </c>
      <c r="D31" s="74">
        <f>D24</f>
        <v>48670831</v>
      </c>
      <c r="E31" s="74">
        <f>E24</f>
        <v>44408151</v>
      </c>
      <c r="F31" s="84">
        <f>F24</f>
        <v>40907551</v>
      </c>
    </row>
    <row r="32" spans="1:6" ht="15.75" x14ac:dyDescent="0.2">
      <c r="A32" s="76" t="s">
        <v>163</v>
      </c>
      <c r="B32" s="77" t="s">
        <v>164</v>
      </c>
      <c r="C32" s="8">
        <f>C25</f>
        <v>93078982</v>
      </c>
      <c r="D32" s="8">
        <f>D25</f>
        <v>48670831</v>
      </c>
      <c r="E32" s="8">
        <f>E35+E33</f>
        <v>44408151</v>
      </c>
      <c r="F32" s="79">
        <f>F35</f>
        <v>40907551</v>
      </c>
    </row>
    <row r="33" spans="1:16" ht="15.75" x14ac:dyDescent="0.2">
      <c r="A33" s="76" t="s">
        <v>165</v>
      </c>
      <c r="B33" s="77" t="s">
        <v>154</v>
      </c>
      <c r="C33" s="8">
        <f>D33+E33</f>
        <v>94078982</v>
      </c>
      <c r="D33" s="8">
        <f>D26</f>
        <v>90578382</v>
      </c>
      <c r="E33" s="8">
        <v>3500600</v>
      </c>
      <c r="F33" s="79">
        <v>0</v>
      </c>
      <c r="I33" s="97"/>
    </row>
    <row r="34" spans="1:16" ht="15.75" x14ac:dyDescent="0.2">
      <c r="A34" s="76" t="s">
        <v>166</v>
      </c>
      <c r="B34" s="77" t="s">
        <v>156</v>
      </c>
      <c r="C34" s="8">
        <v>1000000</v>
      </c>
      <c r="D34" s="8">
        <v>1000000</v>
      </c>
      <c r="E34" s="8">
        <v>0</v>
      </c>
      <c r="F34" s="79">
        <v>0</v>
      </c>
    </row>
    <row r="35" spans="1:16" ht="48" thickBot="1" x14ac:dyDescent="0.25">
      <c r="A35" s="85" t="s">
        <v>167</v>
      </c>
      <c r="B35" s="86" t="s">
        <v>158</v>
      </c>
      <c r="C35" s="36">
        <v>0</v>
      </c>
      <c r="D35" s="36">
        <f t="shared" ref="D35:F36" si="0">D28</f>
        <v>-40907551</v>
      </c>
      <c r="E35" s="36">
        <f>E28</f>
        <v>40907551</v>
      </c>
      <c r="F35" s="87">
        <f>F28</f>
        <v>40907551</v>
      </c>
    </row>
    <row r="36" spans="1:16" ht="16.5" thickBot="1" x14ac:dyDescent="0.3">
      <c r="A36" s="88" t="s">
        <v>7</v>
      </c>
      <c r="B36" s="89" t="s">
        <v>159</v>
      </c>
      <c r="C36" s="90">
        <f>C29</f>
        <v>93078982</v>
      </c>
      <c r="D36" s="90">
        <f t="shared" si="0"/>
        <v>48670831</v>
      </c>
      <c r="E36" s="90">
        <f t="shared" si="0"/>
        <v>44408151</v>
      </c>
      <c r="F36" s="91">
        <f t="shared" si="0"/>
        <v>40907551</v>
      </c>
    </row>
    <row r="38" spans="1:16" ht="13.5" customHeight="1" x14ac:dyDescent="0.2"/>
    <row r="39" spans="1:16" s="5" customFormat="1" ht="42.6" customHeight="1" x14ac:dyDescent="0.2">
      <c r="A39" s="730" t="s">
        <v>392</v>
      </c>
      <c r="B39" s="730"/>
      <c r="C39" s="98"/>
      <c r="D39" s="98"/>
      <c r="E39" s="729" t="s">
        <v>320</v>
      </c>
      <c r="F39" s="729"/>
      <c r="G39" s="3"/>
      <c r="H39" s="3"/>
      <c r="I39" s="3"/>
      <c r="K39" s="3"/>
      <c r="L39" s="93"/>
      <c r="M39" s="3"/>
      <c r="N39" s="96"/>
      <c r="O39" s="94"/>
      <c r="P39" s="95"/>
    </row>
    <row r="40" spans="1:16" s="62" customFormat="1" ht="20.25" x14ac:dyDescent="0.3">
      <c r="A40" s="61"/>
      <c r="B40" s="61"/>
      <c r="F40" s="63"/>
    </row>
    <row r="41" spans="1:16" ht="15.75" x14ac:dyDescent="0.2">
      <c r="A41" s="64"/>
      <c r="B41" s="64"/>
    </row>
    <row r="42" spans="1:16" ht="15.75" x14ac:dyDescent="0.2">
      <c r="A42" s="716"/>
      <c r="B42" s="716"/>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2"/>
  <sheetViews>
    <sheetView view="pageBreakPreview" topLeftCell="B118" zoomScale="88" zoomScaleNormal="100" zoomScaleSheetLayoutView="88" workbookViewId="0">
      <selection activeCell="P132" sqref="P132"/>
    </sheetView>
  </sheetViews>
  <sheetFormatPr defaultColWidth="8.85546875" defaultRowHeight="15.75" x14ac:dyDescent="0.25"/>
  <cols>
    <col min="1" max="3" width="12.140625" style="297" customWidth="1"/>
    <col min="4" max="4" width="40.7109375" style="298" customWidth="1"/>
    <col min="5" max="8" width="15.7109375" style="298" customWidth="1"/>
    <col min="9" max="15" width="15.7109375" style="299" customWidth="1"/>
    <col min="16" max="16" width="15.7109375" style="298" customWidth="1"/>
    <col min="17" max="16384" width="8.85546875" style="1"/>
  </cols>
  <sheetData>
    <row r="1" spans="1:17" x14ac:dyDescent="0.25">
      <c r="N1" s="558" t="s">
        <v>215</v>
      </c>
      <c r="O1" s="4"/>
    </row>
    <row r="2" spans="1:17" x14ac:dyDescent="0.25">
      <c r="N2" s="558" t="s">
        <v>388</v>
      </c>
      <c r="O2" s="4"/>
    </row>
    <row r="3" spans="1:17" x14ac:dyDescent="0.25">
      <c r="N3" s="559" t="s">
        <v>527</v>
      </c>
      <c r="O3" s="7"/>
    </row>
    <row r="4" spans="1:17" x14ac:dyDescent="0.25">
      <c r="N4" s="561" t="s">
        <v>526</v>
      </c>
      <c r="O4" s="439"/>
    </row>
    <row r="5" spans="1:17" x14ac:dyDescent="0.25">
      <c r="N5" s="709" t="s">
        <v>416</v>
      </c>
      <c r="O5" s="709"/>
    </row>
    <row r="6" spans="1:17" x14ac:dyDescent="0.25">
      <c r="K6" s="298"/>
      <c r="L6" s="298"/>
      <c r="M6" s="298"/>
      <c r="N6" s="732" t="s">
        <v>444</v>
      </c>
      <c r="O6" s="732"/>
      <c r="P6" s="732"/>
      <c r="Q6" s="2"/>
    </row>
    <row r="7" spans="1:17" x14ac:dyDescent="0.25">
      <c r="K7" s="298"/>
      <c r="L7" s="298"/>
      <c r="M7" s="298"/>
      <c r="N7" s="733" t="s">
        <v>390</v>
      </c>
      <c r="O7" s="733"/>
      <c r="P7" s="733"/>
      <c r="Q7" s="238"/>
    </row>
    <row r="8" spans="1:17" x14ac:dyDescent="0.25">
      <c r="K8" s="298"/>
      <c r="L8" s="298"/>
      <c r="M8" s="298"/>
      <c r="N8" s="733" t="s">
        <v>8</v>
      </c>
      <c r="O8" s="733"/>
      <c r="P8" s="733"/>
      <c r="Q8" s="238"/>
    </row>
    <row r="9" spans="1:17" x14ac:dyDescent="0.25">
      <c r="K9" s="298"/>
      <c r="L9" s="298"/>
      <c r="M9" s="298"/>
      <c r="N9" s="733" t="s">
        <v>324</v>
      </c>
      <c r="O9" s="733"/>
      <c r="P9" s="733"/>
      <c r="Q9" s="238"/>
    </row>
    <row r="10" spans="1:17" x14ac:dyDescent="0.25">
      <c r="K10" s="298"/>
      <c r="L10" s="298"/>
      <c r="M10" s="298"/>
      <c r="N10" s="734" t="s">
        <v>403</v>
      </c>
      <c r="O10" s="734"/>
      <c r="P10" s="734"/>
      <c r="Q10" s="238"/>
    </row>
    <row r="11" spans="1:17" x14ac:dyDescent="0.25">
      <c r="K11" s="298"/>
      <c r="L11" s="298"/>
      <c r="M11" s="298"/>
      <c r="N11" s="735" t="s">
        <v>405</v>
      </c>
      <c r="O11" s="735"/>
      <c r="P11" s="735"/>
      <c r="Q11" s="238"/>
    </row>
    <row r="12" spans="1:17" x14ac:dyDescent="0.25">
      <c r="K12" s="298"/>
      <c r="L12" s="298"/>
      <c r="M12" s="298"/>
      <c r="N12" s="733" t="s">
        <v>445</v>
      </c>
      <c r="O12" s="733"/>
      <c r="P12" s="733"/>
      <c r="Q12" s="63"/>
    </row>
    <row r="13" spans="1:17" x14ac:dyDescent="0.25">
      <c r="A13" s="737" t="s">
        <v>217</v>
      </c>
      <c r="B13" s="738"/>
      <c r="C13" s="738"/>
      <c r="D13" s="738"/>
      <c r="E13" s="738"/>
      <c r="F13" s="738"/>
      <c r="G13" s="738"/>
      <c r="H13" s="738"/>
      <c r="I13" s="738"/>
      <c r="J13" s="738"/>
      <c r="K13" s="738"/>
      <c r="L13" s="738"/>
      <c r="M13" s="738"/>
      <c r="N13" s="738"/>
      <c r="O13" s="738"/>
      <c r="P13" s="738"/>
    </row>
    <row r="14" spans="1:17" x14ac:dyDescent="0.25">
      <c r="A14" s="737" t="s">
        <v>321</v>
      </c>
      <c r="B14" s="738"/>
      <c r="C14" s="738"/>
      <c r="D14" s="738"/>
      <c r="E14" s="738"/>
      <c r="F14" s="738"/>
      <c r="G14" s="738"/>
      <c r="H14" s="738"/>
      <c r="I14" s="738"/>
      <c r="J14" s="738"/>
      <c r="K14" s="738"/>
      <c r="L14" s="738"/>
      <c r="M14" s="738"/>
      <c r="N14" s="738"/>
      <c r="O14" s="738"/>
      <c r="P14" s="738"/>
    </row>
    <row r="15" spans="1:17" x14ac:dyDescent="0.25">
      <c r="A15" s="300" t="s">
        <v>214</v>
      </c>
    </row>
    <row r="16" spans="1:17" ht="17.45" customHeight="1" thickBot="1" x14ac:dyDescent="0.3">
      <c r="A16" s="297" t="s">
        <v>0</v>
      </c>
      <c r="P16" s="299" t="s">
        <v>9</v>
      </c>
    </row>
    <row r="17" spans="1:16" s="239" customFormat="1" ht="12.75" x14ac:dyDescent="0.2">
      <c r="A17" s="739" t="s">
        <v>10</v>
      </c>
      <c r="B17" s="741" t="s">
        <v>11</v>
      </c>
      <c r="C17" s="741" t="s">
        <v>12</v>
      </c>
      <c r="D17" s="741" t="s">
        <v>13</v>
      </c>
      <c r="E17" s="741" t="s">
        <v>3</v>
      </c>
      <c r="F17" s="741"/>
      <c r="G17" s="741"/>
      <c r="H17" s="741"/>
      <c r="I17" s="741"/>
      <c r="J17" s="741" t="s">
        <v>4</v>
      </c>
      <c r="K17" s="741"/>
      <c r="L17" s="741"/>
      <c r="M17" s="741"/>
      <c r="N17" s="741"/>
      <c r="O17" s="741"/>
      <c r="P17" s="742" t="s">
        <v>218</v>
      </c>
    </row>
    <row r="18" spans="1:16" s="239" customFormat="1" ht="12.75" x14ac:dyDescent="0.2">
      <c r="A18" s="740"/>
      <c r="B18" s="731"/>
      <c r="C18" s="731"/>
      <c r="D18" s="731"/>
      <c r="E18" s="731" t="s">
        <v>5</v>
      </c>
      <c r="F18" s="731" t="s">
        <v>14</v>
      </c>
      <c r="G18" s="731" t="s">
        <v>219</v>
      </c>
      <c r="H18" s="731"/>
      <c r="I18" s="744" t="s">
        <v>220</v>
      </c>
      <c r="J18" s="731" t="s">
        <v>5</v>
      </c>
      <c r="K18" s="731" t="s">
        <v>6</v>
      </c>
      <c r="L18" s="731" t="s">
        <v>14</v>
      </c>
      <c r="M18" s="731" t="s">
        <v>219</v>
      </c>
      <c r="N18" s="731"/>
      <c r="O18" s="731" t="s">
        <v>220</v>
      </c>
      <c r="P18" s="743"/>
    </row>
    <row r="19" spans="1:16" s="239" customFormat="1" ht="12.75" x14ac:dyDescent="0.2">
      <c r="A19" s="740"/>
      <c r="B19" s="731"/>
      <c r="C19" s="731"/>
      <c r="D19" s="731"/>
      <c r="E19" s="731"/>
      <c r="F19" s="731"/>
      <c r="G19" s="731" t="s">
        <v>275</v>
      </c>
      <c r="H19" s="731" t="s">
        <v>221</v>
      </c>
      <c r="I19" s="744"/>
      <c r="J19" s="731"/>
      <c r="K19" s="731"/>
      <c r="L19" s="731"/>
      <c r="M19" s="731" t="s">
        <v>275</v>
      </c>
      <c r="N19" s="731" t="s">
        <v>221</v>
      </c>
      <c r="O19" s="731"/>
      <c r="P19" s="743"/>
    </row>
    <row r="20" spans="1:16" s="239" customFormat="1" ht="55.9" customHeight="1" x14ac:dyDescent="0.2">
      <c r="A20" s="740"/>
      <c r="B20" s="731"/>
      <c r="C20" s="731"/>
      <c r="D20" s="731"/>
      <c r="E20" s="731"/>
      <c r="F20" s="731"/>
      <c r="G20" s="731"/>
      <c r="H20" s="731"/>
      <c r="I20" s="744"/>
      <c r="J20" s="731"/>
      <c r="K20" s="731"/>
      <c r="L20" s="731"/>
      <c r="M20" s="731"/>
      <c r="N20" s="731"/>
      <c r="O20" s="731"/>
      <c r="P20" s="743"/>
    </row>
    <row r="21" spans="1:16" ht="16.5" thickBot="1" x14ac:dyDescent="0.3">
      <c r="A21" s="289">
        <v>1</v>
      </c>
      <c r="B21" s="290">
        <v>2</v>
      </c>
      <c r="C21" s="290">
        <v>3</v>
      </c>
      <c r="D21" s="290">
        <v>4</v>
      </c>
      <c r="E21" s="290">
        <v>5</v>
      </c>
      <c r="F21" s="290">
        <v>6</v>
      </c>
      <c r="G21" s="290">
        <v>7</v>
      </c>
      <c r="H21" s="290">
        <v>8</v>
      </c>
      <c r="I21" s="301">
        <v>9</v>
      </c>
      <c r="J21" s="301">
        <v>10</v>
      </c>
      <c r="K21" s="301">
        <v>11</v>
      </c>
      <c r="L21" s="301">
        <v>12</v>
      </c>
      <c r="M21" s="301">
        <v>13</v>
      </c>
      <c r="N21" s="301">
        <v>14</v>
      </c>
      <c r="O21" s="301">
        <v>15</v>
      </c>
      <c r="P21" s="302">
        <v>16</v>
      </c>
    </row>
    <row r="22" spans="1:16" ht="48" thickBot="1" x14ac:dyDescent="0.3">
      <c r="A22" s="284" t="s">
        <v>15</v>
      </c>
      <c r="B22" s="285" t="s">
        <v>16</v>
      </c>
      <c r="C22" s="285" t="s">
        <v>16</v>
      </c>
      <c r="D22" s="287" t="s">
        <v>396</v>
      </c>
      <c r="E22" s="303">
        <f>E23</f>
        <v>116405353</v>
      </c>
      <c r="F22" s="303">
        <f>F23</f>
        <v>116405353</v>
      </c>
      <c r="G22" s="303">
        <f t="shared" ref="G22:I22" si="0">G23</f>
        <v>27687920</v>
      </c>
      <c r="H22" s="303">
        <f t="shared" si="0"/>
        <v>2738106</v>
      </c>
      <c r="I22" s="304">
        <f t="shared" si="0"/>
        <v>0</v>
      </c>
      <c r="J22" s="304">
        <f>J23</f>
        <v>7412103</v>
      </c>
      <c r="K22" s="304">
        <f t="shared" ref="K22:O22" si="1">K23</f>
        <v>7412103</v>
      </c>
      <c r="L22" s="304">
        <f t="shared" si="1"/>
        <v>0</v>
      </c>
      <c r="M22" s="304">
        <f t="shared" si="1"/>
        <v>0</v>
      </c>
      <c r="N22" s="304">
        <f t="shared" si="1"/>
        <v>0</v>
      </c>
      <c r="O22" s="304">
        <f t="shared" si="1"/>
        <v>7412103</v>
      </c>
      <c r="P22" s="305">
        <f t="shared" ref="P22:P57" si="2">E22+J22</f>
        <v>123817456</v>
      </c>
    </row>
    <row r="23" spans="1:16" ht="47.25" x14ac:dyDescent="0.25">
      <c r="A23" s="306" t="s">
        <v>17</v>
      </c>
      <c r="B23" s="307" t="s">
        <v>16</v>
      </c>
      <c r="C23" s="307" t="s">
        <v>16</v>
      </c>
      <c r="D23" s="308" t="s">
        <v>396</v>
      </c>
      <c r="E23" s="309">
        <f>E24+E26+E27+E29+E32+E33+E34+E36+E25+E28+E37</f>
        <v>116405353</v>
      </c>
      <c r="F23" s="309">
        <f>F24+F26+F27+F29+F32+F33+F34+F36+F25+F28+F37</f>
        <v>116405353</v>
      </c>
      <c r="G23" s="309">
        <f>G24+G26+G27+G29+G32+G33+G34+G36+G25+G28</f>
        <v>27687920</v>
      </c>
      <c r="H23" s="309">
        <f>H24+H26+H27+H29+H32+H33+H34+H36+H25+H28</f>
        <v>2738106</v>
      </c>
      <c r="I23" s="310">
        <f>I24+I26+I27+I29+I32+I33+I34+I36+I25+I28</f>
        <v>0</v>
      </c>
      <c r="J23" s="310">
        <f>J24+J25+J26+J28+J29+J30+J31+J32+J33+J34+J34+J36+J27+J35+J38</f>
        <v>7412103</v>
      </c>
      <c r="K23" s="310">
        <f>K24+K25+K26+K28+K29+K30+K31+K32+K33+K34+K34+K36+K27+K35+K38</f>
        <v>7412103</v>
      </c>
      <c r="L23" s="310">
        <f t="shared" ref="L23:N23" si="3">L24+L25+L26+L28+L29+L30+L31+L32+L33+L34+L34+L36+L27</f>
        <v>0</v>
      </c>
      <c r="M23" s="310">
        <f t="shared" si="3"/>
        <v>0</v>
      </c>
      <c r="N23" s="310">
        <f t="shared" si="3"/>
        <v>0</v>
      </c>
      <c r="O23" s="310">
        <f>O24+O25+O26+O28+O29+O30+O31+O32+O33+O34+O34+O36+O27+O35+O38</f>
        <v>7412103</v>
      </c>
      <c r="P23" s="311">
        <f>E23+J23</f>
        <v>123817456</v>
      </c>
    </row>
    <row r="24" spans="1:16" ht="94.5" x14ac:dyDescent="0.25">
      <c r="A24" s="253" t="s">
        <v>222</v>
      </c>
      <c r="B24" s="244" t="s">
        <v>223</v>
      </c>
      <c r="C24" s="244" t="s">
        <v>18</v>
      </c>
      <c r="D24" s="182" t="s">
        <v>224</v>
      </c>
      <c r="E24" s="292">
        <f>F24+I24</f>
        <v>33989000</v>
      </c>
      <c r="F24" s="292">
        <f>34654250-665250</f>
        <v>33989000</v>
      </c>
      <c r="G24" s="292">
        <v>27687920</v>
      </c>
      <c r="H24" s="292">
        <v>2738106</v>
      </c>
      <c r="I24" s="8">
        <v>0</v>
      </c>
      <c r="J24" s="310">
        <f>L24+O24</f>
        <v>0</v>
      </c>
      <c r="K24" s="8"/>
      <c r="L24" s="8"/>
      <c r="M24" s="8">
        <v>0</v>
      </c>
      <c r="N24" s="8">
        <v>0</v>
      </c>
      <c r="O24" s="8"/>
      <c r="P24" s="342">
        <f t="shared" ref="P24:P38" si="4">E24+J24</f>
        <v>33989000</v>
      </c>
    </row>
    <row r="25" spans="1:16" ht="31.5" x14ac:dyDescent="0.25">
      <c r="A25" s="313" t="s">
        <v>325</v>
      </c>
      <c r="B25" s="312" t="s">
        <v>274</v>
      </c>
      <c r="C25" s="244">
        <v>133</v>
      </c>
      <c r="D25" s="182" t="s">
        <v>293</v>
      </c>
      <c r="E25" s="292">
        <f>F25+I25</f>
        <v>165900</v>
      </c>
      <c r="F25" s="292">
        <f>107400+58500</f>
        <v>165900</v>
      </c>
      <c r="G25" s="292">
        <v>0</v>
      </c>
      <c r="H25" s="292">
        <v>0</v>
      </c>
      <c r="I25" s="8">
        <v>0</v>
      </c>
      <c r="J25" s="310">
        <f t="shared" ref="J25:J38" si="5">L25+O25</f>
        <v>0</v>
      </c>
      <c r="K25" s="8"/>
      <c r="L25" s="8"/>
      <c r="M25" s="8"/>
      <c r="N25" s="8"/>
      <c r="O25" s="8"/>
      <c r="P25" s="342">
        <f t="shared" si="4"/>
        <v>165900</v>
      </c>
    </row>
    <row r="26" spans="1:16" ht="31.5" x14ac:dyDescent="0.25">
      <c r="A26" s="253" t="s">
        <v>19</v>
      </c>
      <c r="B26" s="244" t="s">
        <v>20</v>
      </c>
      <c r="C26" s="244" t="s">
        <v>21</v>
      </c>
      <c r="D26" s="182" t="s">
        <v>22</v>
      </c>
      <c r="E26" s="292">
        <f t="shared" ref="E26:E37" si="6">F26+I26</f>
        <v>24456802</v>
      </c>
      <c r="F26" s="292">
        <v>24456802</v>
      </c>
      <c r="G26" s="292">
        <v>0</v>
      </c>
      <c r="H26" s="292">
        <v>0</v>
      </c>
      <c r="I26" s="8">
        <v>0</v>
      </c>
      <c r="J26" s="310">
        <f t="shared" si="5"/>
        <v>1548687</v>
      </c>
      <c r="K26" s="8">
        <f>O26</f>
        <v>1548687</v>
      </c>
      <c r="L26" s="8">
        <v>0</v>
      </c>
      <c r="M26" s="8">
        <v>0</v>
      </c>
      <c r="N26" s="8">
        <v>0</v>
      </c>
      <c r="O26" s="8">
        <v>1548687</v>
      </c>
      <c r="P26" s="342">
        <f t="shared" si="4"/>
        <v>26005489</v>
      </c>
    </row>
    <row r="27" spans="1:16" ht="63" x14ac:dyDescent="0.25">
      <c r="A27" s="253" t="s">
        <v>23</v>
      </c>
      <c r="B27" s="244" t="s">
        <v>24</v>
      </c>
      <c r="C27" s="244" t="s">
        <v>25</v>
      </c>
      <c r="D27" s="182" t="s">
        <v>26</v>
      </c>
      <c r="E27" s="292">
        <f t="shared" si="6"/>
        <v>880094</v>
      </c>
      <c r="F27" s="292">
        <f>829404+50690</f>
        <v>880094</v>
      </c>
      <c r="G27" s="292">
        <v>0</v>
      </c>
      <c r="H27" s="292">
        <v>0</v>
      </c>
      <c r="I27" s="8">
        <v>0</v>
      </c>
      <c r="J27" s="310">
        <f t="shared" si="5"/>
        <v>173298</v>
      </c>
      <c r="K27" s="8">
        <f>O27</f>
        <v>173298</v>
      </c>
      <c r="L27" s="8">
        <v>0</v>
      </c>
      <c r="M27" s="8">
        <v>0</v>
      </c>
      <c r="N27" s="8">
        <v>0</v>
      </c>
      <c r="O27" s="8">
        <f>0+173298</f>
        <v>173298</v>
      </c>
      <c r="P27" s="342">
        <f t="shared" si="4"/>
        <v>1053392</v>
      </c>
    </row>
    <row r="28" spans="1:16" ht="31.5" x14ac:dyDescent="0.25">
      <c r="A28" s="313" t="s">
        <v>281</v>
      </c>
      <c r="B28" s="244">
        <v>2152</v>
      </c>
      <c r="C28" s="312" t="s">
        <v>282</v>
      </c>
      <c r="D28" s="182" t="s">
        <v>294</v>
      </c>
      <c r="E28" s="292">
        <f t="shared" si="6"/>
        <v>2932512</v>
      </c>
      <c r="F28" s="292">
        <v>2932512</v>
      </c>
      <c r="G28" s="292">
        <v>0</v>
      </c>
      <c r="H28" s="292">
        <v>0</v>
      </c>
      <c r="I28" s="8">
        <v>0</v>
      </c>
      <c r="J28" s="310">
        <f t="shared" si="5"/>
        <v>0</v>
      </c>
      <c r="K28" s="8">
        <f t="shared" ref="K28:K29" si="7">O28</f>
        <v>0</v>
      </c>
      <c r="L28" s="8"/>
      <c r="M28" s="8"/>
      <c r="N28" s="8"/>
      <c r="O28" s="8"/>
      <c r="P28" s="342">
        <f t="shared" si="4"/>
        <v>2932512</v>
      </c>
    </row>
    <row r="29" spans="1:16" ht="31.5" x14ac:dyDescent="0.25">
      <c r="A29" s="253" t="s">
        <v>30</v>
      </c>
      <c r="B29" s="244" t="s">
        <v>31</v>
      </c>
      <c r="C29" s="244" t="s">
        <v>32</v>
      </c>
      <c r="D29" s="182" t="s">
        <v>33</v>
      </c>
      <c r="E29" s="292">
        <f t="shared" si="6"/>
        <v>155496</v>
      </c>
      <c r="F29" s="292">
        <v>155496</v>
      </c>
      <c r="G29" s="292">
        <v>0</v>
      </c>
      <c r="H29" s="292">
        <v>0</v>
      </c>
      <c r="I29" s="8">
        <v>0</v>
      </c>
      <c r="J29" s="310">
        <f t="shared" si="5"/>
        <v>657194</v>
      </c>
      <c r="K29" s="8">
        <f t="shared" si="7"/>
        <v>657194</v>
      </c>
      <c r="L29" s="8">
        <v>0</v>
      </c>
      <c r="M29" s="8">
        <v>0</v>
      </c>
      <c r="N29" s="8">
        <v>0</v>
      </c>
      <c r="O29" s="8">
        <f>657194</f>
        <v>657194</v>
      </c>
      <c r="P29" s="342">
        <f t="shared" si="4"/>
        <v>812690</v>
      </c>
    </row>
    <row r="30" spans="1:16" ht="32.25" customHeight="1" x14ac:dyDescent="0.25">
      <c r="A30" s="313" t="s">
        <v>295</v>
      </c>
      <c r="B30" s="312">
        <v>7650</v>
      </c>
      <c r="C30" s="312" t="s">
        <v>227</v>
      </c>
      <c r="D30" s="182" t="s">
        <v>296</v>
      </c>
      <c r="E30" s="292">
        <f t="shared" si="6"/>
        <v>0</v>
      </c>
      <c r="F30" s="292">
        <v>0</v>
      </c>
      <c r="G30" s="292">
        <v>0</v>
      </c>
      <c r="H30" s="292">
        <v>0</v>
      </c>
      <c r="I30" s="8">
        <v>0</v>
      </c>
      <c r="J30" s="310">
        <f t="shared" si="5"/>
        <v>57000</v>
      </c>
      <c r="K30" s="8">
        <v>57000</v>
      </c>
      <c r="L30" s="8">
        <v>0</v>
      </c>
      <c r="M30" s="8"/>
      <c r="N30" s="8"/>
      <c r="O30" s="8">
        <v>57000</v>
      </c>
      <c r="P30" s="342">
        <f t="shared" si="4"/>
        <v>57000</v>
      </c>
    </row>
    <row r="31" spans="1:16" ht="80.25" customHeight="1" x14ac:dyDescent="0.25">
      <c r="A31" s="313" t="s">
        <v>297</v>
      </c>
      <c r="B31" s="312" t="s">
        <v>298</v>
      </c>
      <c r="C31" s="312" t="s">
        <v>227</v>
      </c>
      <c r="D31" s="182" t="s">
        <v>299</v>
      </c>
      <c r="E31" s="292">
        <f t="shared" si="6"/>
        <v>0</v>
      </c>
      <c r="F31" s="292">
        <v>0</v>
      </c>
      <c r="G31" s="292">
        <v>0</v>
      </c>
      <c r="H31" s="292">
        <v>0</v>
      </c>
      <c r="I31" s="8">
        <v>0</v>
      </c>
      <c r="J31" s="310">
        <f t="shared" si="5"/>
        <v>15200</v>
      </c>
      <c r="K31" s="8">
        <v>15200</v>
      </c>
      <c r="L31" s="8">
        <v>0</v>
      </c>
      <c r="M31" s="8"/>
      <c r="N31" s="8"/>
      <c r="O31" s="8">
        <v>15200</v>
      </c>
      <c r="P31" s="342">
        <f t="shared" si="4"/>
        <v>15200</v>
      </c>
    </row>
    <row r="32" spans="1:16" ht="31.5" x14ac:dyDescent="0.25">
      <c r="A32" s="253" t="s">
        <v>225</v>
      </c>
      <c r="B32" s="244" t="s">
        <v>226</v>
      </c>
      <c r="C32" s="244" t="s">
        <v>227</v>
      </c>
      <c r="D32" s="182" t="s">
        <v>228</v>
      </c>
      <c r="E32" s="292">
        <f t="shared" si="6"/>
        <v>40031</v>
      </c>
      <c r="F32" s="292">
        <v>40031</v>
      </c>
      <c r="G32" s="292">
        <v>0</v>
      </c>
      <c r="H32" s="292">
        <v>0</v>
      </c>
      <c r="I32" s="8">
        <v>0</v>
      </c>
      <c r="J32" s="310">
        <f t="shared" si="5"/>
        <v>0</v>
      </c>
      <c r="K32" s="8">
        <v>0</v>
      </c>
      <c r="L32" s="8">
        <v>0</v>
      </c>
      <c r="M32" s="8">
        <v>0</v>
      </c>
      <c r="N32" s="8">
        <v>0</v>
      </c>
      <c r="O32" s="8">
        <v>0</v>
      </c>
      <c r="P32" s="342">
        <f t="shared" si="4"/>
        <v>40031</v>
      </c>
    </row>
    <row r="33" spans="1:16" ht="31.5" x14ac:dyDescent="0.25">
      <c r="A33" s="253" t="s">
        <v>34</v>
      </c>
      <c r="B33" s="244" t="s">
        <v>35</v>
      </c>
      <c r="C33" s="244" t="s">
        <v>36</v>
      </c>
      <c r="D33" s="182" t="s">
        <v>37</v>
      </c>
      <c r="E33" s="292">
        <f t="shared" si="6"/>
        <v>347700</v>
      </c>
      <c r="F33" s="292">
        <f>406200-58500</f>
        <v>347700</v>
      </c>
      <c r="G33" s="292">
        <v>0</v>
      </c>
      <c r="H33" s="292">
        <v>0</v>
      </c>
      <c r="I33" s="8">
        <v>0</v>
      </c>
      <c r="J33" s="310">
        <f t="shared" si="5"/>
        <v>0</v>
      </c>
      <c r="K33" s="8">
        <v>0</v>
      </c>
      <c r="L33" s="8">
        <v>0</v>
      </c>
      <c r="M33" s="8">
        <v>0</v>
      </c>
      <c r="N33" s="8">
        <v>0</v>
      </c>
      <c r="O33" s="8">
        <v>0</v>
      </c>
      <c r="P33" s="342">
        <f t="shared" si="4"/>
        <v>347700</v>
      </c>
    </row>
    <row r="34" spans="1:16" ht="31.5" x14ac:dyDescent="0.25">
      <c r="A34" s="253" t="s">
        <v>144</v>
      </c>
      <c r="B34" s="244" t="s">
        <v>229</v>
      </c>
      <c r="C34" s="244" t="s">
        <v>36</v>
      </c>
      <c r="D34" s="182" t="s">
        <v>145</v>
      </c>
      <c r="E34" s="292">
        <f t="shared" si="6"/>
        <v>19855111</v>
      </c>
      <c r="F34" s="292">
        <f>20158706-303595</f>
        <v>19855111</v>
      </c>
      <c r="G34" s="292">
        <v>0</v>
      </c>
      <c r="H34" s="292">
        <v>0</v>
      </c>
      <c r="I34" s="8">
        <v>0</v>
      </c>
      <c r="J34" s="310">
        <f t="shared" si="5"/>
        <v>0</v>
      </c>
      <c r="K34" s="8">
        <v>0</v>
      </c>
      <c r="L34" s="8">
        <v>0</v>
      </c>
      <c r="M34" s="8">
        <v>0</v>
      </c>
      <c r="N34" s="8">
        <v>0</v>
      </c>
      <c r="O34" s="8">
        <v>0</v>
      </c>
      <c r="P34" s="342">
        <f t="shared" si="4"/>
        <v>19855111</v>
      </c>
    </row>
    <row r="35" spans="1:16" ht="31.5" x14ac:dyDescent="0.25">
      <c r="A35" s="574" t="s">
        <v>432</v>
      </c>
      <c r="B35" s="564">
        <v>8240</v>
      </c>
      <c r="C35" s="564" t="s">
        <v>36</v>
      </c>
      <c r="D35" s="182" t="s">
        <v>433</v>
      </c>
      <c r="E35" s="292"/>
      <c r="F35" s="292"/>
      <c r="G35" s="292"/>
      <c r="H35" s="292"/>
      <c r="I35" s="8"/>
      <c r="J35" s="310">
        <f>L35+O35</f>
        <v>400444</v>
      </c>
      <c r="K35" s="8">
        <v>400444</v>
      </c>
      <c r="L35" s="8"/>
      <c r="M35" s="8"/>
      <c r="N35" s="8"/>
      <c r="O35" s="8">
        <v>400444</v>
      </c>
      <c r="P35" s="342">
        <f t="shared" si="4"/>
        <v>400444</v>
      </c>
    </row>
    <row r="36" spans="1:16" ht="35.450000000000003" customHeight="1" x14ac:dyDescent="0.25">
      <c r="A36" s="244" t="s">
        <v>38</v>
      </c>
      <c r="B36" s="244" t="s">
        <v>39</v>
      </c>
      <c r="C36" s="244" t="s">
        <v>40</v>
      </c>
      <c r="D36" s="182" t="s">
        <v>413</v>
      </c>
      <c r="E36" s="292">
        <f t="shared" si="6"/>
        <v>3582707</v>
      </c>
      <c r="F36" s="292">
        <f>3582707+490356-490356</f>
        <v>3582707</v>
      </c>
      <c r="G36" s="292">
        <v>0</v>
      </c>
      <c r="H36" s="292">
        <v>0</v>
      </c>
      <c r="I36" s="8">
        <v>0</v>
      </c>
      <c r="J36" s="310">
        <f t="shared" si="5"/>
        <v>0</v>
      </c>
      <c r="K36" s="8">
        <v>0</v>
      </c>
      <c r="L36" s="8">
        <v>0</v>
      </c>
      <c r="M36" s="8">
        <v>0</v>
      </c>
      <c r="N36" s="8">
        <v>0</v>
      </c>
      <c r="O36" s="8">
        <v>0</v>
      </c>
      <c r="P36" s="342">
        <f t="shared" si="4"/>
        <v>3582707</v>
      </c>
    </row>
    <row r="37" spans="1:16" ht="35.450000000000003" customHeight="1" x14ac:dyDescent="0.25">
      <c r="A37" s="312" t="s">
        <v>421</v>
      </c>
      <c r="B37" s="682">
        <v>9770</v>
      </c>
      <c r="C37" s="312" t="s">
        <v>274</v>
      </c>
      <c r="D37" s="182" t="s">
        <v>415</v>
      </c>
      <c r="E37" s="292">
        <f t="shared" si="6"/>
        <v>30000000</v>
      </c>
      <c r="F37" s="292">
        <v>30000000</v>
      </c>
      <c r="G37" s="292"/>
      <c r="H37" s="292"/>
      <c r="I37" s="8"/>
      <c r="J37" s="691">
        <f t="shared" si="5"/>
        <v>0</v>
      </c>
      <c r="K37" s="8"/>
      <c r="L37" s="8"/>
      <c r="M37" s="8"/>
      <c r="N37" s="8"/>
      <c r="O37" s="8">
        <v>0</v>
      </c>
      <c r="P37" s="692">
        <f t="shared" si="4"/>
        <v>30000000</v>
      </c>
    </row>
    <row r="38" spans="1:16" ht="76.900000000000006" customHeight="1" thickBot="1" x14ac:dyDescent="0.3">
      <c r="A38" s="572" t="s">
        <v>530</v>
      </c>
      <c r="B38" s="17">
        <v>9800</v>
      </c>
      <c r="C38" s="312" t="s">
        <v>274</v>
      </c>
      <c r="D38" s="265" t="s">
        <v>531</v>
      </c>
      <c r="E38" s="390"/>
      <c r="F38" s="390"/>
      <c r="G38" s="390"/>
      <c r="H38" s="390"/>
      <c r="I38" s="391"/>
      <c r="J38" s="691">
        <f t="shared" si="5"/>
        <v>4560280</v>
      </c>
      <c r="K38" s="391">
        <f>O38</f>
        <v>4560280</v>
      </c>
      <c r="L38" s="391"/>
      <c r="M38" s="391"/>
      <c r="N38" s="391"/>
      <c r="O38" s="391">
        <f>0+4560280</f>
        <v>4560280</v>
      </c>
      <c r="P38" s="692">
        <f t="shared" si="4"/>
        <v>4560280</v>
      </c>
    </row>
    <row r="39" spans="1:16" ht="48" thickBot="1" x14ac:dyDescent="0.3">
      <c r="A39" s="284" t="s">
        <v>41</v>
      </c>
      <c r="B39" s="285" t="s">
        <v>16</v>
      </c>
      <c r="C39" s="285" t="s">
        <v>16</v>
      </c>
      <c r="D39" s="287" t="s">
        <v>422</v>
      </c>
      <c r="E39" s="314">
        <f>E40</f>
        <v>227806881</v>
      </c>
      <c r="F39" s="314">
        <f>F40</f>
        <v>227806881</v>
      </c>
      <c r="G39" s="314">
        <f t="shared" ref="G39:I39" si="8">G40</f>
        <v>173374341</v>
      </c>
      <c r="H39" s="314">
        <f t="shared" si="8"/>
        <v>29225942</v>
      </c>
      <c r="I39" s="314">
        <f t="shared" si="8"/>
        <v>0</v>
      </c>
      <c r="J39" s="314">
        <f>J40</f>
        <v>16173978</v>
      </c>
      <c r="K39" s="314">
        <f>K40</f>
        <v>1932143</v>
      </c>
      <c r="L39" s="314">
        <f t="shared" ref="L39:O39" si="9">L40</f>
        <v>14241835</v>
      </c>
      <c r="M39" s="314">
        <f>M40</f>
        <v>1981242</v>
      </c>
      <c r="N39" s="314">
        <f t="shared" si="9"/>
        <v>60976</v>
      </c>
      <c r="O39" s="314">
        <f t="shared" si="9"/>
        <v>1932143</v>
      </c>
      <c r="P39" s="315">
        <f t="shared" si="2"/>
        <v>243980859</v>
      </c>
    </row>
    <row r="40" spans="1:16" s="240" customFormat="1" ht="47.25" x14ac:dyDescent="0.25">
      <c r="A40" s="306" t="s">
        <v>42</v>
      </c>
      <c r="B40" s="307" t="s">
        <v>16</v>
      </c>
      <c r="C40" s="307" t="s">
        <v>16</v>
      </c>
      <c r="D40" s="308" t="s">
        <v>422</v>
      </c>
      <c r="E40" s="294">
        <f>E41+E42+E43+E46+E47+E48+E49+E50+E53+E51+E57+E56+E52+E45</f>
        <v>227806881</v>
      </c>
      <c r="F40" s="294">
        <f>F41+F42+F43+F46+F47+F48+F49+F50+F53+F51+F57+F56+F52+F45</f>
        <v>227806881</v>
      </c>
      <c r="G40" s="294">
        <f>G41+G42+G43+G46+G47+G48+G49+G50+G53+G51+G57+G56+G52+G45</f>
        <v>173374341</v>
      </c>
      <c r="H40" s="294">
        <f>H41+H42+H43+H46+H47+H48+H49+H50+H53+H51+H57</f>
        <v>29225942</v>
      </c>
      <c r="I40" s="294">
        <f>I41+I42+I43+I46+I47+I48+I49+I50+I53</f>
        <v>0</v>
      </c>
      <c r="J40" s="294">
        <f>J41+J42+J43+J46+J47+J48+J49+J50+J53+J44+J54+J55</f>
        <v>16173978</v>
      </c>
      <c r="K40" s="294">
        <f>K41+K42+K43+K46+K47+K48+K49+K50+K53+K44+K54+K55</f>
        <v>1932143</v>
      </c>
      <c r="L40" s="294">
        <f>L41+L42+L43+L46+L47+L48+L49+L50+L53+L44</f>
        <v>14241835</v>
      </c>
      <c r="M40" s="437">
        <f>M41+M42+M43+M46+M47+M48+M49+M50+M51+M53+M57</f>
        <v>1981242</v>
      </c>
      <c r="N40" s="294">
        <f>N41+N42+N43+N46+N47+N48+N49+N50+N53</f>
        <v>60976</v>
      </c>
      <c r="O40" s="294">
        <f>O41+O42+O43+O46+O47+O48+O49+O50+O53+O54+O55</f>
        <v>1932143</v>
      </c>
      <c r="P40" s="316">
        <f>E40+J40</f>
        <v>243980859</v>
      </c>
    </row>
    <row r="41" spans="1:16" ht="47.25" x14ac:dyDescent="0.25">
      <c r="A41" s="253" t="s">
        <v>230</v>
      </c>
      <c r="B41" s="244" t="s">
        <v>43</v>
      </c>
      <c r="C41" s="244" t="s">
        <v>18</v>
      </c>
      <c r="D41" s="182" t="s">
        <v>231</v>
      </c>
      <c r="E41" s="292">
        <f>F41+I41</f>
        <v>4916560</v>
      </c>
      <c r="F41" s="292">
        <v>4916560</v>
      </c>
      <c r="G41" s="292">
        <v>4157532</v>
      </c>
      <c r="H41" s="292">
        <v>193051</v>
      </c>
      <c r="I41" s="8">
        <v>0</v>
      </c>
      <c r="J41" s="8">
        <f>L41+O41</f>
        <v>0</v>
      </c>
      <c r="K41" s="8">
        <v>0</v>
      </c>
      <c r="L41" s="8">
        <v>0</v>
      </c>
      <c r="M41" s="8">
        <v>0</v>
      </c>
      <c r="N41" s="8">
        <v>0</v>
      </c>
      <c r="O41" s="8">
        <v>0</v>
      </c>
      <c r="P41" s="317">
        <f t="shared" si="2"/>
        <v>4916560</v>
      </c>
    </row>
    <row r="42" spans="1:16" ht="27" customHeight="1" x14ac:dyDescent="0.25">
      <c r="A42" s="253" t="s">
        <v>44</v>
      </c>
      <c r="B42" s="244" t="s">
        <v>45</v>
      </c>
      <c r="C42" s="244" t="s">
        <v>46</v>
      </c>
      <c r="D42" s="182" t="s">
        <v>47</v>
      </c>
      <c r="E42" s="292">
        <f t="shared" ref="E42:E57" si="10">F42+I42</f>
        <v>84177787</v>
      </c>
      <c r="F42" s="292">
        <f>82730763+1653405-301381+95000</f>
        <v>84177787</v>
      </c>
      <c r="G42" s="292">
        <f>50012246+11002694+1653405-301381</f>
        <v>62366964</v>
      </c>
      <c r="H42" s="292">
        <v>10027279</v>
      </c>
      <c r="I42" s="8">
        <v>0</v>
      </c>
      <c r="J42" s="8">
        <f>L42+O42</f>
        <v>1910484</v>
      </c>
      <c r="K42" s="8">
        <v>0</v>
      </c>
      <c r="L42" s="8">
        <v>1910484</v>
      </c>
      <c r="M42" s="8">
        <v>0</v>
      </c>
      <c r="N42" s="8">
        <v>0</v>
      </c>
      <c r="O42" s="8">
        <v>0</v>
      </c>
      <c r="P42" s="317">
        <f t="shared" si="2"/>
        <v>86088271</v>
      </c>
    </row>
    <row r="43" spans="1:16" ht="31.5" x14ac:dyDescent="0.25">
      <c r="A43" s="253" t="s">
        <v>48</v>
      </c>
      <c r="B43" s="244" t="s">
        <v>49</v>
      </c>
      <c r="C43" s="244" t="s">
        <v>50</v>
      </c>
      <c r="D43" s="182" t="s">
        <v>51</v>
      </c>
      <c r="E43" s="292">
        <f t="shared" si="10"/>
        <v>66581363</v>
      </c>
      <c r="F43" s="292">
        <f>64264558+5817405-3500600</f>
        <v>66581363</v>
      </c>
      <c r="G43" s="292">
        <f>31907857+5817405</f>
        <v>37725262</v>
      </c>
      <c r="H43" s="292">
        <v>18011423</v>
      </c>
      <c r="I43" s="8">
        <v>0</v>
      </c>
      <c r="J43" s="8">
        <f>L43+O43</f>
        <v>8830751</v>
      </c>
      <c r="K43" s="8">
        <v>0</v>
      </c>
      <c r="L43" s="8">
        <f>8830751</f>
        <v>8830751</v>
      </c>
      <c r="M43" s="8">
        <v>1981242</v>
      </c>
      <c r="N43" s="8">
        <v>60976</v>
      </c>
      <c r="O43" s="8">
        <v>0</v>
      </c>
      <c r="P43" s="317">
        <f>E43+J43</f>
        <v>75412114</v>
      </c>
    </row>
    <row r="44" spans="1:16" ht="78.75" x14ac:dyDescent="0.25">
      <c r="A44" s="313" t="s">
        <v>423</v>
      </c>
      <c r="B44" s="564">
        <v>1403</v>
      </c>
      <c r="C44" s="312" t="s">
        <v>56</v>
      </c>
      <c r="D44" s="182" t="s">
        <v>424</v>
      </c>
      <c r="E44" s="292">
        <f t="shared" si="10"/>
        <v>0</v>
      </c>
      <c r="F44" s="292"/>
      <c r="G44" s="292"/>
      <c r="H44" s="292"/>
      <c r="I44" s="8"/>
      <c r="J44" s="8">
        <f>L44+O44</f>
        <v>3500600</v>
      </c>
      <c r="K44" s="8"/>
      <c r="L44" s="8">
        <v>3500600</v>
      </c>
      <c r="M44" s="8"/>
      <c r="N44" s="8"/>
      <c r="O44" s="8"/>
      <c r="P44" s="317">
        <f>E44+J44</f>
        <v>3500600</v>
      </c>
    </row>
    <row r="45" spans="1:16" ht="78.75" x14ac:dyDescent="0.25">
      <c r="A45" s="313" t="s">
        <v>427</v>
      </c>
      <c r="B45" s="564">
        <v>1600</v>
      </c>
      <c r="C45" s="312" t="s">
        <v>56</v>
      </c>
      <c r="D45" s="182" t="s">
        <v>428</v>
      </c>
      <c r="E45" s="292">
        <f t="shared" si="10"/>
        <v>3975300</v>
      </c>
      <c r="F45" s="292">
        <v>3975300</v>
      </c>
      <c r="G45" s="292">
        <v>3975300</v>
      </c>
      <c r="H45" s="292"/>
      <c r="I45" s="8"/>
      <c r="J45" s="8"/>
      <c r="K45" s="8"/>
      <c r="L45" s="8"/>
      <c r="M45" s="8"/>
      <c r="N45" s="8"/>
      <c r="O45" s="8"/>
      <c r="P45" s="317">
        <f>E45+J45</f>
        <v>3975300</v>
      </c>
    </row>
    <row r="46" spans="1:16" ht="31.5" x14ac:dyDescent="0.25">
      <c r="A46" s="336" t="s">
        <v>232</v>
      </c>
      <c r="B46" s="337" t="s">
        <v>233</v>
      </c>
      <c r="C46" s="337" t="s">
        <v>50</v>
      </c>
      <c r="D46" s="257" t="s">
        <v>51</v>
      </c>
      <c r="E46" s="292">
        <f t="shared" si="10"/>
        <v>51662400</v>
      </c>
      <c r="F46" s="292">
        <v>51662400</v>
      </c>
      <c r="G46" s="292">
        <f>F46</f>
        <v>51662400</v>
      </c>
      <c r="H46" s="8">
        <v>0</v>
      </c>
      <c r="I46" s="8">
        <v>0</v>
      </c>
      <c r="J46" s="8">
        <f>L46+O46</f>
        <v>0</v>
      </c>
      <c r="K46" s="8">
        <v>0</v>
      </c>
      <c r="L46" s="8">
        <v>0</v>
      </c>
      <c r="M46" s="8">
        <v>0</v>
      </c>
      <c r="N46" s="8">
        <v>0</v>
      </c>
      <c r="O46" s="8">
        <v>0</v>
      </c>
      <c r="P46" s="317">
        <f t="shared" si="2"/>
        <v>51662400</v>
      </c>
    </row>
    <row r="47" spans="1:16" ht="47.25" x14ac:dyDescent="0.25">
      <c r="A47" s="253" t="s">
        <v>52</v>
      </c>
      <c r="B47" s="244" t="s">
        <v>53</v>
      </c>
      <c r="C47" s="244" t="s">
        <v>54</v>
      </c>
      <c r="D47" s="182" t="s">
        <v>55</v>
      </c>
      <c r="E47" s="292">
        <f t="shared" si="10"/>
        <v>6167319</v>
      </c>
      <c r="F47" s="292">
        <f>5731771+435548</f>
        <v>6167319</v>
      </c>
      <c r="G47" s="292">
        <f>4582100+435548</f>
        <v>5017648</v>
      </c>
      <c r="H47" s="292">
        <v>437189</v>
      </c>
      <c r="I47" s="8">
        <v>0</v>
      </c>
      <c r="J47" s="8">
        <v>0</v>
      </c>
      <c r="K47" s="8">
        <v>0</v>
      </c>
      <c r="L47" s="8">
        <v>0</v>
      </c>
      <c r="M47" s="8">
        <v>0</v>
      </c>
      <c r="N47" s="8">
        <v>0</v>
      </c>
      <c r="O47" s="8">
        <v>0</v>
      </c>
      <c r="P47" s="317">
        <f t="shared" si="2"/>
        <v>6167319</v>
      </c>
    </row>
    <row r="48" spans="1:16" ht="31.5" x14ac:dyDescent="0.25">
      <c r="A48" s="253" t="s">
        <v>234</v>
      </c>
      <c r="B48" s="244" t="s">
        <v>235</v>
      </c>
      <c r="C48" s="244" t="s">
        <v>56</v>
      </c>
      <c r="D48" s="182" t="s">
        <v>236</v>
      </c>
      <c r="E48" s="292">
        <f t="shared" si="10"/>
        <v>4957007</v>
      </c>
      <c r="F48" s="292">
        <v>4957007</v>
      </c>
      <c r="G48" s="292">
        <v>4556781</v>
      </c>
      <c r="H48" s="292">
        <v>192464</v>
      </c>
      <c r="I48" s="8">
        <v>0</v>
      </c>
      <c r="J48" s="8">
        <v>0</v>
      </c>
      <c r="K48" s="8">
        <v>0</v>
      </c>
      <c r="L48" s="8">
        <v>0</v>
      </c>
      <c r="M48" s="8">
        <v>0</v>
      </c>
      <c r="N48" s="8">
        <v>0</v>
      </c>
      <c r="O48" s="8">
        <v>0</v>
      </c>
      <c r="P48" s="317">
        <f t="shared" si="2"/>
        <v>4957007</v>
      </c>
    </row>
    <row r="49" spans="1:16" x14ac:dyDescent="0.25">
      <c r="A49" s="253" t="s">
        <v>57</v>
      </c>
      <c r="B49" s="244" t="s">
        <v>58</v>
      </c>
      <c r="C49" s="244" t="s">
        <v>56</v>
      </c>
      <c r="D49" s="182" t="s">
        <v>59</v>
      </c>
      <c r="E49" s="292">
        <f t="shared" si="10"/>
        <v>113122</v>
      </c>
      <c r="F49" s="292">
        <v>113122</v>
      </c>
      <c r="G49" s="292">
        <f t="shared" ref="G49" si="11">H49+K49</f>
        <v>0</v>
      </c>
      <c r="H49" s="8">
        <v>0</v>
      </c>
      <c r="I49" s="8">
        <v>0</v>
      </c>
      <c r="J49" s="8">
        <v>0</v>
      </c>
      <c r="K49" s="8">
        <v>0</v>
      </c>
      <c r="L49" s="8">
        <v>0</v>
      </c>
      <c r="M49" s="8">
        <v>0</v>
      </c>
      <c r="N49" s="8">
        <v>0</v>
      </c>
      <c r="O49" s="8">
        <v>0</v>
      </c>
      <c r="P49" s="317">
        <f t="shared" si="2"/>
        <v>113122</v>
      </c>
    </row>
    <row r="50" spans="1:16" ht="47.25" x14ac:dyDescent="0.25">
      <c r="A50" s="253" t="s">
        <v>60</v>
      </c>
      <c r="B50" s="244" t="s">
        <v>61</v>
      </c>
      <c r="C50" s="244" t="s">
        <v>56</v>
      </c>
      <c r="D50" s="182" t="s">
        <v>62</v>
      </c>
      <c r="E50" s="292">
        <f t="shared" si="10"/>
        <v>1303732</v>
      </c>
      <c r="F50" s="292">
        <f>1237120+66612</f>
        <v>1303732</v>
      </c>
      <c r="G50" s="292">
        <f>577332+127013+66612</f>
        <v>770957</v>
      </c>
      <c r="H50" s="292">
        <v>310038</v>
      </c>
      <c r="I50" s="8">
        <v>0</v>
      </c>
      <c r="J50" s="8">
        <v>0</v>
      </c>
      <c r="K50" s="8">
        <v>0</v>
      </c>
      <c r="L50" s="8">
        <v>0</v>
      </c>
      <c r="M50" s="8">
        <v>0</v>
      </c>
      <c r="N50" s="8">
        <v>0</v>
      </c>
      <c r="O50" s="8">
        <v>0</v>
      </c>
      <c r="P50" s="317">
        <f t="shared" si="2"/>
        <v>1303732</v>
      </c>
    </row>
    <row r="51" spans="1:16" ht="47.25" hidden="1" x14ac:dyDescent="0.25">
      <c r="A51" s="92" t="s">
        <v>306</v>
      </c>
      <c r="B51" s="341" t="s">
        <v>307</v>
      </c>
      <c r="C51" s="341" t="s">
        <v>56</v>
      </c>
      <c r="D51" s="32" t="s">
        <v>308</v>
      </c>
      <c r="E51" s="292">
        <f t="shared" si="10"/>
        <v>0</v>
      </c>
      <c r="F51" s="292">
        <f t="shared" ref="F51" si="12">G51+J51</f>
        <v>0</v>
      </c>
      <c r="G51" s="292">
        <f t="shared" ref="G51" si="13">H51+K51</f>
        <v>0</v>
      </c>
      <c r="H51" s="8">
        <v>0</v>
      </c>
      <c r="I51" s="8"/>
      <c r="J51" s="8"/>
      <c r="K51" s="8"/>
      <c r="L51" s="8"/>
      <c r="M51" s="8"/>
      <c r="N51" s="8"/>
      <c r="O51" s="8"/>
      <c r="P51" s="317">
        <f t="shared" si="2"/>
        <v>0</v>
      </c>
    </row>
    <row r="52" spans="1:16" ht="47.25" x14ac:dyDescent="0.25">
      <c r="A52" s="388" t="s">
        <v>306</v>
      </c>
      <c r="B52" s="563">
        <v>1152</v>
      </c>
      <c r="C52" s="564" t="s">
        <v>56</v>
      </c>
      <c r="D52" s="182" t="s">
        <v>308</v>
      </c>
      <c r="E52" s="292">
        <f t="shared" si="10"/>
        <v>883100</v>
      </c>
      <c r="F52" s="292">
        <v>883100</v>
      </c>
      <c r="G52" s="292">
        <v>883100</v>
      </c>
      <c r="H52" s="8"/>
      <c r="I52" s="8"/>
      <c r="J52" s="8"/>
      <c r="K52" s="8"/>
      <c r="L52" s="8"/>
      <c r="M52" s="8"/>
      <c r="N52" s="8"/>
      <c r="O52" s="8"/>
      <c r="P52" s="317">
        <f t="shared" si="2"/>
        <v>883100</v>
      </c>
    </row>
    <row r="53" spans="1:16" ht="47.25" x14ac:dyDescent="0.25">
      <c r="A53" s="253" t="s">
        <v>63</v>
      </c>
      <c r="B53" s="244" t="s">
        <v>64</v>
      </c>
      <c r="C53" s="244" t="s">
        <v>56</v>
      </c>
      <c r="D53" s="182" t="s">
        <v>65</v>
      </c>
      <c r="E53" s="292">
        <f t="shared" si="10"/>
        <v>1587591</v>
      </c>
      <c r="F53" s="292">
        <f>1523754+63837</f>
        <v>1587591</v>
      </c>
      <c r="G53" s="292">
        <f>1356004+63837</f>
        <v>1419841</v>
      </c>
      <c r="H53" s="292">
        <v>43895</v>
      </c>
      <c r="I53" s="8">
        <v>0</v>
      </c>
      <c r="J53" s="8">
        <v>0</v>
      </c>
      <c r="K53" s="8">
        <v>0</v>
      </c>
      <c r="L53" s="8">
        <v>0</v>
      </c>
      <c r="M53" s="8">
        <v>0</v>
      </c>
      <c r="N53" s="8">
        <v>0</v>
      </c>
      <c r="O53" s="8">
        <v>0</v>
      </c>
      <c r="P53" s="317">
        <f t="shared" si="2"/>
        <v>1587591</v>
      </c>
    </row>
    <row r="54" spans="1:16" ht="126" x14ac:dyDescent="0.25">
      <c r="A54" s="574" t="s">
        <v>434</v>
      </c>
      <c r="B54" s="564">
        <v>1183</v>
      </c>
      <c r="C54" s="564" t="s">
        <v>56</v>
      </c>
      <c r="D54" s="182" t="s">
        <v>436</v>
      </c>
      <c r="E54" s="292"/>
      <c r="F54" s="292"/>
      <c r="G54" s="292"/>
      <c r="H54" s="292"/>
      <c r="I54" s="8"/>
      <c r="J54" s="8">
        <v>579643</v>
      </c>
      <c r="K54" s="8">
        <v>579643</v>
      </c>
      <c r="L54" s="8"/>
      <c r="M54" s="8"/>
      <c r="N54" s="8"/>
      <c r="O54" s="8">
        <v>579643</v>
      </c>
      <c r="P54" s="317">
        <f t="shared" si="2"/>
        <v>579643</v>
      </c>
    </row>
    <row r="55" spans="1:16" ht="126" x14ac:dyDescent="0.25">
      <c r="A55" s="574" t="s">
        <v>435</v>
      </c>
      <c r="B55" s="564">
        <v>1184</v>
      </c>
      <c r="C55" s="564" t="s">
        <v>56</v>
      </c>
      <c r="D55" s="182" t="s">
        <v>437</v>
      </c>
      <c r="E55" s="292"/>
      <c r="F55" s="292"/>
      <c r="G55" s="292"/>
      <c r="H55" s="292"/>
      <c r="I55" s="8"/>
      <c r="J55" s="8">
        <v>1352500</v>
      </c>
      <c r="K55" s="8">
        <v>1352500</v>
      </c>
      <c r="L55" s="8"/>
      <c r="M55" s="8"/>
      <c r="N55" s="8"/>
      <c r="O55" s="8">
        <v>1352500</v>
      </c>
      <c r="P55" s="317">
        <f t="shared" si="2"/>
        <v>1352500</v>
      </c>
    </row>
    <row r="56" spans="1:16" ht="110.25" x14ac:dyDescent="0.25">
      <c r="A56" s="312" t="s">
        <v>425</v>
      </c>
      <c r="B56" s="564">
        <v>1200</v>
      </c>
      <c r="C56" s="564" t="s">
        <v>56</v>
      </c>
      <c r="D56" s="182" t="s">
        <v>426</v>
      </c>
      <c r="E56" s="292">
        <f>F56+I56</f>
        <v>480600</v>
      </c>
      <c r="F56" s="292">
        <v>480600</v>
      </c>
      <c r="G56" s="292">
        <v>480600</v>
      </c>
      <c r="H56" s="292"/>
      <c r="I56" s="8"/>
      <c r="J56" s="8"/>
      <c r="K56" s="8"/>
      <c r="L56" s="8"/>
      <c r="M56" s="8"/>
      <c r="N56" s="8"/>
      <c r="O56" s="8"/>
      <c r="P56" s="317">
        <f t="shared" si="2"/>
        <v>480600</v>
      </c>
    </row>
    <row r="57" spans="1:16" ht="95.25" thickBot="1" x14ac:dyDescent="0.3">
      <c r="A57" s="392" t="s">
        <v>326</v>
      </c>
      <c r="B57" s="17">
        <v>3140</v>
      </c>
      <c r="C57" s="17">
        <v>1040</v>
      </c>
      <c r="D57" s="265" t="s">
        <v>327</v>
      </c>
      <c r="E57" s="295">
        <f t="shared" si="10"/>
        <v>1001000</v>
      </c>
      <c r="F57" s="390">
        <v>1001000</v>
      </c>
      <c r="G57" s="390">
        <v>357956</v>
      </c>
      <c r="H57" s="390">
        <v>10603</v>
      </c>
      <c r="I57" s="391"/>
      <c r="J57" s="391"/>
      <c r="K57" s="391"/>
      <c r="L57" s="391"/>
      <c r="M57" s="391"/>
      <c r="N57" s="391"/>
      <c r="O57" s="391"/>
      <c r="P57" s="573">
        <f t="shared" si="2"/>
        <v>1001000</v>
      </c>
    </row>
    <row r="58" spans="1:16" ht="48" thickBot="1" x14ac:dyDescent="0.3">
      <c r="A58" s="284" t="s">
        <v>67</v>
      </c>
      <c r="B58" s="285" t="s">
        <v>16</v>
      </c>
      <c r="C58" s="285" t="s">
        <v>16</v>
      </c>
      <c r="D58" s="287" t="s">
        <v>359</v>
      </c>
      <c r="E58" s="314">
        <f>E59</f>
        <v>66125459</v>
      </c>
      <c r="F58" s="314">
        <f>F59</f>
        <v>66125459</v>
      </c>
      <c r="G58" s="314">
        <f t="shared" ref="G58:I58" si="14">G59</f>
        <v>18491294</v>
      </c>
      <c r="H58" s="314">
        <f t="shared" si="14"/>
        <v>394144</v>
      </c>
      <c r="I58" s="314">
        <f t="shared" si="14"/>
        <v>0</v>
      </c>
      <c r="J58" s="314">
        <f>J59</f>
        <v>107800</v>
      </c>
      <c r="K58" s="314">
        <f>K59</f>
        <v>92800</v>
      </c>
      <c r="L58" s="314">
        <f t="shared" ref="L58:O58" si="15">L59</f>
        <v>15000</v>
      </c>
      <c r="M58" s="314">
        <f t="shared" si="15"/>
        <v>0</v>
      </c>
      <c r="N58" s="314">
        <f t="shared" si="15"/>
        <v>0</v>
      </c>
      <c r="O58" s="314">
        <f t="shared" si="15"/>
        <v>92800</v>
      </c>
      <c r="P58" s="315">
        <f>E58+J58</f>
        <v>66233259</v>
      </c>
    </row>
    <row r="59" spans="1:16" ht="47.25" x14ac:dyDescent="0.25">
      <c r="A59" s="306" t="s">
        <v>68</v>
      </c>
      <c r="B59" s="307" t="s">
        <v>16</v>
      </c>
      <c r="C59" s="307" t="s">
        <v>16</v>
      </c>
      <c r="D59" s="308" t="s">
        <v>359</v>
      </c>
      <c r="E59" s="295">
        <f>E60+E61+E64+E67+E70+E71+E65+E66+E68+E63+E62+E69+E72</f>
        <v>66125459</v>
      </c>
      <c r="F59" s="294">
        <f>F60+F61+F64+F67+F70+F71+F65+F66+F68+F63+F62+F69+F72</f>
        <v>66125459</v>
      </c>
      <c r="G59" s="294">
        <f>G60+G61+G64+G67+G70+G71+G65+G66+G68+G69</f>
        <v>18491294</v>
      </c>
      <c r="H59" s="294">
        <f t="shared" ref="H59" si="16">H60+H61+H64+H67+H70+H71+H65+H66+H68</f>
        <v>394144</v>
      </c>
      <c r="I59" s="294">
        <f t="shared" ref="I59:O59" si="17">I60+I61+I64+I67+I70+I71</f>
        <v>0</v>
      </c>
      <c r="J59" s="295">
        <f t="shared" si="17"/>
        <v>107800</v>
      </c>
      <c r="K59" s="294">
        <f t="shared" si="17"/>
        <v>92800</v>
      </c>
      <c r="L59" s="294">
        <f t="shared" si="17"/>
        <v>15000</v>
      </c>
      <c r="M59" s="294">
        <f t="shared" si="17"/>
        <v>0</v>
      </c>
      <c r="N59" s="294">
        <f t="shared" si="17"/>
        <v>0</v>
      </c>
      <c r="O59" s="294">
        <f t="shared" si="17"/>
        <v>92800</v>
      </c>
      <c r="P59" s="316">
        <f>E59+J59</f>
        <v>66233259</v>
      </c>
    </row>
    <row r="60" spans="1:16" ht="47.25" x14ac:dyDescent="0.25">
      <c r="A60" s="253" t="s">
        <v>237</v>
      </c>
      <c r="B60" s="244" t="s">
        <v>43</v>
      </c>
      <c r="C60" s="244" t="s">
        <v>18</v>
      </c>
      <c r="D60" s="182" t="s">
        <v>231</v>
      </c>
      <c r="E60" s="292">
        <f>F60+I60</f>
        <v>9573438</v>
      </c>
      <c r="F60" s="292">
        <v>9573438</v>
      </c>
      <c r="G60" s="292">
        <v>9042650</v>
      </c>
      <c r="H60" s="292">
        <v>199920</v>
      </c>
      <c r="I60" s="8">
        <v>0</v>
      </c>
      <c r="J60" s="8">
        <f>L60+O60</f>
        <v>0</v>
      </c>
      <c r="K60" s="8"/>
      <c r="L60" s="8">
        <v>0</v>
      </c>
      <c r="M60" s="8">
        <v>0</v>
      </c>
      <c r="N60" s="8">
        <v>0</v>
      </c>
      <c r="O60" s="8"/>
      <c r="P60" s="317">
        <f>E60+J60</f>
        <v>9573438</v>
      </c>
    </row>
    <row r="61" spans="1:16" ht="31.5" x14ac:dyDescent="0.25">
      <c r="A61" s="253" t="s">
        <v>70</v>
      </c>
      <c r="B61" s="244" t="s">
        <v>71</v>
      </c>
      <c r="C61" s="244" t="s">
        <v>53</v>
      </c>
      <c r="D61" s="182" t="s">
        <v>72</v>
      </c>
      <c r="E61" s="292">
        <f t="shared" ref="E61:G72" si="18">F61+I61</f>
        <v>9420</v>
      </c>
      <c r="F61" s="292">
        <v>9420</v>
      </c>
      <c r="G61" s="292">
        <f t="shared" si="18"/>
        <v>0</v>
      </c>
      <c r="H61" s="292">
        <v>0</v>
      </c>
      <c r="I61" s="8">
        <v>0</v>
      </c>
      <c r="J61" s="8">
        <f t="shared" ref="J61:J70" si="19">L61+O61</f>
        <v>0</v>
      </c>
      <c r="K61" s="8">
        <v>0</v>
      </c>
      <c r="L61" s="8">
        <v>0</v>
      </c>
      <c r="M61" s="8">
        <v>0</v>
      </c>
      <c r="N61" s="8">
        <v>0</v>
      </c>
      <c r="O61" s="8">
        <v>0</v>
      </c>
      <c r="P61" s="317">
        <f t="shared" ref="P61:P131" si="20">E61+J61</f>
        <v>9420</v>
      </c>
    </row>
    <row r="62" spans="1:16" ht="47.25" x14ac:dyDescent="0.25">
      <c r="A62" s="388" t="s">
        <v>309</v>
      </c>
      <c r="B62" s="258" t="s">
        <v>310</v>
      </c>
      <c r="C62" s="341" t="s">
        <v>53</v>
      </c>
      <c r="D62" s="32" t="s">
        <v>311</v>
      </c>
      <c r="E62" s="292">
        <f t="shared" si="18"/>
        <v>57773</v>
      </c>
      <c r="F62" s="292">
        <v>57773</v>
      </c>
      <c r="G62" s="292"/>
      <c r="H62" s="292"/>
      <c r="I62" s="8"/>
      <c r="J62" s="8"/>
      <c r="K62" s="8"/>
      <c r="L62" s="8"/>
      <c r="M62" s="8"/>
      <c r="N62" s="8"/>
      <c r="O62" s="8"/>
      <c r="P62" s="317">
        <f t="shared" si="20"/>
        <v>57773</v>
      </c>
    </row>
    <row r="63" spans="1:16" ht="47.25" x14ac:dyDescent="0.25">
      <c r="A63" s="313" t="s">
        <v>312</v>
      </c>
      <c r="B63" s="244">
        <v>3090</v>
      </c>
      <c r="C63" s="258" t="s">
        <v>69</v>
      </c>
      <c r="D63" s="259" t="s">
        <v>314</v>
      </c>
      <c r="E63" s="292">
        <f t="shared" si="18"/>
        <v>164690</v>
      </c>
      <c r="F63" s="292">
        <v>164690</v>
      </c>
      <c r="G63" s="292"/>
      <c r="H63" s="292"/>
      <c r="I63" s="8"/>
      <c r="J63" s="8"/>
      <c r="K63" s="8"/>
      <c r="L63" s="8"/>
      <c r="M63" s="8"/>
      <c r="N63" s="8"/>
      <c r="O63" s="8"/>
      <c r="P63" s="317">
        <f t="shared" si="20"/>
        <v>164690</v>
      </c>
    </row>
    <row r="64" spans="1:16" ht="31.5" x14ac:dyDescent="0.25">
      <c r="A64" s="253" t="s">
        <v>238</v>
      </c>
      <c r="B64" s="244" t="s">
        <v>239</v>
      </c>
      <c r="C64" s="244" t="s">
        <v>45</v>
      </c>
      <c r="D64" s="182" t="s">
        <v>240</v>
      </c>
      <c r="E64" s="292">
        <f t="shared" si="18"/>
        <v>4115506</v>
      </c>
      <c r="F64" s="292">
        <v>4115506</v>
      </c>
      <c r="G64" s="292">
        <f>3137173+690178</f>
        <v>3827351</v>
      </c>
      <c r="H64" s="292">
        <f>41629+5700+41082+3839</f>
        <v>92250</v>
      </c>
      <c r="I64" s="8">
        <v>0</v>
      </c>
      <c r="J64" s="8">
        <f t="shared" si="19"/>
        <v>58000</v>
      </c>
      <c r="K64" s="8">
        <v>58000</v>
      </c>
      <c r="L64" s="8">
        <v>0</v>
      </c>
      <c r="M64" s="8">
        <v>0</v>
      </c>
      <c r="N64" s="8">
        <v>0</v>
      </c>
      <c r="O64" s="8">
        <v>58000</v>
      </c>
      <c r="P64" s="317">
        <f t="shared" si="20"/>
        <v>4173506</v>
      </c>
    </row>
    <row r="65" spans="1:16" ht="47.25" hidden="1" x14ac:dyDescent="0.25">
      <c r="A65" s="388" t="s">
        <v>309</v>
      </c>
      <c r="B65" s="258" t="s">
        <v>310</v>
      </c>
      <c r="C65" s="341" t="s">
        <v>53</v>
      </c>
      <c r="D65" s="32" t="s">
        <v>311</v>
      </c>
      <c r="E65" s="292">
        <f t="shared" si="18"/>
        <v>0</v>
      </c>
      <c r="F65" s="292"/>
      <c r="G65" s="292"/>
      <c r="H65" s="292"/>
      <c r="I65" s="8"/>
      <c r="J65" s="8"/>
      <c r="K65" s="8"/>
      <c r="L65" s="8"/>
      <c r="M65" s="8"/>
      <c r="N65" s="8"/>
      <c r="O65" s="8"/>
      <c r="P65" s="317">
        <f t="shared" si="20"/>
        <v>0</v>
      </c>
    </row>
    <row r="66" spans="1:16" ht="47.25" hidden="1" x14ac:dyDescent="0.25">
      <c r="A66" s="388" t="s">
        <v>312</v>
      </c>
      <c r="B66" s="258" t="s">
        <v>313</v>
      </c>
      <c r="C66" s="258" t="s">
        <v>69</v>
      </c>
      <c r="D66" s="259" t="s">
        <v>314</v>
      </c>
      <c r="E66" s="292">
        <f t="shared" si="18"/>
        <v>0</v>
      </c>
      <c r="F66" s="292"/>
      <c r="G66" s="292"/>
      <c r="H66" s="292"/>
      <c r="I66" s="8"/>
      <c r="J66" s="8"/>
      <c r="K66" s="8"/>
      <c r="L66" s="8"/>
      <c r="M66" s="8"/>
      <c r="N66" s="8"/>
      <c r="O66" s="8"/>
      <c r="P66" s="317">
        <f t="shared" si="20"/>
        <v>0</v>
      </c>
    </row>
    <row r="67" spans="1:16" ht="110.25" x14ac:dyDescent="0.25">
      <c r="A67" s="253" t="s">
        <v>241</v>
      </c>
      <c r="B67" s="244" t="s">
        <v>242</v>
      </c>
      <c r="C67" s="244" t="s">
        <v>45</v>
      </c>
      <c r="D67" s="182" t="s">
        <v>243</v>
      </c>
      <c r="E67" s="292">
        <f t="shared" si="18"/>
        <v>155034</v>
      </c>
      <c r="F67" s="292">
        <v>155034</v>
      </c>
      <c r="G67" s="292">
        <v>0</v>
      </c>
      <c r="H67" s="292">
        <v>0</v>
      </c>
      <c r="I67" s="8">
        <v>0</v>
      </c>
      <c r="J67" s="8">
        <f t="shared" si="19"/>
        <v>0</v>
      </c>
      <c r="K67" s="8">
        <v>0</v>
      </c>
      <c r="L67" s="8">
        <v>0</v>
      </c>
      <c r="M67" s="8">
        <v>0</v>
      </c>
      <c r="N67" s="8">
        <v>0</v>
      </c>
      <c r="O67" s="8">
        <v>0</v>
      </c>
      <c r="P67" s="317">
        <f t="shared" si="20"/>
        <v>155034</v>
      </c>
    </row>
    <row r="68" spans="1:16" ht="78.75" x14ac:dyDescent="0.25">
      <c r="A68" s="388" t="s">
        <v>315</v>
      </c>
      <c r="B68" s="258" t="s">
        <v>316</v>
      </c>
      <c r="C68" s="258" t="s">
        <v>45</v>
      </c>
      <c r="D68" s="389" t="s">
        <v>317</v>
      </c>
      <c r="E68" s="292">
        <f t="shared" si="18"/>
        <v>17623</v>
      </c>
      <c r="F68" s="292">
        <v>17623</v>
      </c>
      <c r="G68" s="292"/>
      <c r="H68" s="292"/>
      <c r="I68" s="8"/>
      <c r="J68" s="8"/>
      <c r="K68" s="8"/>
      <c r="L68" s="8"/>
      <c r="M68" s="8"/>
      <c r="N68" s="8"/>
      <c r="O68" s="8"/>
      <c r="P68" s="317">
        <f t="shared" si="20"/>
        <v>17623</v>
      </c>
    </row>
    <row r="69" spans="1:16" ht="94.5" x14ac:dyDescent="0.25">
      <c r="A69" s="388" t="s">
        <v>429</v>
      </c>
      <c r="B69" s="258" t="s">
        <v>430</v>
      </c>
      <c r="C69" s="258" t="s">
        <v>69</v>
      </c>
      <c r="D69" s="389" t="s">
        <v>431</v>
      </c>
      <c r="E69" s="292">
        <f t="shared" si="18"/>
        <v>339588</v>
      </c>
      <c r="F69" s="292">
        <v>339588</v>
      </c>
      <c r="G69" s="292">
        <v>339588</v>
      </c>
      <c r="H69" s="292"/>
      <c r="I69" s="8"/>
      <c r="J69" s="8"/>
      <c r="K69" s="8"/>
      <c r="L69" s="8"/>
      <c r="M69" s="8"/>
      <c r="N69" s="8"/>
      <c r="O69" s="8"/>
      <c r="P69" s="317">
        <f t="shared" si="20"/>
        <v>339588</v>
      </c>
    </row>
    <row r="70" spans="1:16" ht="63" x14ac:dyDescent="0.25">
      <c r="A70" s="253" t="s">
        <v>244</v>
      </c>
      <c r="B70" s="244" t="s">
        <v>245</v>
      </c>
      <c r="C70" s="244" t="s">
        <v>73</v>
      </c>
      <c r="D70" s="182" t="s">
        <v>412</v>
      </c>
      <c r="E70" s="292">
        <f t="shared" si="18"/>
        <v>5617762</v>
      </c>
      <c r="F70" s="292">
        <v>5617762</v>
      </c>
      <c r="G70" s="292">
        <v>5281705</v>
      </c>
      <c r="H70" s="292">
        <v>101974</v>
      </c>
      <c r="I70" s="8">
        <v>0</v>
      </c>
      <c r="J70" s="8">
        <f t="shared" si="19"/>
        <v>49800</v>
      </c>
      <c r="K70" s="8">
        <v>34800</v>
      </c>
      <c r="L70" s="8">
        <v>15000</v>
      </c>
      <c r="M70" s="8">
        <v>0</v>
      </c>
      <c r="N70" s="8">
        <v>0</v>
      </c>
      <c r="O70" s="8">
        <v>34800</v>
      </c>
      <c r="P70" s="317">
        <f>E70+J70</f>
        <v>5667562</v>
      </c>
    </row>
    <row r="71" spans="1:16" ht="39" customHeight="1" x14ac:dyDescent="0.25">
      <c r="A71" s="682" t="s">
        <v>74</v>
      </c>
      <c r="B71" s="682" t="s">
        <v>75</v>
      </c>
      <c r="C71" s="682" t="s">
        <v>73</v>
      </c>
      <c r="D71" s="182" t="s">
        <v>76</v>
      </c>
      <c r="E71" s="292">
        <f t="shared" si="18"/>
        <v>46053262</v>
      </c>
      <c r="F71" s="292">
        <f>29169400-500000+17383862</f>
        <v>46053262</v>
      </c>
      <c r="G71" s="292">
        <v>0</v>
      </c>
      <c r="H71" s="292">
        <v>0</v>
      </c>
      <c r="I71" s="8">
        <v>0</v>
      </c>
      <c r="J71" s="8">
        <f>L71+O71</f>
        <v>0</v>
      </c>
      <c r="K71" s="8">
        <v>0</v>
      </c>
      <c r="L71" s="8">
        <v>0</v>
      </c>
      <c r="M71" s="8">
        <v>0</v>
      </c>
      <c r="N71" s="8">
        <v>0</v>
      </c>
      <c r="O71" s="8">
        <v>0</v>
      </c>
      <c r="P71" s="292">
        <f t="shared" si="20"/>
        <v>46053262</v>
      </c>
    </row>
    <row r="72" spans="1:16" ht="38.450000000000003" customHeight="1" thickBot="1" x14ac:dyDescent="0.3">
      <c r="A72" s="689" t="s">
        <v>528</v>
      </c>
      <c r="B72" s="685">
        <v>9770</v>
      </c>
      <c r="C72" s="690" t="s">
        <v>274</v>
      </c>
      <c r="D72" s="686" t="s">
        <v>415</v>
      </c>
      <c r="E72" s="292">
        <f t="shared" si="18"/>
        <v>21363</v>
      </c>
      <c r="F72" s="687">
        <f>0+21363</f>
        <v>21363</v>
      </c>
      <c r="G72" s="687"/>
      <c r="H72" s="687"/>
      <c r="I72" s="688"/>
      <c r="J72" s="688"/>
      <c r="K72" s="688"/>
      <c r="L72" s="688"/>
      <c r="M72" s="688"/>
      <c r="N72" s="688"/>
      <c r="O72" s="688"/>
      <c r="P72" s="292">
        <f t="shared" si="20"/>
        <v>21363</v>
      </c>
    </row>
    <row r="73" spans="1:16" ht="45.75" customHeight="1" thickBot="1" x14ac:dyDescent="0.3">
      <c r="A73" s="284" t="s">
        <v>77</v>
      </c>
      <c r="B73" s="285" t="s">
        <v>16</v>
      </c>
      <c r="C73" s="285" t="s">
        <v>16</v>
      </c>
      <c r="D73" s="287" t="s">
        <v>509</v>
      </c>
      <c r="E73" s="314">
        <f>E74</f>
        <v>2308465</v>
      </c>
      <c r="F73" s="314">
        <f>F74</f>
        <v>2308465</v>
      </c>
      <c r="G73" s="314">
        <f t="shared" ref="G73:I73" si="21">G74</f>
        <v>2149017</v>
      </c>
      <c r="H73" s="314">
        <f t="shared" si="21"/>
        <v>0</v>
      </c>
      <c r="I73" s="314">
        <f t="shared" si="21"/>
        <v>0</v>
      </c>
      <c r="J73" s="314">
        <f>J74</f>
        <v>23000</v>
      </c>
      <c r="K73" s="314">
        <f>K74</f>
        <v>23000</v>
      </c>
      <c r="L73" s="314">
        <f t="shared" ref="L73:O73" si="22">L74</f>
        <v>0</v>
      </c>
      <c r="M73" s="314">
        <f t="shared" si="22"/>
        <v>0</v>
      </c>
      <c r="N73" s="314">
        <f t="shared" si="22"/>
        <v>0</v>
      </c>
      <c r="O73" s="314">
        <f t="shared" si="22"/>
        <v>23000</v>
      </c>
      <c r="P73" s="315">
        <f t="shared" si="20"/>
        <v>2331465</v>
      </c>
    </row>
    <row r="74" spans="1:16" ht="47.25" x14ac:dyDescent="0.25">
      <c r="A74" s="306" t="s">
        <v>79</v>
      </c>
      <c r="B74" s="307" t="s">
        <v>16</v>
      </c>
      <c r="C74" s="307" t="s">
        <v>16</v>
      </c>
      <c r="D74" s="308" t="s">
        <v>78</v>
      </c>
      <c r="E74" s="294">
        <f>E75+E76</f>
        <v>2308465</v>
      </c>
      <c r="F74" s="294">
        <f>F75+F76</f>
        <v>2308465</v>
      </c>
      <c r="G74" s="294">
        <f t="shared" ref="G74:I74" si="23">G75+G76</f>
        <v>2149017</v>
      </c>
      <c r="H74" s="294">
        <f t="shared" si="23"/>
        <v>0</v>
      </c>
      <c r="I74" s="294">
        <f t="shared" si="23"/>
        <v>0</v>
      </c>
      <c r="J74" s="294">
        <f>J75+J76</f>
        <v>23000</v>
      </c>
      <c r="K74" s="294">
        <f>K75+K76</f>
        <v>23000</v>
      </c>
      <c r="L74" s="294">
        <f t="shared" ref="L74:O74" si="24">L75+L76</f>
        <v>0</v>
      </c>
      <c r="M74" s="294">
        <f t="shared" si="24"/>
        <v>0</v>
      </c>
      <c r="N74" s="294">
        <f t="shared" si="24"/>
        <v>0</v>
      </c>
      <c r="O74" s="294">
        <f t="shared" si="24"/>
        <v>23000</v>
      </c>
      <c r="P74" s="316">
        <f t="shared" si="20"/>
        <v>2331465</v>
      </c>
    </row>
    <row r="75" spans="1:16" ht="47.25" x14ac:dyDescent="0.25">
      <c r="A75" s="253" t="s">
        <v>246</v>
      </c>
      <c r="B75" s="244" t="s">
        <v>43</v>
      </c>
      <c r="C75" s="244" t="s">
        <v>18</v>
      </c>
      <c r="D75" s="182" t="s">
        <v>231</v>
      </c>
      <c r="E75" s="292">
        <f>F75+I75</f>
        <v>2213465</v>
      </c>
      <c r="F75" s="292">
        <v>2213465</v>
      </c>
      <c r="G75" s="292">
        <v>2149017</v>
      </c>
      <c r="H75" s="292">
        <v>0</v>
      </c>
      <c r="I75" s="8">
        <v>0</v>
      </c>
      <c r="J75" s="8">
        <f>L75+O75</f>
        <v>23000</v>
      </c>
      <c r="K75" s="8">
        <v>23000</v>
      </c>
      <c r="L75" s="8">
        <v>0</v>
      </c>
      <c r="M75" s="8">
        <v>0</v>
      </c>
      <c r="N75" s="8">
        <v>0</v>
      </c>
      <c r="O75" s="8">
        <v>23000</v>
      </c>
      <c r="P75" s="317">
        <f t="shared" si="20"/>
        <v>2236465</v>
      </c>
    </row>
    <row r="76" spans="1:16" ht="32.25" thickBot="1" x14ac:dyDescent="0.3">
      <c r="A76" s="289" t="s">
        <v>80</v>
      </c>
      <c r="B76" s="290" t="s">
        <v>81</v>
      </c>
      <c r="C76" s="290" t="s">
        <v>66</v>
      </c>
      <c r="D76" s="283" t="s">
        <v>82</v>
      </c>
      <c r="E76" s="292">
        <f>F76+I76</f>
        <v>95000</v>
      </c>
      <c r="F76" s="293">
        <f>34000+61000</f>
        <v>95000</v>
      </c>
      <c r="G76" s="293">
        <v>0</v>
      </c>
      <c r="H76" s="293">
        <v>0</v>
      </c>
      <c r="I76" s="36">
        <v>0</v>
      </c>
      <c r="J76" s="36">
        <f>L76+O76</f>
        <v>0</v>
      </c>
      <c r="K76" s="36">
        <v>0</v>
      </c>
      <c r="L76" s="36">
        <v>0</v>
      </c>
      <c r="M76" s="36">
        <v>0</v>
      </c>
      <c r="N76" s="36">
        <v>0</v>
      </c>
      <c r="O76" s="36">
        <v>0</v>
      </c>
      <c r="P76" s="318">
        <f t="shared" si="20"/>
        <v>95000</v>
      </c>
    </row>
    <row r="77" spans="1:16" s="241" customFormat="1" ht="64.5" customHeight="1" thickBot="1" x14ac:dyDescent="0.3">
      <c r="A77" s="284" t="s">
        <v>83</v>
      </c>
      <c r="B77" s="285" t="s">
        <v>16</v>
      </c>
      <c r="C77" s="285" t="s">
        <v>16</v>
      </c>
      <c r="D77" s="287" t="s">
        <v>529</v>
      </c>
      <c r="E77" s="314">
        <f>E78</f>
        <v>102596165</v>
      </c>
      <c r="F77" s="314">
        <f>F78</f>
        <v>102596165</v>
      </c>
      <c r="G77" s="314">
        <f t="shared" ref="G77:I77" si="25">G78</f>
        <v>52149523</v>
      </c>
      <c r="H77" s="314">
        <f t="shared" si="25"/>
        <v>6665070</v>
      </c>
      <c r="I77" s="314">
        <f t="shared" si="25"/>
        <v>0</v>
      </c>
      <c r="J77" s="314">
        <f>J78</f>
        <v>1025427</v>
      </c>
      <c r="K77" s="314">
        <f>K78</f>
        <v>66262</v>
      </c>
      <c r="L77" s="314">
        <f t="shared" ref="L77:O77" si="26">L78</f>
        <v>959165</v>
      </c>
      <c r="M77" s="314">
        <f t="shared" si="26"/>
        <v>799155</v>
      </c>
      <c r="N77" s="314">
        <f t="shared" si="26"/>
        <v>0</v>
      </c>
      <c r="O77" s="314">
        <f t="shared" si="26"/>
        <v>66262</v>
      </c>
      <c r="P77" s="315">
        <f t="shared" si="20"/>
        <v>103621592</v>
      </c>
    </row>
    <row r="78" spans="1:16" s="240" customFormat="1" ht="63" x14ac:dyDescent="0.25">
      <c r="A78" s="306" t="s">
        <v>85</v>
      </c>
      <c r="B78" s="307" t="s">
        <v>16</v>
      </c>
      <c r="C78" s="307" t="s">
        <v>16</v>
      </c>
      <c r="D78" s="308" t="s">
        <v>84</v>
      </c>
      <c r="E78" s="294">
        <f t="shared" ref="E78:P78" si="27">E79+E80+E81+E82+E83+E84+E85+E86+E87+E88+E89+E90+E91</f>
        <v>102596165</v>
      </c>
      <c r="F78" s="294">
        <f t="shared" si="27"/>
        <v>102596165</v>
      </c>
      <c r="G78" s="294">
        <f t="shared" si="27"/>
        <v>52149523</v>
      </c>
      <c r="H78" s="294">
        <f t="shared" si="27"/>
        <v>6665070</v>
      </c>
      <c r="I78" s="294">
        <f t="shared" si="27"/>
        <v>0</v>
      </c>
      <c r="J78" s="294">
        <f t="shared" si="27"/>
        <v>1025427</v>
      </c>
      <c r="K78" s="294">
        <f t="shared" si="27"/>
        <v>66262</v>
      </c>
      <c r="L78" s="294">
        <f t="shared" si="27"/>
        <v>959165</v>
      </c>
      <c r="M78" s="294">
        <f t="shared" si="27"/>
        <v>799155</v>
      </c>
      <c r="N78" s="294">
        <f t="shared" si="27"/>
        <v>0</v>
      </c>
      <c r="O78" s="294">
        <f t="shared" si="27"/>
        <v>66262</v>
      </c>
      <c r="P78" s="294">
        <f t="shared" si="27"/>
        <v>103621592</v>
      </c>
    </row>
    <row r="79" spans="1:16" ht="52.5" customHeight="1" x14ac:dyDescent="0.25">
      <c r="A79" s="253" t="s">
        <v>247</v>
      </c>
      <c r="B79" s="244" t="s">
        <v>43</v>
      </c>
      <c r="C79" s="244" t="s">
        <v>18</v>
      </c>
      <c r="D79" s="182" t="s">
        <v>231</v>
      </c>
      <c r="E79" s="292">
        <f>F79+I79</f>
        <v>3363039</v>
      </c>
      <c r="F79" s="292">
        <v>3363039</v>
      </c>
      <c r="G79" s="292">
        <v>3283148</v>
      </c>
      <c r="H79" s="292">
        <v>0</v>
      </c>
      <c r="I79" s="8">
        <v>0</v>
      </c>
      <c r="J79" s="8">
        <f>L79+O79</f>
        <v>0</v>
      </c>
      <c r="K79" s="8">
        <v>0</v>
      </c>
      <c r="L79" s="8">
        <v>0</v>
      </c>
      <c r="M79" s="8">
        <v>0</v>
      </c>
      <c r="N79" s="8">
        <v>0</v>
      </c>
      <c r="O79" s="8">
        <v>0</v>
      </c>
      <c r="P79" s="317">
        <f t="shared" si="20"/>
        <v>3363039</v>
      </c>
    </row>
    <row r="80" spans="1:16" ht="31.5" x14ac:dyDescent="0.25">
      <c r="A80" s="253" t="s">
        <v>86</v>
      </c>
      <c r="B80" s="244" t="s">
        <v>87</v>
      </c>
      <c r="C80" s="244" t="s">
        <v>54</v>
      </c>
      <c r="D80" s="182" t="s">
        <v>88</v>
      </c>
      <c r="E80" s="292">
        <f t="shared" ref="E80:E91" si="28">F80+I80</f>
        <v>14679315</v>
      </c>
      <c r="F80" s="292">
        <f>14162935+516380</f>
        <v>14679315</v>
      </c>
      <c r="G80" s="292">
        <f>13456202+516380</f>
        <v>13972582</v>
      </c>
      <c r="H80" s="292">
        <v>447307</v>
      </c>
      <c r="I80" s="8">
        <v>0</v>
      </c>
      <c r="J80" s="8">
        <f t="shared" ref="J80:J91" si="29">L80+O80</f>
        <v>799155</v>
      </c>
      <c r="K80" s="8">
        <f>O80</f>
        <v>0</v>
      </c>
      <c r="L80" s="8">
        <v>799155</v>
      </c>
      <c r="M80" s="8">
        <v>799155</v>
      </c>
      <c r="N80" s="8">
        <v>0</v>
      </c>
      <c r="O80" s="8"/>
      <c r="P80" s="317">
        <f t="shared" si="20"/>
        <v>15478470</v>
      </c>
    </row>
    <row r="81" spans="1:16" ht="63" x14ac:dyDescent="0.25">
      <c r="A81" s="253" t="s">
        <v>89</v>
      </c>
      <c r="B81" s="244" t="s">
        <v>90</v>
      </c>
      <c r="C81" s="244" t="s">
        <v>66</v>
      </c>
      <c r="D81" s="182" t="s">
        <v>411</v>
      </c>
      <c r="E81" s="292">
        <f t="shared" si="28"/>
        <v>340763</v>
      </c>
      <c r="F81" s="292">
        <v>340763</v>
      </c>
      <c r="G81" s="292">
        <v>0</v>
      </c>
      <c r="H81" s="292">
        <v>0</v>
      </c>
      <c r="I81" s="8">
        <v>0</v>
      </c>
      <c r="J81" s="8">
        <f t="shared" si="29"/>
        <v>0</v>
      </c>
      <c r="K81" s="8">
        <v>0</v>
      </c>
      <c r="L81" s="8">
        <v>0</v>
      </c>
      <c r="M81" s="8">
        <v>0</v>
      </c>
      <c r="N81" s="8">
        <v>0</v>
      </c>
      <c r="O81" s="8">
        <v>0</v>
      </c>
      <c r="P81" s="317">
        <f t="shared" si="20"/>
        <v>340763</v>
      </c>
    </row>
    <row r="82" spans="1:16" ht="21.75" customHeight="1" x14ac:dyDescent="0.25">
      <c r="A82" s="253" t="s">
        <v>92</v>
      </c>
      <c r="B82" s="244" t="s">
        <v>93</v>
      </c>
      <c r="C82" s="244" t="s">
        <v>94</v>
      </c>
      <c r="D82" s="182" t="s">
        <v>95</v>
      </c>
      <c r="E82" s="292">
        <f t="shared" si="28"/>
        <v>4600183</v>
      </c>
      <c r="F82" s="292">
        <v>4600183</v>
      </c>
      <c r="G82" s="292">
        <v>4087113</v>
      </c>
      <c r="H82" s="292">
        <v>311360</v>
      </c>
      <c r="I82" s="8">
        <v>0</v>
      </c>
      <c r="J82" s="8">
        <f t="shared" si="29"/>
        <v>43262</v>
      </c>
      <c r="K82" s="8">
        <f t="shared" ref="K82:K83" si="30">O82</f>
        <v>43262</v>
      </c>
      <c r="L82" s="8">
        <v>0</v>
      </c>
      <c r="M82" s="8">
        <v>0</v>
      </c>
      <c r="N82" s="8">
        <v>0</v>
      </c>
      <c r="O82" s="8">
        <v>43262</v>
      </c>
      <c r="P82" s="317">
        <f t="shared" si="20"/>
        <v>4643445</v>
      </c>
    </row>
    <row r="83" spans="1:16" ht="28.9" customHeight="1" x14ac:dyDescent="0.25">
      <c r="A83" s="253" t="s">
        <v>96</v>
      </c>
      <c r="B83" s="244" t="s">
        <v>97</v>
      </c>
      <c r="C83" s="244" t="s">
        <v>94</v>
      </c>
      <c r="D83" s="182" t="s">
        <v>98</v>
      </c>
      <c r="E83" s="292">
        <f t="shared" si="28"/>
        <v>1299784</v>
      </c>
      <c r="F83" s="292">
        <v>1299784</v>
      </c>
      <c r="G83" s="292">
        <v>1044930</v>
      </c>
      <c r="H83" s="292">
        <v>109471</v>
      </c>
      <c r="I83" s="8">
        <v>0</v>
      </c>
      <c r="J83" s="8">
        <f t="shared" si="29"/>
        <v>23000</v>
      </c>
      <c r="K83" s="8">
        <f t="shared" si="30"/>
        <v>23000</v>
      </c>
      <c r="L83" s="8">
        <v>0</v>
      </c>
      <c r="M83" s="8">
        <v>0</v>
      </c>
      <c r="N83" s="8">
        <v>0</v>
      </c>
      <c r="O83" s="8">
        <v>23000</v>
      </c>
      <c r="P83" s="317">
        <f t="shared" si="20"/>
        <v>1322784</v>
      </c>
    </row>
    <row r="84" spans="1:16" ht="45.75" customHeight="1" x14ac:dyDescent="0.25">
      <c r="A84" s="253" t="s">
        <v>99</v>
      </c>
      <c r="B84" s="244" t="s">
        <v>100</v>
      </c>
      <c r="C84" s="244" t="s">
        <v>101</v>
      </c>
      <c r="D84" s="182" t="s">
        <v>102</v>
      </c>
      <c r="E84" s="292">
        <f t="shared" si="28"/>
        <v>25025982</v>
      </c>
      <c r="F84" s="292">
        <v>25025982</v>
      </c>
      <c r="G84" s="292">
        <v>18214441</v>
      </c>
      <c r="H84" s="292">
        <v>5134202</v>
      </c>
      <c r="I84" s="8">
        <v>0</v>
      </c>
      <c r="J84" s="8">
        <f t="shared" si="29"/>
        <v>160010</v>
      </c>
      <c r="K84" s="8">
        <v>0</v>
      </c>
      <c r="L84" s="8">
        <v>160010</v>
      </c>
      <c r="M84" s="8">
        <v>0</v>
      </c>
      <c r="N84" s="8">
        <v>0</v>
      </c>
      <c r="O84" s="8">
        <v>0</v>
      </c>
      <c r="P84" s="317">
        <f t="shared" si="20"/>
        <v>25185992</v>
      </c>
    </row>
    <row r="85" spans="1:16" ht="31.5" x14ac:dyDescent="0.25">
      <c r="A85" s="253" t="s">
        <v>248</v>
      </c>
      <c r="B85" s="244" t="s">
        <v>249</v>
      </c>
      <c r="C85" s="244" t="s">
        <v>103</v>
      </c>
      <c r="D85" s="182" t="s">
        <v>250</v>
      </c>
      <c r="E85" s="292">
        <f t="shared" si="28"/>
        <v>2114801</v>
      </c>
      <c r="F85" s="292">
        <v>2114801</v>
      </c>
      <c r="G85" s="292">
        <v>2006393</v>
      </c>
      <c r="H85" s="8">
        <v>0</v>
      </c>
      <c r="I85" s="8">
        <v>0</v>
      </c>
      <c r="J85" s="8">
        <f t="shared" si="29"/>
        <v>0</v>
      </c>
      <c r="K85" s="8">
        <f>O85</f>
        <v>0</v>
      </c>
      <c r="L85" s="8">
        <v>0</v>
      </c>
      <c r="M85" s="8">
        <v>0</v>
      </c>
      <c r="N85" s="8">
        <v>0</v>
      </c>
      <c r="O85" s="8"/>
      <c r="P85" s="317">
        <f t="shared" si="20"/>
        <v>2114801</v>
      </c>
    </row>
    <row r="86" spans="1:16" ht="31.5" x14ac:dyDescent="0.25">
      <c r="A86" s="253" t="s">
        <v>104</v>
      </c>
      <c r="B86" s="244" t="s">
        <v>105</v>
      </c>
      <c r="C86" s="244" t="s">
        <v>103</v>
      </c>
      <c r="D86" s="182" t="s">
        <v>106</v>
      </c>
      <c r="E86" s="292">
        <f t="shared" si="28"/>
        <v>316106</v>
      </c>
      <c r="F86" s="292">
        <v>316106</v>
      </c>
      <c r="G86" s="8">
        <v>0</v>
      </c>
      <c r="H86" s="8">
        <v>0</v>
      </c>
      <c r="I86" s="8">
        <v>0</v>
      </c>
      <c r="J86" s="8">
        <f t="shared" si="29"/>
        <v>0</v>
      </c>
      <c r="K86" s="8">
        <v>0</v>
      </c>
      <c r="L86" s="8">
        <v>0</v>
      </c>
      <c r="M86" s="8">
        <v>0</v>
      </c>
      <c r="N86" s="8">
        <v>0</v>
      </c>
      <c r="O86" s="8">
        <v>0</v>
      </c>
      <c r="P86" s="317">
        <f t="shared" si="20"/>
        <v>316106</v>
      </c>
    </row>
    <row r="87" spans="1:16" ht="47.25" x14ac:dyDescent="0.25">
      <c r="A87" s="253" t="s">
        <v>107</v>
      </c>
      <c r="B87" s="244" t="s">
        <v>108</v>
      </c>
      <c r="C87" s="244" t="s">
        <v>109</v>
      </c>
      <c r="D87" s="182" t="s">
        <v>110</v>
      </c>
      <c r="E87" s="292">
        <f t="shared" si="28"/>
        <v>90000</v>
      </c>
      <c r="F87" s="292">
        <v>90000</v>
      </c>
      <c r="G87" s="8">
        <v>0</v>
      </c>
      <c r="H87" s="8">
        <v>0</v>
      </c>
      <c r="I87" s="8">
        <v>0</v>
      </c>
      <c r="J87" s="8">
        <f t="shared" si="29"/>
        <v>0</v>
      </c>
      <c r="K87" s="8">
        <v>0</v>
      </c>
      <c r="L87" s="8">
        <v>0</v>
      </c>
      <c r="M87" s="8">
        <v>0</v>
      </c>
      <c r="N87" s="8">
        <v>0</v>
      </c>
      <c r="O87" s="8">
        <v>0</v>
      </c>
      <c r="P87" s="317">
        <f t="shared" si="20"/>
        <v>90000</v>
      </c>
    </row>
    <row r="88" spans="1:16" ht="63" x14ac:dyDescent="0.25">
      <c r="A88" s="253" t="s">
        <v>111</v>
      </c>
      <c r="B88" s="244" t="s">
        <v>112</v>
      </c>
      <c r="C88" s="244" t="s">
        <v>109</v>
      </c>
      <c r="D88" s="182" t="s">
        <v>409</v>
      </c>
      <c r="E88" s="292">
        <f t="shared" si="28"/>
        <v>10570071</v>
      </c>
      <c r="F88" s="292">
        <v>10570071</v>
      </c>
      <c r="G88" s="292">
        <v>5907423</v>
      </c>
      <c r="H88" s="292">
        <v>542849</v>
      </c>
      <c r="I88" s="8">
        <v>0</v>
      </c>
      <c r="J88" s="8">
        <f t="shared" si="29"/>
        <v>0</v>
      </c>
      <c r="K88" s="8">
        <v>0</v>
      </c>
      <c r="L88" s="8">
        <v>0</v>
      </c>
      <c r="M88" s="8">
        <v>0</v>
      </c>
      <c r="N88" s="8">
        <v>0</v>
      </c>
      <c r="O88" s="8">
        <v>0</v>
      </c>
      <c r="P88" s="317">
        <f t="shared" si="20"/>
        <v>10570071</v>
      </c>
    </row>
    <row r="89" spans="1:16" ht="31.5" x14ac:dyDescent="0.25">
      <c r="A89" s="253" t="s">
        <v>251</v>
      </c>
      <c r="B89" s="244" t="s">
        <v>252</v>
      </c>
      <c r="C89" s="244" t="s">
        <v>109</v>
      </c>
      <c r="D89" s="182" t="s">
        <v>410</v>
      </c>
      <c r="E89" s="292">
        <f t="shared" si="28"/>
        <v>33652119</v>
      </c>
      <c r="F89" s="292">
        <v>33652119</v>
      </c>
      <c r="G89" s="292">
        <v>0</v>
      </c>
      <c r="H89" s="292">
        <v>0</v>
      </c>
      <c r="I89" s="8">
        <v>0</v>
      </c>
      <c r="J89" s="8">
        <f t="shared" si="29"/>
        <v>0</v>
      </c>
      <c r="K89" s="8">
        <v>0</v>
      </c>
      <c r="L89" s="8">
        <v>0</v>
      </c>
      <c r="M89" s="8">
        <v>0</v>
      </c>
      <c r="N89" s="8">
        <v>0</v>
      </c>
      <c r="O89" s="8">
        <v>0</v>
      </c>
      <c r="P89" s="317">
        <f t="shared" si="20"/>
        <v>33652119</v>
      </c>
    </row>
    <row r="90" spans="1:16" ht="79.5" customHeight="1" x14ac:dyDescent="0.25">
      <c r="A90" s="253" t="s">
        <v>113</v>
      </c>
      <c r="B90" s="244" t="s">
        <v>114</v>
      </c>
      <c r="C90" s="244" t="s">
        <v>109</v>
      </c>
      <c r="D90" s="182" t="s">
        <v>115</v>
      </c>
      <c r="E90" s="292">
        <f t="shared" si="28"/>
        <v>6016002</v>
      </c>
      <c r="F90" s="292">
        <v>6016002</v>
      </c>
      <c r="G90" s="292">
        <v>3633493</v>
      </c>
      <c r="H90" s="292">
        <v>119881</v>
      </c>
      <c r="I90" s="8">
        <v>0</v>
      </c>
      <c r="J90" s="8">
        <f t="shared" si="29"/>
        <v>0</v>
      </c>
      <c r="K90" s="8">
        <v>0</v>
      </c>
      <c r="L90" s="8">
        <v>0</v>
      </c>
      <c r="M90" s="8">
        <v>0</v>
      </c>
      <c r="N90" s="8">
        <v>0</v>
      </c>
      <c r="O90" s="8">
        <v>0</v>
      </c>
      <c r="P90" s="317">
        <f t="shared" si="20"/>
        <v>6016002</v>
      </c>
    </row>
    <row r="91" spans="1:16" ht="67.150000000000006" customHeight="1" thickBot="1" x14ac:dyDescent="0.3">
      <c r="A91" s="281" t="s">
        <v>116</v>
      </c>
      <c r="B91" s="282" t="s">
        <v>117</v>
      </c>
      <c r="C91" s="282" t="s">
        <v>109</v>
      </c>
      <c r="D91" s="291" t="s">
        <v>118</v>
      </c>
      <c r="E91" s="296">
        <f t="shared" si="28"/>
        <v>528000</v>
      </c>
      <c r="F91" s="296">
        <f>558000-30000</f>
        <v>528000</v>
      </c>
      <c r="G91" s="296">
        <v>0</v>
      </c>
      <c r="H91" s="296">
        <v>0</v>
      </c>
      <c r="I91" s="251">
        <v>0</v>
      </c>
      <c r="J91" s="251">
        <f t="shared" si="29"/>
        <v>0</v>
      </c>
      <c r="K91" s="251">
        <v>0</v>
      </c>
      <c r="L91" s="251">
        <v>0</v>
      </c>
      <c r="M91" s="251">
        <v>0</v>
      </c>
      <c r="N91" s="251">
        <v>0</v>
      </c>
      <c r="O91" s="251">
        <v>0</v>
      </c>
      <c r="P91" s="319">
        <f t="shared" si="20"/>
        <v>528000</v>
      </c>
    </row>
    <row r="92" spans="1:16" s="241" customFormat="1" ht="63" customHeight="1" thickBot="1" x14ac:dyDescent="0.3">
      <c r="A92" s="284" t="s">
        <v>119</v>
      </c>
      <c r="B92" s="285" t="s">
        <v>16</v>
      </c>
      <c r="C92" s="285" t="s">
        <v>16</v>
      </c>
      <c r="D92" s="287" t="s">
        <v>120</v>
      </c>
      <c r="E92" s="314">
        <f>E93</f>
        <v>59718024</v>
      </c>
      <c r="F92" s="314">
        <f>F93</f>
        <v>59718024</v>
      </c>
      <c r="G92" s="314">
        <f t="shared" ref="G92:I92" si="31">G93</f>
        <v>4583162</v>
      </c>
      <c r="H92" s="314">
        <f t="shared" si="31"/>
        <v>0</v>
      </c>
      <c r="I92" s="314">
        <f t="shared" si="31"/>
        <v>0</v>
      </c>
      <c r="J92" s="23">
        <f>J93</f>
        <v>2755726</v>
      </c>
      <c r="K92" s="314">
        <f t="shared" ref="K92:O92" si="32">K93</f>
        <v>2296426</v>
      </c>
      <c r="L92" s="314">
        <f t="shared" si="32"/>
        <v>322056</v>
      </c>
      <c r="M92" s="314">
        <f t="shared" si="32"/>
        <v>0</v>
      </c>
      <c r="N92" s="314">
        <f t="shared" si="32"/>
        <v>0</v>
      </c>
      <c r="O92" s="314">
        <f t="shared" si="32"/>
        <v>2433670</v>
      </c>
      <c r="P92" s="315">
        <f>E92+J92</f>
        <v>62473750</v>
      </c>
    </row>
    <row r="93" spans="1:16" s="240" customFormat="1" ht="46.5" customHeight="1" x14ac:dyDescent="0.25">
      <c r="A93" s="306" t="s">
        <v>121</v>
      </c>
      <c r="B93" s="307" t="s">
        <v>16</v>
      </c>
      <c r="C93" s="307" t="s">
        <v>16</v>
      </c>
      <c r="D93" s="308" t="s">
        <v>120</v>
      </c>
      <c r="E93" s="294">
        <f>E94+E95+E96+E97+E98+E99+E100+E102+E101</f>
        <v>59718024</v>
      </c>
      <c r="F93" s="294">
        <f>F94+F95+F96+F97+F98+F99+F100+F102+F101</f>
        <v>59718024</v>
      </c>
      <c r="G93" s="294">
        <f t="shared" ref="G93:O93" si="33">G94+G95+G96+G97+G98+G99+G100+G102</f>
        <v>4583162</v>
      </c>
      <c r="H93" s="294">
        <f t="shared" si="33"/>
        <v>0</v>
      </c>
      <c r="I93" s="294">
        <f t="shared" si="33"/>
        <v>0</v>
      </c>
      <c r="J93" s="294">
        <f t="shared" si="33"/>
        <v>2755726</v>
      </c>
      <c r="K93" s="294">
        <f t="shared" si="33"/>
        <v>2296426</v>
      </c>
      <c r="L93" s="294">
        <f t="shared" si="33"/>
        <v>322056</v>
      </c>
      <c r="M93" s="294">
        <f t="shared" si="33"/>
        <v>0</v>
      </c>
      <c r="N93" s="294">
        <f t="shared" si="33"/>
        <v>0</v>
      </c>
      <c r="O93" s="294">
        <f t="shared" si="33"/>
        <v>2433670</v>
      </c>
      <c r="P93" s="294">
        <f>P94+P95+P96+P97+P98+P99+P100+P102+P101</f>
        <v>62473750</v>
      </c>
    </row>
    <row r="94" spans="1:16" ht="47.25" x14ac:dyDescent="0.25">
      <c r="A94" s="253" t="s">
        <v>122</v>
      </c>
      <c r="B94" s="244" t="s">
        <v>43</v>
      </c>
      <c r="C94" s="244" t="s">
        <v>18</v>
      </c>
      <c r="D94" s="182" t="s">
        <v>231</v>
      </c>
      <c r="E94" s="292">
        <f>F94</f>
        <v>4702083</v>
      </c>
      <c r="F94" s="292">
        <v>4702083</v>
      </c>
      <c r="G94" s="292">
        <v>4583162</v>
      </c>
      <c r="H94" s="292">
        <v>0</v>
      </c>
      <c r="I94" s="8">
        <v>0</v>
      </c>
      <c r="J94" s="8"/>
      <c r="K94" s="8"/>
      <c r="L94" s="8">
        <v>0</v>
      </c>
      <c r="M94" s="8">
        <v>0</v>
      </c>
      <c r="N94" s="8">
        <v>0</v>
      </c>
      <c r="O94" s="8"/>
      <c r="P94" s="317">
        <f t="shared" si="20"/>
        <v>4702083</v>
      </c>
    </row>
    <row r="95" spans="1:16" ht="31.5" x14ac:dyDescent="0.25">
      <c r="A95" s="253" t="s">
        <v>123</v>
      </c>
      <c r="B95" s="244" t="s">
        <v>124</v>
      </c>
      <c r="C95" s="244" t="s">
        <v>125</v>
      </c>
      <c r="D95" s="182" t="s">
        <v>126</v>
      </c>
      <c r="E95" s="292">
        <f t="shared" ref="E95:E102" si="34">F95</f>
        <v>9760</v>
      </c>
      <c r="F95" s="292">
        <v>9760</v>
      </c>
      <c r="G95" s="292">
        <v>0</v>
      </c>
      <c r="H95" s="292">
        <v>0</v>
      </c>
      <c r="I95" s="8">
        <v>0</v>
      </c>
      <c r="J95" s="8">
        <f t="shared" ref="J95:J100" si="35">L95+O95</f>
        <v>0</v>
      </c>
      <c r="K95" s="8">
        <v>0</v>
      </c>
      <c r="L95" s="8">
        <v>0</v>
      </c>
      <c r="M95" s="8">
        <v>0</v>
      </c>
      <c r="N95" s="8">
        <v>0</v>
      </c>
      <c r="O95" s="8">
        <v>0</v>
      </c>
      <c r="P95" s="317">
        <f t="shared" si="20"/>
        <v>9760</v>
      </c>
    </row>
    <row r="96" spans="1:16" ht="31.5" x14ac:dyDescent="0.25">
      <c r="A96" s="253" t="s">
        <v>127</v>
      </c>
      <c r="B96" s="244" t="s">
        <v>128</v>
      </c>
      <c r="C96" s="244" t="s">
        <v>28</v>
      </c>
      <c r="D96" s="182" t="s">
        <v>129</v>
      </c>
      <c r="E96" s="292">
        <f t="shared" si="34"/>
        <v>1597918</v>
      </c>
      <c r="F96" s="292">
        <v>1597918</v>
      </c>
      <c r="G96" s="292">
        <v>0</v>
      </c>
      <c r="H96" s="292">
        <v>0</v>
      </c>
      <c r="I96" s="8">
        <v>0</v>
      </c>
      <c r="J96" s="8">
        <f t="shared" si="35"/>
        <v>0</v>
      </c>
      <c r="K96" s="8">
        <v>0</v>
      </c>
      <c r="L96" s="8">
        <v>0</v>
      </c>
      <c r="M96" s="8">
        <v>0</v>
      </c>
      <c r="N96" s="8">
        <v>0</v>
      </c>
      <c r="O96" s="8">
        <v>0</v>
      </c>
      <c r="P96" s="317">
        <f t="shared" si="20"/>
        <v>1597918</v>
      </c>
    </row>
    <row r="97" spans="1:16" ht="31.5" x14ac:dyDescent="0.25">
      <c r="A97" s="253">
        <v>1216015</v>
      </c>
      <c r="B97" s="244">
        <v>6015</v>
      </c>
      <c r="C97" s="244" t="s">
        <v>28</v>
      </c>
      <c r="D97" s="182" t="s">
        <v>337</v>
      </c>
      <c r="E97" s="292">
        <f t="shared" si="34"/>
        <v>0</v>
      </c>
      <c r="F97" s="292"/>
      <c r="G97" s="292"/>
      <c r="H97" s="292"/>
      <c r="I97" s="8"/>
      <c r="J97" s="8">
        <f t="shared" si="35"/>
        <v>1835036</v>
      </c>
      <c r="K97" s="8">
        <v>1835036</v>
      </c>
      <c r="L97" s="8"/>
      <c r="M97" s="8"/>
      <c r="N97" s="8"/>
      <c r="O97" s="8">
        <v>1835036</v>
      </c>
      <c r="P97" s="317">
        <f t="shared" si="20"/>
        <v>1835036</v>
      </c>
    </row>
    <row r="98" spans="1:16" ht="31.5" x14ac:dyDescent="0.25">
      <c r="A98" s="253" t="s">
        <v>130</v>
      </c>
      <c r="B98" s="244" t="s">
        <v>27</v>
      </c>
      <c r="C98" s="244" t="s">
        <v>28</v>
      </c>
      <c r="D98" s="182" t="s">
        <v>29</v>
      </c>
      <c r="E98" s="292">
        <f t="shared" si="34"/>
        <v>45852621</v>
      </c>
      <c r="F98" s="292">
        <v>45852621</v>
      </c>
      <c r="G98" s="292">
        <v>0</v>
      </c>
      <c r="H98" s="292">
        <v>0</v>
      </c>
      <c r="I98" s="8">
        <v>0</v>
      </c>
      <c r="J98" s="8">
        <f t="shared" si="35"/>
        <v>461390</v>
      </c>
      <c r="K98" s="8">
        <v>461390</v>
      </c>
      <c r="L98" s="8">
        <v>0</v>
      </c>
      <c r="M98" s="8">
        <v>0</v>
      </c>
      <c r="N98" s="8">
        <v>0</v>
      </c>
      <c r="O98" s="8">
        <v>461390</v>
      </c>
      <c r="P98" s="317">
        <f t="shared" si="20"/>
        <v>46314011</v>
      </c>
    </row>
    <row r="99" spans="1:16" ht="173.25" x14ac:dyDescent="0.25">
      <c r="A99" s="253">
        <v>1216071</v>
      </c>
      <c r="B99" s="244">
        <v>6071</v>
      </c>
      <c r="C99" s="312" t="s">
        <v>328</v>
      </c>
      <c r="D99" s="182" t="s">
        <v>329</v>
      </c>
      <c r="E99" s="292">
        <f t="shared" si="34"/>
        <v>4380000</v>
      </c>
      <c r="F99" s="292">
        <v>4380000</v>
      </c>
      <c r="G99" s="292"/>
      <c r="H99" s="292"/>
      <c r="I99" s="8"/>
      <c r="J99" s="8"/>
      <c r="K99" s="8"/>
      <c r="L99" s="8"/>
      <c r="M99" s="8"/>
      <c r="N99" s="8"/>
      <c r="O99" s="8"/>
      <c r="P99" s="317">
        <f t="shared" si="20"/>
        <v>4380000</v>
      </c>
    </row>
    <row r="100" spans="1:16" ht="45.75" customHeight="1" x14ac:dyDescent="0.25">
      <c r="A100" s="253" t="s">
        <v>131</v>
      </c>
      <c r="B100" s="244" t="s">
        <v>132</v>
      </c>
      <c r="C100" s="244" t="s">
        <v>133</v>
      </c>
      <c r="D100" s="182" t="s">
        <v>134</v>
      </c>
      <c r="E100" s="292">
        <f t="shared" si="34"/>
        <v>2968087</v>
      </c>
      <c r="F100" s="292">
        <v>2968087</v>
      </c>
      <c r="G100" s="292">
        <v>0</v>
      </c>
      <c r="H100" s="292">
        <v>0</v>
      </c>
      <c r="I100" s="8">
        <v>0</v>
      </c>
      <c r="J100" s="8">
        <f t="shared" si="35"/>
        <v>0</v>
      </c>
      <c r="K100" s="8">
        <v>0</v>
      </c>
      <c r="L100" s="8">
        <v>0</v>
      </c>
      <c r="M100" s="8">
        <v>0</v>
      </c>
      <c r="N100" s="8">
        <v>0</v>
      </c>
      <c r="O100" s="8">
        <v>0</v>
      </c>
      <c r="P100" s="317">
        <f t="shared" si="20"/>
        <v>2968087</v>
      </c>
    </row>
    <row r="101" spans="1:16" ht="45.75" customHeight="1" x14ac:dyDescent="0.25">
      <c r="A101" s="289">
        <v>1218110</v>
      </c>
      <c r="B101" s="290">
        <v>8110</v>
      </c>
      <c r="C101" s="517" t="s">
        <v>284</v>
      </c>
      <c r="D101" s="182" t="s">
        <v>285</v>
      </c>
      <c r="E101" s="292">
        <f t="shared" si="34"/>
        <v>207555</v>
      </c>
      <c r="F101" s="293">
        <v>207555</v>
      </c>
      <c r="G101" s="293"/>
      <c r="H101" s="293"/>
      <c r="I101" s="36"/>
      <c r="J101" s="8"/>
      <c r="K101" s="36"/>
      <c r="L101" s="36"/>
      <c r="M101" s="36"/>
      <c r="N101" s="36"/>
      <c r="O101" s="36"/>
      <c r="P101" s="317">
        <f t="shared" si="20"/>
        <v>207555</v>
      </c>
    </row>
    <row r="102" spans="1:16" ht="38.25" customHeight="1" thickBot="1" x14ac:dyDescent="0.3">
      <c r="A102" s="289" t="s">
        <v>135</v>
      </c>
      <c r="B102" s="290" t="s">
        <v>136</v>
      </c>
      <c r="C102" s="290" t="s">
        <v>137</v>
      </c>
      <c r="D102" s="283" t="s">
        <v>138</v>
      </c>
      <c r="E102" s="293">
        <f t="shared" si="34"/>
        <v>0</v>
      </c>
      <c r="F102" s="293">
        <v>0</v>
      </c>
      <c r="G102" s="293">
        <v>0</v>
      </c>
      <c r="H102" s="293">
        <v>0</v>
      </c>
      <c r="I102" s="36">
        <v>0</v>
      </c>
      <c r="J102" s="8">
        <f>L102+O102</f>
        <v>459300</v>
      </c>
      <c r="K102" s="36">
        <v>0</v>
      </c>
      <c r="L102" s="36">
        <v>322056</v>
      </c>
      <c r="M102" s="36">
        <v>0</v>
      </c>
      <c r="N102" s="36">
        <v>0</v>
      </c>
      <c r="O102" s="36">
        <v>137244</v>
      </c>
      <c r="P102" s="318">
        <f t="shared" si="20"/>
        <v>459300</v>
      </c>
    </row>
    <row r="103" spans="1:16" s="241" customFormat="1" ht="63.75" thickBot="1" x14ac:dyDescent="0.3">
      <c r="A103" s="284" t="s">
        <v>139</v>
      </c>
      <c r="B103" s="285" t="s">
        <v>16</v>
      </c>
      <c r="C103" s="285" t="s">
        <v>16</v>
      </c>
      <c r="D103" s="287" t="s">
        <v>438</v>
      </c>
      <c r="E103" s="314">
        <f>E104</f>
        <v>3837314</v>
      </c>
      <c r="F103" s="314">
        <f>E103</f>
        <v>3837314</v>
      </c>
      <c r="G103" s="314">
        <f>G104</f>
        <v>3600829</v>
      </c>
      <c r="H103" s="314">
        <f t="shared" ref="H103:I103" si="36">H104</f>
        <v>111558</v>
      </c>
      <c r="I103" s="314">
        <f t="shared" si="36"/>
        <v>0</v>
      </c>
      <c r="J103" s="314">
        <f>J104</f>
        <v>36289935</v>
      </c>
      <c r="K103" s="314">
        <f>K104</f>
        <v>36289935</v>
      </c>
      <c r="L103" s="314">
        <f t="shared" ref="L103:O103" si="37">L104</f>
        <v>0</v>
      </c>
      <c r="M103" s="314">
        <f t="shared" si="37"/>
        <v>0</v>
      </c>
      <c r="N103" s="314">
        <f t="shared" si="37"/>
        <v>0</v>
      </c>
      <c r="O103" s="314">
        <f t="shared" si="37"/>
        <v>36289935</v>
      </c>
      <c r="P103" s="314">
        <f>E103+J103</f>
        <v>40127249</v>
      </c>
    </row>
    <row r="104" spans="1:16" s="240" customFormat="1" ht="47.25" x14ac:dyDescent="0.25">
      <c r="A104" s="306" t="s">
        <v>140</v>
      </c>
      <c r="B104" s="307" t="s">
        <v>16</v>
      </c>
      <c r="C104" s="307" t="s">
        <v>16</v>
      </c>
      <c r="D104" s="308" t="s">
        <v>438</v>
      </c>
      <c r="E104" s="294">
        <f t="shared" ref="E104:N104" si="38">E105+E109+E112</f>
        <v>3837314</v>
      </c>
      <c r="F104" s="294">
        <f t="shared" si="38"/>
        <v>3837314</v>
      </c>
      <c r="G104" s="294">
        <f t="shared" si="38"/>
        <v>3600829</v>
      </c>
      <c r="H104" s="294">
        <f t="shared" si="38"/>
        <v>111558</v>
      </c>
      <c r="I104" s="294">
        <f t="shared" si="38"/>
        <v>0</v>
      </c>
      <c r="J104" s="294">
        <f>J105+J109+J112+J106+J107+J108+J110+J111</f>
        <v>36289935</v>
      </c>
      <c r="K104" s="294">
        <f>K105+K109+K112+K106+K107+K108+K110+K111</f>
        <v>36289935</v>
      </c>
      <c r="L104" s="294">
        <f t="shared" si="38"/>
        <v>0</v>
      </c>
      <c r="M104" s="294">
        <f t="shared" si="38"/>
        <v>0</v>
      </c>
      <c r="N104" s="294">
        <f t="shared" si="38"/>
        <v>0</v>
      </c>
      <c r="O104" s="294">
        <f>O105+O109+O112+O106+O107+O108+O110+O111</f>
        <v>36289935</v>
      </c>
      <c r="P104" s="316">
        <f>E104+J104</f>
        <v>40127249</v>
      </c>
    </row>
    <row r="105" spans="1:16" ht="47.25" x14ac:dyDescent="0.25">
      <c r="A105" s="253" t="s">
        <v>253</v>
      </c>
      <c r="B105" s="244" t="s">
        <v>43</v>
      </c>
      <c r="C105" s="244" t="s">
        <v>18</v>
      </c>
      <c r="D105" s="182" t="s">
        <v>231</v>
      </c>
      <c r="E105" s="292">
        <f>F105+I105</f>
        <v>3837314</v>
      </c>
      <c r="F105" s="292">
        <v>3837314</v>
      </c>
      <c r="G105" s="292">
        <v>3600829</v>
      </c>
      <c r="H105" s="292">
        <v>111558</v>
      </c>
      <c r="I105" s="8">
        <v>0</v>
      </c>
      <c r="J105" s="8">
        <f t="shared" ref="J105:J111" si="39">L105+O105</f>
        <v>0</v>
      </c>
      <c r="K105" s="8">
        <v>0</v>
      </c>
      <c r="L105" s="8">
        <v>0</v>
      </c>
      <c r="M105" s="8">
        <v>0</v>
      </c>
      <c r="N105" s="8">
        <v>0</v>
      </c>
      <c r="O105" s="8">
        <v>0</v>
      </c>
      <c r="P105" s="317">
        <f t="shared" si="20"/>
        <v>3837314</v>
      </c>
    </row>
    <row r="106" spans="1:16" ht="47.25" x14ac:dyDescent="0.25">
      <c r="A106" s="289">
        <v>1511021</v>
      </c>
      <c r="B106" s="290">
        <v>1021</v>
      </c>
      <c r="C106" s="517" t="s">
        <v>50</v>
      </c>
      <c r="D106" s="182" t="s">
        <v>439</v>
      </c>
      <c r="E106" s="292"/>
      <c r="F106" s="293"/>
      <c r="G106" s="293"/>
      <c r="H106" s="293"/>
      <c r="I106" s="36"/>
      <c r="J106" s="8">
        <f t="shared" si="39"/>
        <v>19544392</v>
      </c>
      <c r="K106" s="36">
        <f>2503555+15306015+248082+1486740</f>
        <v>19544392</v>
      </c>
      <c r="L106" s="36"/>
      <c r="M106" s="36"/>
      <c r="N106" s="36"/>
      <c r="O106" s="36">
        <f>2503555+15306015+248082+1486740</f>
        <v>19544392</v>
      </c>
      <c r="P106" s="317">
        <f t="shared" si="20"/>
        <v>19544392</v>
      </c>
    </row>
    <row r="107" spans="1:16" ht="31.5" hidden="1" x14ac:dyDescent="0.25">
      <c r="A107" s="289">
        <v>1512010</v>
      </c>
      <c r="B107" s="290">
        <v>2010</v>
      </c>
      <c r="C107" s="517" t="s">
        <v>21</v>
      </c>
      <c r="D107" s="182" t="s">
        <v>22</v>
      </c>
      <c r="E107" s="292"/>
      <c r="F107" s="293"/>
      <c r="G107" s="293"/>
      <c r="H107" s="293"/>
      <c r="I107" s="36"/>
      <c r="J107" s="8">
        <f t="shared" si="39"/>
        <v>0</v>
      </c>
      <c r="K107" s="8">
        <f t="shared" ref="K107:K108" si="40">O107</f>
        <v>0</v>
      </c>
      <c r="L107" s="36"/>
      <c r="M107" s="36"/>
      <c r="N107" s="36"/>
      <c r="O107" s="36"/>
      <c r="P107" s="317">
        <f t="shared" si="20"/>
        <v>0</v>
      </c>
    </row>
    <row r="108" spans="1:16" ht="27.6" customHeight="1" x14ac:dyDescent="0.25">
      <c r="A108" s="289">
        <v>1512170</v>
      </c>
      <c r="B108" s="290">
        <v>2170</v>
      </c>
      <c r="C108" s="517" t="s">
        <v>282</v>
      </c>
      <c r="D108" s="182" t="s">
        <v>440</v>
      </c>
      <c r="E108" s="292"/>
      <c r="F108" s="293"/>
      <c r="G108" s="293"/>
      <c r="H108" s="293"/>
      <c r="I108" s="36"/>
      <c r="J108" s="8">
        <f t="shared" si="39"/>
        <v>173444</v>
      </c>
      <c r="K108" s="8">
        <f t="shared" si="40"/>
        <v>173444</v>
      </c>
      <c r="L108" s="36"/>
      <c r="M108" s="36"/>
      <c r="N108" s="36"/>
      <c r="O108" s="36">
        <v>173444</v>
      </c>
      <c r="P108" s="317">
        <f t="shared" si="20"/>
        <v>173444</v>
      </c>
    </row>
    <row r="109" spans="1:16" ht="47.25" x14ac:dyDescent="0.25">
      <c r="A109" s="338">
        <v>1516012</v>
      </c>
      <c r="B109" s="339">
        <v>6012</v>
      </c>
      <c r="C109" s="340" t="s">
        <v>28</v>
      </c>
      <c r="D109" s="264" t="s">
        <v>287</v>
      </c>
      <c r="E109" s="292">
        <f t="shared" ref="E109:E112" si="41">F109+I109</f>
        <v>0</v>
      </c>
      <c r="F109" s="293"/>
      <c r="G109" s="293"/>
      <c r="H109" s="293"/>
      <c r="I109" s="36"/>
      <c r="J109" s="8">
        <f t="shared" si="39"/>
        <v>10430435</v>
      </c>
      <c r="K109" s="8">
        <f>O109</f>
        <v>10430435</v>
      </c>
      <c r="L109" s="36"/>
      <c r="M109" s="36"/>
      <c r="N109" s="36"/>
      <c r="O109" s="36">
        <f>3098317-1031901+7997976-60000+45000+381043</f>
        <v>10430435</v>
      </c>
      <c r="P109" s="317">
        <f t="shared" si="20"/>
        <v>10430435</v>
      </c>
    </row>
    <row r="110" spans="1:16" ht="31.5" x14ac:dyDescent="0.25">
      <c r="A110" s="338">
        <v>1516013</v>
      </c>
      <c r="B110" s="339">
        <v>6013</v>
      </c>
      <c r="C110" s="340" t="s">
        <v>28</v>
      </c>
      <c r="D110" s="264" t="s">
        <v>129</v>
      </c>
      <c r="E110" s="292"/>
      <c r="F110" s="293"/>
      <c r="G110" s="293"/>
      <c r="H110" s="293"/>
      <c r="I110" s="36"/>
      <c r="J110" s="8">
        <f t="shared" si="39"/>
        <v>258440</v>
      </c>
      <c r="K110" s="8">
        <f>O110</f>
        <v>258440</v>
      </c>
      <c r="L110" s="36"/>
      <c r="M110" s="36"/>
      <c r="N110" s="36"/>
      <c r="O110" s="36">
        <f>60000+198440</f>
        <v>258440</v>
      </c>
      <c r="P110" s="317">
        <f t="shared" si="20"/>
        <v>258440</v>
      </c>
    </row>
    <row r="111" spans="1:16" ht="31.5" x14ac:dyDescent="0.25">
      <c r="A111" s="338">
        <v>1516030</v>
      </c>
      <c r="B111" s="339">
        <v>6030</v>
      </c>
      <c r="C111" s="340" t="s">
        <v>28</v>
      </c>
      <c r="D111" s="264" t="s">
        <v>29</v>
      </c>
      <c r="E111" s="292"/>
      <c r="F111" s="293"/>
      <c r="G111" s="293"/>
      <c r="H111" s="293"/>
      <c r="I111" s="36"/>
      <c r="J111" s="8">
        <f t="shared" si="39"/>
        <v>400942</v>
      </c>
      <c r="K111" s="8">
        <f>O111</f>
        <v>400942</v>
      </c>
      <c r="L111" s="36"/>
      <c r="M111" s="36"/>
      <c r="N111" s="36"/>
      <c r="O111" s="36">
        <f>251111+45000+49800+55031</f>
        <v>400942</v>
      </c>
      <c r="P111" s="317">
        <f t="shared" si="20"/>
        <v>400942</v>
      </c>
    </row>
    <row r="112" spans="1:16" ht="48" thickBot="1" x14ac:dyDescent="0.3">
      <c r="A112" s="253">
        <v>1517461</v>
      </c>
      <c r="B112" s="244" t="s">
        <v>132</v>
      </c>
      <c r="C112" s="244" t="s">
        <v>133</v>
      </c>
      <c r="D112" s="182" t="s">
        <v>134</v>
      </c>
      <c r="E112" s="292">
        <f t="shared" si="41"/>
        <v>0</v>
      </c>
      <c r="F112" s="293"/>
      <c r="G112" s="293"/>
      <c r="H112" s="293"/>
      <c r="I112" s="36"/>
      <c r="J112" s="8">
        <f t="shared" ref="J112" si="42">L112+O112</f>
        <v>5482282</v>
      </c>
      <c r="K112" s="8">
        <f>O112</f>
        <v>5482282</v>
      </c>
      <c r="L112" s="36"/>
      <c r="M112" s="36"/>
      <c r="N112" s="36"/>
      <c r="O112" s="36">
        <f>2799508+2192418+490356</f>
        <v>5482282</v>
      </c>
      <c r="P112" s="317">
        <f t="shared" si="20"/>
        <v>5482282</v>
      </c>
    </row>
    <row r="113" spans="1:16" s="241" customFormat="1" ht="62.25" customHeight="1" thickBot="1" x14ac:dyDescent="0.3">
      <c r="A113" s="284" t="s">
        <v>254</v>
      </c>
      <c r="B113" s="285" t="s">
        <v>16</v>
      </c>
      <c r="C113" s="285" t="s">
        <v>16</v>
      </c>
      <c r="D113" s="287" t="s">
        <v>255</v>
      </c>
      <c r="E113" s="314">
        <f>E114</f>
        <v>4633794</v>
      </c>
      <c r="F113" s="314">
        <f t="shared" ref="F113:I113" si="43">F114</f>
        <v>4633794</v>
      </c>
      <c r="G113" s="314">
        <f t="shared" si="43"/>
        <v>4369632</v>
      </c>
      <c r="H113" s="314">
        <f t="shared" si="43"/>
        <v>0</v>
      </c>
      <c r="I113" s="314">
        <f t="shared" si="43"/>
        <v>0</v>
      </c>
      <c r="J113" s="23">
        <f>J114</f>
        <v>1238282</v>
      </c>
      <c r="K113" s="23">
        <f>K114</f>
        <v>1238282</v>
      </c>
      <c r="L113" s="23">
        <f t="shared" ref="L113:O113" si="44">L114</f>
        <v>0</v>
      </c>
      <c r="M113" s="23">
        <f t="shared" si="44"/>
        <v>0</v>
      </c>
      <c r="N113" s="23">
        <f t="shared" si="44"/>
        <v>0</v>
      </c>
      <c r="O113" s="23">
        <f t="shared" si="44"/>
        <v>1238282</v>
      </c>
      <c r="P113" s="315">
        <f>E113+J113</f>
        <v>5872076</v>
      </c>
    </row>
    <row r="114" spans="1:16" s="240" customFormat="1" ht="63" x14ac:dyDescent="0.25">
      <c r="A114" s="306" t="s">
        <v>256</v>
      </c>
      <c r="B114" s="307" t="s">
        <v>16</v>
      </c>
      <c r="C114" s="307" t="s">
        <v>16</v>
      </c>
      <c r="D114" s="308" t="s">
        <v>255</v>
      </c>
      <c r="E114" s="294">
        <f>E115</f>
        <v>4633794</v>
      </c>
      <c r="F114" s="294">
        <f>F115</f>
        <v>4633794</v>
      </c>
      <c r="G114" s="294">
        <f>G115</f>
        <v>4369632</v>
      </c>
      <c r="H114" s="294">
        <f>H115</f>
        <v>0</v>
      </c>
      <c r="I114" s="39">
        <f>I115</f>
        <v>0</v>
      </c>
      <c r="J114" s="39">
        <f>L114+O114</f>
        <v>1238282</v>
      </c>
      <c r="K114" s="39">
        <f>K115+K116</f>
        <v>1238282</v>
      </c>
      <c r="L114" s="39">
        <f>L115+L116</f>
        <v>0</v>
      </c>
      <c r="M114" s="39">
        <f>M115+M116</f>
        <v>0</v>
      </c>
      <c r="N114" s="39">
        <f>N115+N116</f>
        <v>0</v>
      </c>
      <c r="O114" s="39">
        <f>O115+O116</f>
        <v>1238282</v>
      </c>
      <c r="P114" s="316">
        <f>E114+J114</f>
        <v>5872076</v>
      </c>
    </row>
    <row r="115" spans="1:16" ht="54.6" customHeight="1" x14ac:dyDescent="0.25">
      <c r="A115" s="253" t="s">
        <v>257</v>
      </c>
      <c r="B115" s="244" t="s">
        <v>43</v>
      </c>
      <c r="C115" s="244" t="s">
        <v>18</v>
      </c>
      <c r="D115" s="182" t="s">
        <v>231</v>
      </c>
      <c r="E115" s="292">
        <f>F115+I115</f>
        <v>4633794</v>
      </c>
      <c r="F115" s="292">
        <f>4633794</f>
        <v>4633794</v>
      </c>
      <c r="G115" s="292">
        <v>4369632</v>
      </c>
      <c r="H115" s="292">
        <v>0</v>
      </c>
      <c r="I115" s="8">
        <v>0</v>
      </c>
      <c r="J115" s="39">
        <f t="shared" ref="J115" si="45">L115+O115</f>
        <v>0</v>
      </c>
      <c r="K115" s="8">
        <v>0</v>
      </c>
      <c r="L115" s="8">
        <v>0</v>
      </c>
      <c r="M115" s="8">
        <v>0</v>
      </c>
      <c r="N115" s="8">
        <v>0</v>
      </c>
      <c r="O115" s="8">
        <v>0</v>
      </c>
      <c r="P115" s="317">
        <f>E115+J115</f>
        <v>4633794</v>
      </c>
    </row>
    <row r="116" spans="1:16" ht="54.6" customHeight="1" thickBot="1" x14ac:dyDescent="0.3">
      <c r="A116" s="289">
        <v>1617351</v>
      </c>
      <c r="B116" s="290">
        <v>7351</v>
      </c>
      <c r="C116" s="517" t="s">
        <v>369</v>
      </c>
      <c r="D116" s="283" t="s">
        <v>384</v>
      </c>
      <c r="E116" s="292">
        <f>F116+I116</f>
        <v>0</v>
      </c>
      <c r="F116" s="293"/>
      <c r="G116" s="293"/>
      <c r="H116" s="293"/>
      <c r="I116" s="36"/>
      <c r="J116" s="8">
        <f>L116+O116</f>
        <v>1238282</v>
      </c>
      <c r="K116" s="36">
        <f>O116</f>
        <v>1238282</v>
      </c>
      <c r="L116" s="36"/>
      <c r="M116" s="36"/>
      <c r="N116" s="36"/>
      <c r="O116" s="36">
        <f>1031901+206381</f>
        <v>1238282</v>
      </c>
      <c r="P116" s="317">
        <f t="shared" si="20"/>
        <v>1238282</v>
      </c>
    </row>
    <row r="117" spans="1:16" s="241" customFormat="1" ht="48" thickBot="1" x14ac:dyDescent="0.3">
      <c r="A117" s="284" t="s">
        <v>258</v>
      </c>
      <c r="B117" s="285" t="s">
        <v>16</v>
      </c>
      <c r="C117" s="285" t="s">
        <v>16</v>
      </c>
      <c r="D117" s="287" t="s">
        <v>259</v>
      </c>
      <c r="E117" s="314">
        <f>E118</f>
        <v>10073310</v>
      </c>
      <c r="F117" s="314">
        <f>F118</f>
        <v>10073310</v>
      </c>
      <c r="G117" s="314">
        <f>G118</f>
        <v>4568210</v>
      </c>
      <c r="H117" s="314">
        <f t="shared" ref="H117:I118" si="46">H118</f>
        <v>0</v>
      </c>
      <c r="I117" s="314">
        <f t="shared" si="46"/>
        <v>0</v>
      </c>
      <c r="J117" s="23">
        <f>J118</f>
        <v>0</v>
      </c>
      <c r="K117" s="23">
        <f>K118</f>
        <v>0</v>
      </c>
      <c r="L117" s="23">
        <f t="shared" ref="L117:O118" si="47">L118</f>
        <v>0</v>
      </c>
      <c r="M117" s="23">
        <f t="shared" si="47"/>
        <v>0</v>
      </c>
      <c r="N117" s="23">
        <f t="shared" si="47"/>
        <v>0</v>
      </c>
      <c r="O117" s="23">
        <f t="shared" si="47"/>
        <v>0</v>
      </c>
      <c r="P117" s="315">
        <f t="shared" si="20"/>
        <v>10073310</v>
      </c>
    </row>
    <row r="118" spans="1:16" s="240" customFormat="1" ht="44.25" customHeight="1" x14ac:dyDescent="0.25">
      <c r="A118" s="306" t="s">
        <v>260</v>
      </c>
      <c r="B118" s="307" t="s">
        <v>16</v>
      </c>
      <c r="C118" s="307" t="s">
        <v>16</v>
      </c>
      <c r="D118" s="308" t="s">
        <v>259</v>
      </c>
      <c r="E118" s="294">
        <f>E119+E120</f>
        <v>10073310</v>
      </c>
      <c r="F118" s="294">
        <f t="shared" ref="F118:G118" si="48">F119+F120</f>
        <v>10073310</v>
      </c>
      <c r="G118" s="294">
        <f t="shared" si="48"/>
        <v>4568210</v>
      </c>
      <c r="H118" s="294">
        <f t="shared" si="46"/>
        <v>0</v>
      </c>
      <c r="I118" s="294">
        <f t="shared" si="46"/>
        <v>0</v>
      </c>
      <c r="J118" s="39">
        <f>J119</f>
        <v>0</v>
      </c>
      <c r="K118" s="39">
        <f>K119</f>
        <v>0</v>
      </c>
      <c r="L118" s="39">
        <f t="shared" si="47"/>
        <v>0</v>
      </c>
      <c r="M118" s="39">
        <f t="shared" si="47"/>
        <v>0</v>
      </c>
      <c r="N118" s="39">
        <f t="shared" si="47"/>
        <v>0</v>
      </c>
      <c r="O118" s="39">
        <f t="shared" si="47"/>
        <v>0</v>
      </c>
      <c r="P118" s="316">
        <f t="shared" si="20"/>
        <v>10073310</v>
      </c>
    </row>
    <row r="119" spans="1:16" ht="47.25" x14ac:dyDescent="0.25">
      <c r="A119" s="289" t="s">
        <v>261</v>
      </c>
      <c r="B119" s="290" t="s">
        <v>43</v>
      </c>
      <c r="C119" s="290" t="s">
        <v>18</v>
      </c>
      <c r="D119" s="283" t="s">
        <v>231</v>
      </c>
      <c r="E119" s="293">
        <f>F119+I119</f>
        <v>4686270</v>
      </c>
      <c r="F119" s="293">
        <v>4686270</v>
      </c>
      <c r="G119" s="293">
        <f>3744434+823776</f>
        <v>4568210</v>
      </c>
      <c r="H119" s="293">
        <v>0</v>
      </c>
      <c r="I119" s="36">
        <v>0</v>
      </c>
      <c r="J119" s="36">
        <f>K119+O119</f>
        <v>0</v>
      </c>
      <c r="K119" s="36">
        <v>0</v>
      </c>
      <c r="L119" s="36">
        <v>0</v>
      </c>
      <c r="M119" s="36">
        <v>0</v>
      </c>
      <c r="N119" s="36">
        <v>0</v>
      </c>
      <c r="O119" s="36">
        <v>0</v>
      </c>
      <c r="P119" s="318">
        <f t="shared" si="20"/>
        <v>4686270</v>
      </c>
    </row>
    <row r="120" spans="1:16" x14ac:dyDescent="0.25">
      <c r="A120" s="244">
        <v>2717413</v>
      </c>
      <c r="B120" s="244">
        <v>7413</v>
      </c>
      <c r="C120" s="312" t="s">
        <v>290</v>
      </c>
      <c r="D120" s="182" t="s">
        <v>289</v>
      </c>
      <c r="E120" s="292">
        <f>F120+I120</f>
        <v>5387040</v>
      </c>
      <c r="F120" s="292">
        <v>5387040</v>
      </c>
      <c r="G120" s="292">
        <v>0</v>
      </c>
      <c r="H120" s="292"/>
      <c r="I120" s="8"/>
      <c r="J120" s="8"/>
      <c r="K120" s="8"/>
      <c r="L120" s="8"/>
      <c r="M120" s="8"/>
      <c r="N120" s="8"/>
      <c r="O120" s="8"/>
      <c r="P120" s="317">
        <f t="shared" si="20"/>
        <v>5387040</v>
      </c>
    </row>
    <row r="121" spans="1:16" s="241" customFormat="1" ht="48" thickBot="1" x14ac:dyDescent="0.3">
      <c r="A121" s="266" t="s">
        <v>262</v>
      </c>
      <c r="B121" s="267" t="s">
        <v>16</v>
      </c>
      <c r="C121" s="267" t="s">
        <v>16</v>
      </c>
      <c r="D121" s="320" t="s">
        <v>510</v>
      </c>
      <c r="E121" s="321">
        <f>E122</f>
        <v>4480777</v>
      </c>
      <c r="F121" s="321">
        <f>F122</f>
        <v>4480777</v>
      </c>
      <c r="G121" s="321">
        <f t="shared" ref="G121:I121" si="49">G122</f>
        <v>3508475</v>
      </c>
      <c r="H121" s="321">
        <f t="shared" si="49"/>
        <v>279692</v>
      </c>
      <c r="I121" s="321">
        <f t="shared" si="49"/>
        <v>0</v>
      </c>
      <c r="J121" s="268">
        <f>J122</f>
        <v>0</v>
      </c>
      <c r="K121" s="321">
        <f>K122</f>
        <v>0</v>
      </c>
      <c r="L121" s="321">
        <f t="shared" ref="L121:O121" si="50">L122</f>
        <v>0</v>
      </c>
      <c r="M121" s="321">
        <f t="shared" si="50"/>
        <v>0</v>
      </c>
      <c r="N121" s="321">
        <f t="shared" si="50"/>
        <v>0</v>
      </c>
      <c r="O121" s="321">
        <f t="shared" si="50"/>
        <v>0</v>
      </c>
      <c r="P121" s="322">
        <f t="shared" si="20"/>
        <v>4480777</v>
      </c>
    </row>
    <row r="122" spans="1:16" s="240" customFormat="1" ht="47.25" x14ac:dyDescent="0.25">
      <c r="A122" s="306" t="s">
        <v>264</v>
      </c>
      <c r="B122" s="307" t="s">
        <v>16</v>
      </c>
      <c r="C122" s="307" t="s">
        <v>16</v>
      </c>
      <c r="D122" s="308" t="s">
        <v>263</v>
      </c>
      <c r="E122" s="294">
        <f>E123+E124+E125+E126</f>
        <v>4480777</v>
      </c>
      <c r="F122" s="294">
        <f>F123+F124+F125+F126</f>
        <v>4480777</v>
      </c>
      <c r="G122" s="294">
        <f>G123+G124+G125+G126</f>
        <v>3508475</v>
      </c>
      <c r="H122" s="294">
        <f>H123+H124+H125+H126</f>
        <v>279692</v>
      </c>
      <c r="I122" s="294">
        <f t="shared" ref="I122:O122" si="51">I123+I129</f>
        <v>0</v>
      </c>
      <c r="J122" s="39">
        <f>J123+J129</f>
        <v>0</v>
      </c>
      <c r="K122" s="294">
        <f t="shared" si="51"/>
        <v>0</v>
      </c>
      <c r="L122" s="294">
        <f t="shared" si="51"/>
        <v>0</v>
      </c>
      <c r="M122" s="294">
        <f t="shared" si="51"/>
        <v>0</v>
      </c>
      <c r="N122" s="294">
        <f t="shared" si="51"/>
        <v>0</v>
      </c>
      <c r="O122" s="294">
        <f t="shared" si="51"/>
        <v>0</v>
      </c>
      <c r="P122" s="316">
        <f>P123+P124+P125+P126</f>
        <v>4480777</v>
      </c>
    </row>
    <row r="123" spans="1:16" ht="47.25" x14ac:dyDescent="0.25">
      <c r="A123" s="244" t="s">
        <v>265</v>
      </c>
      <c r="B123" s="244" t="s">
        <v>43</v>
      </c>
      <c r="C123" s="244" t="s">
        <v>18</v>
      </c>
      <c r="D123" s="182" t="s">
        <v>231</v>
      </c>
      <c r="E123" s="292">
        <f>F123+I123</f>
        <v>3652005</v>
      </c>
      <c r="F123" s="292">
        <v>3652005</v>
      </c>
      <c r="G123" s="292">
        <v>3508475</v>
      </c>
      <c r="H123" s="292">
        <v>0</v>
      </c>
      <c r="I123" s="8">
        <v>0</v>
      </c>
      <c r="J123" s="8">
        <f>L123+O123</f>
        <v>0</v>
      </c>
      <c r="K123" s="8"/>
      <c r="L123" s="8">
        <v>0</v>
      </c>
      <c r="M123" s="8">
        <v>0</v>
      </c>
      <c r="N123" s="8">
        <v>0</v>
      </c>
      <c r="O123" s="8"/>
      <c r="P123" s="292">
        <f t="shared" si="20"/>
        <v>3652005</v>
      </c>
    </row>
    <row r="124" spans="1:16" ht="31.5" x14ac:dyDescent="0.25">
      <c r="A124" s="263">
        <v>3117693</v>
      </c>
      <c r="B124" s="17">
        <v>7693</v>
      </c>
      <c r="C124" s="393" t="s">
        <v>227</v>
      </c>
      <c r="D124" s="182" t="s">
        <v>330</v>
      </c>
      <c r="E124" s="292">
        <f t="shared" ref="E124:E126" si="52">F124+I124</f>
        <v>682300</v>
      </c>
      <c r="F124" s="292">
        <f>177000+500000+5300</f>
        <v>682300</v>
      </c>
      <c r="G124" s="292"/>
      <c r="H124" s="292">
        <v>279692</v>
      </c>
      <c r="I124" s="8"/>
      <c r="J124" s="8"/>
      <c r="K124" s="8"/>
      <c r="L124" s="8"/>
      <c r="M124" s="8"/>
      <c r="N124" s="8"/>
      <c r="O124" s="8"/>
      <c r="P124" s="292">
        <f t="shared" si="20"/>
        <v>682300</v>
      </c>
    </row>
    <row r="125" spans="1:16" ht="47.25" x14ac:dyDescent="0.25">
      <c r="A125" s="253">
        <v>3118110</v>
      </c>
      <c r="B125" s="244">
        <v>8110</v>
      </c>
      <c r="C125" s="312" t="s">
        <v>284</v>
      </c>
      <c r="D125" s="182" t="s">
        <v>285</v>
      </c>
      <c r="E125" s="292">
        <f t="shared" si="52"/>
        <v>121472</v>
      </c>
      <c r="F125" s="292">
        <v>121472</v>
      </c>
      <c r="G125" s="292"/>
      <c r="H125" s="292"/>
      <c r="I125" s="8"/>
      <c r="J125" s="8"/>
      <c r="K125" s="8"/>
      <c r="L125" s="8"/>
      <c r="M125" s="8"/>
      <c r="N125" s="8"/>
      <c r="O125" s="8"/>
      <c r="P125" s="292">
        <f t="shared" si="20"/>
        <v>121472</v>
      </c>
    </row>
    <row r="126" spans="1:16" ht="32.25" thickBot="1" x14ac:dyDescent="0.3">
      <c r="A126" s="263">
        <v>3118311</v>
      </c>
      <c r="B126" s="17">
        <v>8311</v>
      </c>
      <c r="C126" s="393" t="s">
        <v>331</v>
      </c>
      <c r="D126" s="265" t="s">
        <v>332</v>
      </c>
      <c r="E126" s="292">
        <f t="shared" si="52"/>
        <v>25000</v>
      </c>
      <c r="F126" s="390">
        <v>25000</v>
      </c>
      <c r="G126" s="390"/>
      <c r="H126" s="390"/>
      <c r="I126" s="391"/>
      <c r="J126" s="391"/>
      <c r="K126" s="391"/>
      <c r="L126" s="391"/>
      <c r="M126" s="391"/>
      <c r="N126" s="391"/>
      <c r="O126" s="391"/>
      <c r="P126" s="292">
        <f t="shared" si="20"/>
        <v>25000</v>
      </c>
    </row>
    <row r="127" spans="1:16" s="241" customFormat="1" ht="49.5" customHeight="1" thickBot="1" x14ac:dyDescent="0.3">
      <c r="A127" s="284" t="s">
        <v>266</v>
      </c>
      <c r="B127" s="285" t="s">
        <v>16</v>
      </c>
      <c r="C127" s="285" t="s">
        <v>16</v>
      </c>
      <c r="D127" s="287" t="s">
        <v>267</v>
      </c>
      <c r="E127" s="314">
        <f>E128</f>
        <v>66763963</v>
      </c>
      <c r="F127" s="314">
        <f>F128</f>
        <v>66763963</v>
      </c>
      <c r="G127" s="314">
        <f t="shared" ref="G127:I127" si="53">G128</f>
        <v>6503042</v>
      </c>
      <c r="H127" s="314">
        <f t="shared" si="53"/>
        <v>0</v>
      </c>
      <c r="I127" s="314">
        <f t="shared" si="53"/>
        <v>0</v>
      </c>
      <c r="J127" s="23">
        <f>J128</f>
        <v>0</v>
      </c>
      <c r="K127" s="23">
        <f>K128</f>
        <v>0</v>
      </c>
      <c r="L127" s="23"/>
      <c r="M127" s="23"/>
      <c r="N127" s="23"/>
      <c r="O127" s="23"/>
      <c r="P127" s="315">
        <f>E127+J127</f>
        <v>66763963</v>
      </c>
    </row>
    <row r="128" spans="1:16" s="240" customFormat="1" ht="47.25" x14ac:dyDescent="0.25">
      <c r="A128" s="306" t="s">
        <v>268</v>
      </c>
      <c r="B128" s="307" t="s">
        <v>16</v>
      </c>
      <c r="C128" s="307" t="s">
        <v>16</v>
      </c>
      <c r="D128" s="308" t="s">
        <v>267</v>
      </c>
      <c r="E128" s="294">
        <f>E129+E130+E131</f>
        <v>66763963</v>
      </c>
      <c r="F128" s="294">
        <f>F129+F130+F131</f>
        <v>66763963</v>
      </c>
      <c r="G128" s="294">
        <f>G129+G130+G131</f>
        <v>6503042</v>
      </c>
      <c r="H128" s="294">
        <f>H129+H130</f>
        <v>0</v>
      </c>
      <c r="I128" s="294">
        <f t="shared" ref="I128:O128" si="54">I129+I130</f>
        <v>0</v>
      </c>
      <c r="J128" s="294">
        <f t="shared" si="54"/>
        <v>0</v>
      </c>
      <c r="K128" s="294">
        <f t="shared" si="54"/>
        <v>0</v>
      </c>
      <c r="L128" s="294">
        <f t="shared" si="54"/>
        <v>0</v>
      </c>
      <c r="M128" s="294">
        <f t="shared" si="54"/>
        <v>0</v>
      </c>
      <c r="N128" s="294">
        <f t="shared" si="54"/>
        <v>0</v>
      </c>
      <c r="O128" s="294">
        <f t="shared" si="54"/>
        <v>0</v>
      </c>
      <c r="P128" s="316">
        <f>P129+P130+P131</f>
        <v>66763963</v>
      </c>
    </row>
    <row r="129" spans="1:16" ht="47.25" x14ac:dyDescent="0.25">
      <c r="A129" s="253" t="s">
        <v>269</v>
      </c>
      <c r="B129" s="244" t="s">
        <v>43</v>
      </c>
      <c r="C129" s="244" t="s">
        <v>18</v>
      </c>
      <c r="D129" s="182" t="s">
        <v>231</v>
      </c>
      <c r="E129" s="292">
        <f>F129+I129</f>
        <v>6744663</v>
      </c>
      <c r="F129" s="292">
        <v>6744663</v>
      </c>
      <c r="G129" s="292">
        <v>6503042</v>
      </c>
      <c r="H129" s="292">
        <v>0</v>
      </c>
      <c r="I129" s="8">
        <v>0</v>
      </c>
      <c r="J129" s="36">
        <f t="shared" ref="J129:J130" si="55">K129+O129</f>
        <v>0</v>
      </c>
      <c r="K129" s="8">
        <v>0</v>
      </c>
      <c r="L129" s="8">
        <v>0</v>
      </c>
      <c r="M129" s="8">
        <v>0</v>
      </c>
      <c r="N129" s="8">
        <v>0</v>
      </c>
      <c r="O129" s="8">
        <v>0</v>
      </c>
      <c r="P129" s="317">
        <f t="shared" si="20"/>
        <v>6744663</v>
      </c>
    </row>
    <row r="130" spans="1:16" x14ac:dyDescent="0.25">
      <c r="A130" s="253" t="s">
        <v>270</v>
      </c>
      <c r="B130" s="244" t="s">
        <v>271</v>
      </c>
      <c r="C130" s="244" t="s">
        <v>272</v>
      </c>
      <c r="D130" s="182" t="s">
        <v>273</v>
      </c>
      <c r="E130" s="292">
        <f>F130</f>
        <v>4000000</v>
      </c>
      <c r="F130" s="323">
        <v>4000000</v>
      </c>
      <c r="G130" s="292">
        <v>0</v>
      </c>
      <c r="H130" s="292">
        <v>0</v>
      </c>
      <c r="I130" s="292">
        <v>0</v>
      </c>
      <c r="J130" s="8">
        <f t="shared" si="55"/>
        <v>0</v>
      </c>
      <c r="K130" s="8">
        <v>0</v>
      </c>
      <c r="L130" s="8">
        <v>0</v>
      </c>
      <c r="M130" s="8">
        <v>0</v>
      </c>
      <c r="N130" s="8">
        <v>0</v>
      </c>
      <c r="O130" s="8">
        <v>0</v>
      </c>
      <c r="P130" s="317">
        <f t="shared" si="20"/>
        <v>4000000</v>
      </c>
    </row>
    <row r="131" spans="1:16" ht="16.5" thickBot="1" x14ac:dyDescent="0.3">
      <c r="A131" s="395" t="s">
        <v>333</v>
      </c>
      <c r="B131" s="396" t="s">
        <v>334</v>
      </c>
      <c r="C131" s="396" t="s">
        <v>274</v>
      </c>
      <c r="D131" s="397" t="s">
        <v>335</v>
      </c>
      <c r="E131" s="292">
        <f>F131</f>
        <v>56019300</v>
      </c>
      <c r="F131" s="394">
        <v>56019300</v>
      </c>
      <c r="G131" s="390"/>
      <c r="H131" s="390"/>
      <c r="I131" s="390"/>
      <c r="J131" s="391"/>
      <c r="K131" s="391"/>
      <c r="L131" s="391"/>
      <c r="M131" s="391"/>
      <c r="N131" s="391"/>
      <c r="O131" s="391"/>
      <c r="P131" s="317">
        <f t="shared" si="20"/>
        <v>56019300</v>
      </c>
    </row>
    <row r="132" spans="1:16" ht="16.5" thickBot="1" x14ac:dyDescent="0.3">
      <c r="A132" s="284" t="s">
        <v>7</v>
      </c>
      <c r="B132" s="285" t="s">
        <v>7</v>
      </c>
      <c r="C132" s="285" t="s">
        <v>7</v>
      </c>
      <c r="D132" s="324" t="s">
        <v>141</v>
      </c>
      <c r="E132" s="314">
        <f t="shared" ref="E132:O132" si="56">E22+E39+E58+E73+E77+E92+E103+E113+E117+E121+E127</f>
        <v>664749505</v>
      </c>
      <c r="F132" s="314">
        <f t="shared" si="56"/>
        <v>664749505</v>
      </c>
      <c r="G132" s="314">
        <f t="shared" si="56"/>
        <v>300985445</v>
      </c>
      <c r="H132" s="314">
        <f t="shared" si="56"/>
        <v>39414512</v>
      </c>
      <c r="I132" s="314">
        <f t="shared" si="56"/>
        <v>0</v>
      </c>
      <c r="J132" s="314">
        <f t="shared" si="56"/>
        <v>65026251</v>
      </c>
      <c r="K132" s="314">
        <f t="shared" si="56"/>
        <v>49350951</v>
      </c>
      <c r="L132" s="314">
        <f t="shared" si="56"/>
        <v>15538056</v>
      </c>
      <c r="M132" s="314">
        <f t="shared" si="56"/>
        <v>2780397</v>
      </c>
      <c r="N132" s="314">
        <f t="shared" si="56"/>
        <v>60976</v>
      </c>
      <c r="O132" s="314">
        <f t="shared" si="56"/>
        <v>49488195</v>
      </c>
      <c r="P132" s="315">
        <f>E132+J132</f>
        <v>729775756</v>
      </c>
    </row>
    <row r="133" spans="1:16" x14ac:dyDescent="0.25">
      <c r="A133" s="52"/>
      <c r="B133" s="52"/>
      <c r="C133" s="52"/>
      <c r="D133" s="53"/>
      <c r="E133" s="325"/>
      <c r="F133" s="325"/>
      <c r="G133" s="325"/>
      <c r="H133" s="325"/>
      <c r="I133" s="325"/>
      <c r="J133" s="325"/>
      <c r="K133" s="325"/>
      <c r="L133" s="325"/>
      <c r="M133" s="325"/>
      <c r="N133" s="325"/>
      <c r="O133" s="325"/>
      <c r="P133" s="325"/>
    </row>
    <row r="134" spans="1:16" ht="16.899999999999999" customHeight="1" x14ac:dyDescent="0.25"/>
    <row r="135" spans="1:16" s="127" customFormat="1" ht="28.9" customHeight="1" x14ac:dyDescent="0.2">
      <c r="A135" s="736" t="s">
        <v>392</v>
      </c>
      <c r="B135" s="736"/>
      <c r="C135" s="736"/>
      <c r="D135" s="736"/>
      <c r="E135" s="326"/>
      <c r="F135" s="326"/>
      <c r="G135" s="326"/>
      <c r="H135" s="326"/>
      <c r="I135" s="326"/>
      <c r="J135" s="326" t="s">
        <v>320</v>
      </c>
      <c r="K135" s="326"/>
      <c r="L135" s="327"/>
      <c r="M135" s="326"/>
      <c r="N135" s="326"/>
      <c r="O135" s="328"/>
      <c r="P135" s="329"/>
    </row>
    <row r="136" spans="1:16" ht="16.899999999999999" customHeight="1" x14ac:dyDescent="0.25">
      <c r="E136" s="330"/>
      <c r="J136" s="330"/>
    </row>
    <row r="137" spans="1:16" x14ac:dyDescent="0.25">
      <c r="G137" s="331"/>
    </row>
    <row r="138" spans="1:16" x14ac:dyDescent="0.25">
      <c r="K138" s="343"/>
    </row>
    <row r="142" spans="1:16" x14ac:dyDescent="0.25">
      <c r="G142" s="331"/>
    </row>
  </sheetData>
  <mergeCells count="31">
    <mergeCell ref="A135:D135"/>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s>
  <hyperlinks>
    <hyperlink ref="D54" r:id="rId1" location="n8" display="https://zakon.rada.gov.ua/rada/show/988-2016-%D1%80 - n8"/>
    <hyperlink ref="D55"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6" manualBreakCount="6">
    <brk id="31" max="15" man="1"/>
    <brk id="57" max="15" man="1"/>
    <brk id="72" max="15" man="1"/>
    <brk id="89" max="15" man="1"/>
    <brk id="102" max="15" man="1"/>
    <brk id="11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64"/>
  <sheetViews>
    <sheetView view="pageBreakPreview" topLeftCell="A48" zoomScale="90" zoomScaleNormal="100" zoomScaleSheetLayoutView="90" workbookViewId="0">
      <selection activeCell="D52" sqref="D52"/>
    </sheetView>
  </sheetViews>
  <sheetFormatPr defaultRowHeight="12.75" x14ac:dyDescent="0.2"/>
  <cols>
    <col min="1" max="1" width="21.140625" customWidth="1"/>
    <col min="2" max="2" width="20.7109375" customWidth="1"/>
    <col min="3" max="3" width="67.85546875" customWidth="1"/>
    <col min="4" max="4" width="38" customWidth="1"/>
  </cols>
  <sheetData>
    <row r="1" spans="1:5" ht="15.75" x14ac:dyDescent="0.2">
      <c r="D1" s="558" t="s">
        <v>216</v>
      </c>
    </row>
    <row r="2" spans="1:5" ht="15.75" x14ac:dyDescent="0.2">
      <c r="D2" s="693" t="s">
        <v>388</v>
      </c>
    </row>
    <row r="3" spans="1:5" ht="15.75" x14ac:dyDescent="0.25">
      <c r="D3" s="560" t="s">
        <v>534</v>
      </c>
    </row>
    <row r="4" spans="1:5" ht="15.75" x14ac:dyDescent="0.25">
      <c r="D4" s="562" t="s">
        <v>526</v>
      </c>
    </row>
    <row r="5" spans="1:5" ht="15.75" x14ac:dyDescent="0.2">
      <c r="D5" s="694" t="s">
        <v>416</v>
      </c>
    </row>
    <row r="7" spans="1:5" ht="15.75" x14ac:dyDescent="0.2">
      <c r="D7" s="5" t="s">
        <v>533</v>
      </c>
      <c r="E7" s="5"/>
    </row>
    <row r="8" spans="1:5" ht="15.75" x14ac:dyDescent="0.2">
      <c r="D8" s="5" t="s">
        <v>388</v>
      </c>
      <c r="E8" s="5"/>
    </row>
    <row r="9" spans="1:5" ht="15.75" x14ac:dyDescent="0.2">
      <c r="D9" s="5" t="s">
        <v>8</v>
      </c>
      <c r="E9" s="5"/>
    </row>
    <row r="10" spans="1:5" ht="15.75" x14ac:dyDescent="0.2">
      <c r="D10" s="5" t="s">
        <v>324</v>
      </c>
      <c r="E10" s="5"/>
    </row>
    <row r="11" spans="1:5" ht="15.75" x14ac:dyDescent="0.25">
      <c r="D11" s="695" t="s">
        <v>403</v>
      </c>
      <c r="E11" s="5"/>
    </row>
    <row r="12" spans="1:5" ht="19.149999999999999" customHeight="1" x14ac:dyDescent="0.25">
      <c r="D12" s="695" t="s">
        <v>407</v>
      </c>
      <c r="E12" s="5"/>
    </row>
    <row r="13" spans="1:5" ht="15.6" customHeight="1" x14ac:dyDescent="0.2">
      <c r="D13" s="5" t="s">
        <v>535</v>
      </c>
      <c r="E13" s="5"/>
    </row>
    <row r="14" spans="1:5" ht="20.25" x14ac:dyDescent="0.3">
      <c r="A14" s="718" t="s">
        <v>336</v>
      </c>
      <c r="B14" s="719"/>
      <c r="C14" s="719"/>
      <c r="D14" s="719"/>
    </row>
    <row r="15" spans="1:5" ht="15.75" x14ac:dyDescent="0.25">
      <c r="A15" s="745" t="s">
        <v>214</v>
      </c>
      <c r="B15" s="746"/>
      <c r="C15" s="746"/>
      <c r="D15" s="746"/>
    </row>
    <row r="16" spans="1:5" ht="15.75" x14ac:dyDescent="0.25">
      <c r="A16" s="746" t="s">
        <v>0</v>
      </c>
      <c r="B16" s="746"/>
      <c r="C16" s="746"/>
      <c r="D16" s="746"/>
    </row>
    <row r="17" spans="1:4" ht="21.95" customHeight="1" x14ac:dyDescent="0.25">
      <c r="A17" s="136" t="s">
        <v>186</v>
      </c>
      <c r="B17" s="1"/>
      <c r="C17" s="1"/>
      <c r="D17" s="1"/>
    </row>
    <row r="18" spans="1:4" ht="16.5" thickBot="1" x14ac:dyDescent="0.3">
      <c r="A18" s="1"/>
      <c r="B18" s="1"/>
      <c r="C18" s="1"/>
      <c r="D18" s="2" t="s">
        <v>1</v>
      </c>
    </row>
    <row r="19" spans="1:4" ht="27.6" customHeight="1" x14ac:dyDescent="0.2">
      <c r="A19" s="137" t="s">
        <v>187</v>
      </c>
      <c r="B19" s="757" t="s">
        <v>188</v>
      </c>
      <c r="C19" s="758"/>
      <c r="D19" s="138" t="s">
        <v>2</v>
      </c>
    </row>
    <row r="20" spans="1:4" ht="15.75" x14ac:dyDescent="0.2">
      <c r="A20" s="139">
        <v>1</v>
      </c>
      <c r="B20" s="759">
        <v>2</v>
      </c>
      <c r="C20" s="760"/>
      <c r="D20" s="140">
        <v>3</v>
      </c>
    </row>
    <row r="21" spans="1:4" ht="15.75" x14ac:dyDescent="0.25">
      <c r="A21" s="754" t="s">
        <v>189</v>
      </c>
      <c r="B21" s="755"/>
      <c r="C21" s="755"/>
      <c r="D21" s="756"/>
    </row>
    <row r="22" spans="1:4" ht="65.25" hidden="1" customHeight="1" x14ac:dyDescent="0.25">
      <c r="A22" s="277">
        <v>41021400</v>
      </c>
      <c r="B22" s="764" t="s">
        <v>291</v>
      </c>
      <c r="C22" s="765"/>
      <c r="D22" s="280">
        <f>D23</f>
        <v>0</v>
      </c>
    </row>
    <row r="23" spans="1:4" ht="18.75" hidden="1" x14ac:dyDescent="0.25">
      <c r="A23" s="278" t="s">
        <v>192</v>
      </c>
      <c r="B23" s="752" t="s">
        <v>193</v>
      </c>
      <c r="C23" s="753"/>
      <c r="D23" s="279"/>
    </row>
    <row r="24" spans="1:4" ht="24" customHeight="1" x14ac:dyDescent="0.2">
      <c r="A24" s="141" t="s">
        <v>190</v>
      </c>
      <c r="B24" s="766" t="s">
        <v>191</v>
      </c>
      <c r="C24" s="767"/>
      <c r="D24" s="254">
        <f>D25</f>
        <v>51662400</v>
      </c>
    </row>
    <row r="25" spans="1:4" ht="15.75" x14ac:dyDescent="0.2">
      <c r="A25" s="144" t="s">
        <v>192</v>
      </c>
      <c r="B25" s="761" t="s">
        <v>193</v>
      </c>
      <c r="C25" s="762"/>
      <c r="D25" s="255">
        <v>51662400</v>
      </c>
    </row>
    <row r="26" spans="1:4" ht="41.45" customHeight="1" x14ac:dyDescent="0.2">
      <c r="A26" s="141">
        <v>41035400</v>
      </c>
      <c r="B26" s="766" t="s">
        <v>419</v>
      </c>
      <c r="C26" s="767"/>
      <c r="D26" s="254">
        <f>D27</f>
        <v>480600</v>
      </c>
    </row>
    <row r="27" spans="1:4" ht="15.75" x14ac:dyDescent="0.2">
      <c r="A27" s="144" t="s">
        <v>192</v>
      </c>
      <c r="B27" s="761" t="s">
        <v>193</v>
      </c>
      <c r="C27" s="762"/>
      <c r="D27" s="255">
        <v>480600</v>
      </c>
    </row>
    <row r="28" spans="1:4" ht="52.15" customHeight="1" x14ac:dyDescent="0.2">
      <c r="A28" s="141">
        <v>41036000</v>
      </c>
      <c r="B28" s="766" t="s">
        <v>417</v>
      </c>
      <c r="C28" s="767"/>
      <c r="D28" s="254">
        <f>D29</f>
        <v>1352500</v>
      </c>
    </row>
    <row r="29" spans="1:4" ht="15" customHeight="1" x14ac:dyDescent="0.2">
      <c r="A29" s="144" t="s">
        <v>192</v>
      </c>
      <c r="B29" s="761" t="s">
        <v>193</v>
      </c>
      <c r="C29" s="762"/>
      <c r="D29" s="255">
        <v>1352500</v>
      </c>
    </row>
    <row r="30" spans="1:4" ht="43.15" customHeight="1" x14ac:dyDescent="0.2">
      <c r="A30" s="141">
        <v>41036300</v>
      </c>
      <c r="B30" s="766" t="s">
        <v>418</v>
      </c>
      <c r="C30" s="767"/>
      <c r="D30" s="254">
        <f>D31</f>
        <v>3975300</v>
      </c>
    </row>
    <row r="31" spans="1:4" ht="15" customHeight="1" x14ac:dyDescent="0.2">
      <c r="A31" s="144" t="s">
        <v>192</v>
      </c>
      <c r="B31" s="761" t="s">
        <v>193</v>
      </c>
      <c r="C31" s="762"/>
      <c r="D31" s="255">
        <v>3975300</v>
      </c>
    </row>
    <row r="32" spans="1:4" ht="37.15" customHeight="1" x14ac:dyDescent="0.2">
      <c r="A32" s="145">
        <v>41051000</v>
      </c>
      <c r="B32" s="766" t="s">
        <v>194</v>
      </c>
      <c r="C32" s="767"/>
      <c r="D32" s="254">
        <f>D33</f>
        <v>883100</v>
      </c>
    </row>
    <row r="33" spans="1:4" ht="15" customHeight="1" x14ac:dyDescent="0.25">
      <c r="A33" s="148" t="s">
        <v>197</v>
      </c>
      <c r="B33" s="750" t="s">
        <v>195</v>
      </c>
      <c r="C33" s="751"/>
      <c r="D33" s="255">
        <v>883100</v>
      </c>
    </row>
    <row r="34" spans="1:4" s="147" customFormat="1" ht="38.450000000000003" customHeight="1" x14ac:dyDescent="0.2">
      <c r="A34" s="145">
        <v>41053900</v>
      </c>
      <c r="B34" s="748" t="s">
        <v>196</v>
      </c>
      <c r="C34" s="749"/>
      <c r="D34" s="146">
        <f>D35</f>
        <v>57773</v>
      </c>
    </row>
    <row r="35" spans="1:4" s="147" customFormat="1" ht="15.75" x14ac:dyDescent="0.25">
      <c r="A35" s="148" t="s">
        <v>197</v>
      </c>
      <c r="B35" s="750" t="s">
        <v>195</v>
      </c>
      <c r="C35" s="751"/>
      <c r="D35" s="149">
        <v>57773</v>
      </c>
    </row>
    <row r="36" spans="1:4" s="147" customFormat="1" ht="35.450000000000003" customHeight="1" x14ac:dyDescent="0.2">
      <c r="A36" s="145">
        <v>41053900</v>
      </c>
      <c r="B36" s="748" t="s">
        <v>198</v>
      </c>
      <c r="C36" s="749"/>
      <c r="D36" s="150">
        <f>D37</f>
        <v>164690</v>
      </c>
    </row>
    <row r="37" spans="1:4" s="147" customFormat="1" ht="15.75" x14ac:dyDescent="0.2">
      <c r="A37" s="148" t="s">
        <v>197</v>
      </c>
      <c r="B37" s="768" t="s">
        <v>195</v>
      </c>
      <c r="C37" s="769"/>
      <c r="D37" s="149">
        <v>164690</v>
      </c>
    </row>
    <row r="38" spans="1:4" s="147" customFormat="1" ht="52.9" customHeight="1" x14ac:dyDescent="0.2">
      <c r="A38" s="145">
        <v>41053900</v>
      </c>
      <c r="B38" s="748" t="s">
        <v>199</v>
      </c>
      <c r="C38" s="749"/>
      <c r="D38" s="150">
        <f>D39</f>
        <v>17623</v>
      </c>
    </row>
    <row r="39" spans="1:4" s="147" customFormat="1" ht="15.75" x14ac:dyDescent="0.25">
      <c r="A39" s="148" t="s">
        <v>197</v>
      </c>
      <c r="B39" s="750" t="s">
        <v>195</v>
      </c>
      <c r="C39" s="751"/>
      <c r="D39" s="149">
        <v>17623</v>
      </c>
    </row>
    <row r="40" spans="1:4" ht="66.599999999999994" customHeight="1" x14ac:dyDescent="0.2">
      <c r="A40" s="575">
        <v>41059300</v>
      </c>
      <c r="B40" s="748" t="s">
        <v>420</v>
      </c>
      <c r="C40" s="749"/>
      <c r="D40" s="576">
        <f>D41</f>
        <v>339588</v>
      </c>
    </row>
    <row r="41" spans="1:4" ht="15.75" x14ac:dyDescent="0.25">
      <c r="A41" s="148" t="s">
        <v>197</v>
      </c>
      <c r="B41" s="750" t="s">
        <v>195</v>
      </c>
      <c r="C41" s="751"/>
      <c r="D41" s="151">
        <v>339588</v>
      </c>
    </row>
    <row r="42" spans="1:4" ht="15.75" x14ac:dyDescent="0.25">
      <c r="A42" s="754" t="s">
        <v>200</v>
      </c>
      <c r="B42" s="755"/>
      <c r="C42" s="755"/>
      <c r="D42" s="756"/>
    </row>
    <row r="43" spans="1:4" s="153" customFormat="1" ht="15.75" x14ac:dyDescent="0.2">
      <c r="A43" s="141"/>
      <c r="B43" s="142"/>
      <c r="C43" s="143"/>
      <c r="D43" s="152"/>
    </row>
    <row r="44" spans="1:4" ht="15.75" x14ac:dyDescent="0.25">
      <c r="A44" s="154" t="s">
        <v>7</v>
      </c>
      <c r="B44" s="155" t="s">
        <v>201</v>
      </c>
      <c r="C44" s="143"/>
      <c r="D44" s="256">
        <f>D45+D46</f>
        <v>58933574</v>
      </c>
    </row>
    <row r="45" spans="1:4" ht="15.75" x14ac:dyDescent="0.25">
      <c r="A45" s="154" t="s">
        <v>7</v>
      </c>
      <c r="B45" s="155" t="s">
        <v>202</v>
      </c>
      <c r="C45" s="143"/>
      <c r="D45" s="256">
        <f>D22+D24+D28+D34+D36+D38+D26+D30+D32+D40</f>
        <v>58933574</v>
      </c>
    </row>
    <row r="46" spans="1:4" ht="15.75" x14ac:dyDescent="0.25">
      <c r="A46" s="154" t="s">
        <v>7</v>
      </c>
      <c r="B46" s="155" t="s">
        <v>203</v>
      </c>
      <c r="C46" s="143"/>
      <c r="D46" s="232">
        <v>0</v>
      </c>
    </row>
    <row r="47" spans="1:4" ht="21.95" customHeight="1" x14ac:dyDescent="0.25">
      <c r="A47" s="156" t="s">
        <v>204</v>
      </c>
      <c r="B47" s="1"/>
      <c r="C47" s="1"/>
      <c r="D47" s="157" t="s">
        <v>1</v>
      </c>
    </row>
    <row r="48" spans="1:4" ht="51" x14ac:dyDescent="0.2">
      <c r="A48" s="158" t="s">
        <v>205</v>
      </c>
      <c r="B48" s="159" t="s">
        <v>206</v>
      </c>
      <c r="C48" s="160" t="s">
        <v>207</v>
      </c>
      <c r="D48" s="161" t="s">
        <v>2</v>
      </c>
    </row>
    <row r="49" spans="1:16" ht="15.75" x14ac:dyDescent="0.2">
      <c r="A49" s="162">
        <v>1</v>
      </c>
      <c r="B49" s="163">
        <v>2</v>
      </c>
      <c r="C49" s="163">
        <v>3</v>
      </c>
      <c r="D49" s="164">
        <v>4</v>
      </c>
    </row>
    <row r="50" spans="1:16" ht="15.75" customHeight="1" x14ac:dyDescent="0.25">
      <c r="A50" s="770" t="s">
        <v>208</v>
      </c>
      <c r="B50" s="771"/>
      <c r="C50" s="772"/>
      <c r="D50" s="165"/>
    </row>
    <row r="51" spans="1:16" s="168" customFormat="1" ht="37.9" customHeight="1" x14ac:dyDescent="0.25">
      <c r="A51" s="579" t="s">
        <v>421</v>
      </c>
      <c r="B51" s="166">
        <v>9770</v>
      </c>
      <c r="C51" s="167" t="s">
        <v>209</v>
      </c>
      <c r="D51" s="165">
        <f>D52</f>
        <v>30021363</v>
      </c>
    </row>
    <row r="52" spans="1:16" ht="24" customHeight="1" x14ac:dyDescent="0.25">
      <c r="A52" s="148" t="s">
        <v>197</v>
      </c>
      <c r="B52" s="169">
        <v>9770</v>
      </c>
      <c r="C52" s="580" t="s">
        <v>195</v>
      </c>
      <c r="D52" s="171">
        <f>0+30000000+21363</f>
        <v>30021363</v>
      </c>
    </row>
    <row r="53" spans="1:16" ht="21" customHeight="1" x14ac:dyDescent="0.2">
      <c r="A53" s="398" t="s">
        <v>333</v>
      </c>
      <c r="B53" s="398" t="s">
        <v>334</v>
      </c>
      <c r="C53" s="577" t="s">
        <v>335</v>
      </c>
      <c r="D53" s="170">
        <f>D54</f>
        <v>56019300</v>
      </c>
    </row>
    <row r="54" spans="1:16" ht="23.45" customHeight="1" x14ac:dyDescent="0.2">
      <c r="A54" s="399" t="s">
        <v>192</v>
      </c>
      <c r="B54" s="399" t="s">
        <v>334</v>
      </c>
      <c r="C54" s="578" t="s">
        <v>193</v>
      </c>
      <c r="D54" s="171">
        <v>56019300</v>
      </c>
    </row>
    <row r="55" spans="1:16" ht="20.100000000000001" customHeight="1" x14ac:dyDescent="0.25">
      <c r="A55" s="773" t="s">
        <v>210</v>
      </c>
      <c r="B55" s="774"/>
      <c r="C55" s="774"/>
      <c r="D55" s="756"/>
    </row>
    <row r="56" spans="1:16" ht="35.450000000000003" customHeight="1" x14ac:dyDescent="0.2">
      <c r="A56" s="707" t="s">
        <v>530</v>
      </c>
      <c r="B56" s="705">
        <v>9800</v>
      </c>
      <c r="C56" s="706" t="s">
        <v>531</v>
      </c>
      <c r="D56" s="708">
        <f>D57</f>
        <v>4560280</v>
      </c>
    </row>
    <row r="57" spans="1:16" ht="20.100000000000001" customHeight="1" x14ac:dyDescent="0.2">
      <c r="A57" s="703">
        <v>99000000000</v>
      </c>
      <c r="B57" s="704">
        <v>9800</v>
      </c>
      <c r="C57" s="578" t="s">
        <v>193</v>
      </c>
      <c r="D57" s="171">
        <v>4560280</v>
      </c>
    </row>
    <row r="58" spans="1:16" ht="15.75" x14ac:dyDescent="0.25">
      <c r="A58" s="172" t="s">
        <v>7</v>
      </c>
      <c r="B58" s="173" t="s">
        <v>7</v>
      </c>
      <c r="C58" s="155" t="s">
        <v>201</v>
      </c>
      <c r="D58" s="165">
        <f>D59+D60</f>
        <v>90600943</v>
      </c>
    </row>
    <row r="59" spans="1:16" ht="15.75" x14ac:dyDescent="0.25">
      <c r="A59" s="172" t="s">
        <v>7</v>
      </c>
      <c r="B59" s="173" t="s">
        <v>7</v>
      </c>
      <c r="C59" s="155" t="s">
        <v>202</v>
      </c>
      <c r="D59" s="174">
        <f>D53+D51</f>
        <v>86040663</v>
      </c>
    </row>
    <row r="60" spans="1:16" ht="16.5" thickBot="1" x14ac:dyDescent="0.3">
      <c r="A60" s="175" t="s">
        <v>7</v>
      </c>
      <c r="B60" s="176" t="s">
        <v>7</v>
      </c>
      <c r="C60" s="177" t="s">
        <v>203</v>
      </c>
      <c r="D60" s="178">
        <f>D56</f>
        <v>4560280</v>
      </c>
    </row>
    <row r="61" spans="1:16" ht="15.75" x14ac:dyDescent="0.25">
      <c r="A61" s="1"/>
      <c r="B61" s="1"/>
      <c r="C61" s="1"/>
      <c r="D61" s="1"/>
    </row>
    <row r="62" spans="1:16" s="199" customFormat="1" ht="42.6" customHeight="1" x14ac:dyDescent="0.25">
      <c r="A62" s="763" t="s">
        <v>393</v>
      </c>
      <c r="B62" s="763"/>
      <c r="C62" s="763"/>
      <c r="D62" s="763"/>
      <c r="E62" s="747"/>
      <c r="F62" s="747"/>
      <c r="G62" s="233"/>
      <c r="H62" s="233"/>
      <c r="I62" s="233"/>
      <c r="K62" s="233"/>
      <c r="L62" s="234"/>
      <c r="M62" s="233"/>
      <c r="N62" s="235"/>
      <c r="O62" s="236"/>
      <c r="P62" s="237"/>
    </row>
    <row r="63" spans="1:16" s="181" customFormat="1" ht="20.45" customHeight="1" x14ac:dyDescent="0.3">
      <c r="A63" s="179"/>
      <c r="B63" s="180"/>
      <c r="C63" s="1"/>
      <c r="D63" s="180"/>
    </row>
    <row r="64" spans="1:16" ht="15.75" x14ac:dyDescent="0.25">
      <c r="A64" s="1"/>
      <c r="B64" s="1"/>
      <c r="D64" s="1"/>
    </row>
  </sheetData>
  <mergeCells count="31">
    <mergeCell ref="B22:C22"/>
    <mergeCell ref="B26:C26"/>
    <mergeCell ref="B37:C37"/>
    <mergeCell ref="A50:C50"/>
    <mergeCell ref="A55:D55"/>
    <mergeCell ref="B24:C24"/>
    <mergeCell ref="B28:C28"/>
    <mergeCell ref="B30:C30"/>
    <mergeCell ref="B31:C31"/>
    <mergeCell ref="B27:C27"/>
    <mergeCell ref="B33:C33"/>
    <mergeCell ref="B40:C40"/>
    <mergeCell ref="B41:C41"/>
    <mergeCell ref="B32:C32"/>
    <mergeCell ref="B25:C25"/>
    <mergeCell ref="A14:D14"/>
    <mergeCell ref="A15:D15"/>
    <mergeCell ref="A16:D16"/>
    <mergeCell ref="E62:F62"/>
    <mergeCell ref="B38:C38"/>
    <mergeCell ref="B39:C39"/>
    <mergeCell ref="B23:C23"/>
    <mergeCell ref="A42:D42"/>
    <mergeCell ref="B19:C19"/>
    <mergeCell ref="B20:C20"/>
    <mergeCell ref="A21:D21"/>
    <mergeCell ref="B29:C29"/>
    <mergeCell ref="A62:D62"/>
    <mergeCell ref="B34:C34"/>
    <mergeCell ref="B35:C35"/>
    <mergeCell ref="B36:C36"/>
  </mergeCells>
  <pageMargins left="1.1811023622047245" right="0.39370078740157483" top="0.78740157480314965" bottom="0.78740157480314965"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7"/>
  <sheetViews>
    <sheetView tabSelected="1" view="pageBreakPreview" zoomScale="90" zoomScaleNormal="80" zoomScaleSheetLayoutView="90" workbookViewId="0">
      <selection activeCell="F65" sqref="F65"/>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ht="15.75" x14ac:dyDescent="0.25">
      <c r="H1" s="558" t="s">
        <v>532</v>
      </c>
      <c r="I1" s="581"/>
    </row>
    <row r="2" spans="1:10" ht="15.75" x14ac:dyDescent="0.25">
      <c r="H2" s="558" t="s">
        <v>388</v>
      </c>
      <c r="I2" s="581"/>
    </row>
    <row r="3" spans="1:10" ht="15.75" x14ac:dyDescent="0.25">
      <c r="H3" s="559" t="s">
        <v>534</v>
      </c>
      <c r="I3" s="582"/>
    </row>
    <row r="4" spans="1:10" ht="15.75" x14ac:dyDescent="0.25">
      <c r="H4" s="561" t="s">
        <v>526</v>
      </c>
      <c r="I4" s="583"/>
    </row>
    <row r="5" spans="1:10" ht="15.75" x14ac:dyDescent="0.25">
      <c r="H5" s="709" t="s">
        <v>447</v>
      </c>
      <c r="I5" s="709"/>
    </row>
    <row r="7" spans="1:10" ht="15.75" x14ac:dyDescent="0.25">
      <c r="H7" s="3" t="s">
        <v>448</v>
      </c>
      <c r="I7" s="4"/>
      <c r="J7" s="5"/>
    </row>
    <row r="8" spans="1:10" ht="15.75" x14ac:dyDescent="0.25">
      <c r="H8" s="3" t="s">
        <v>391</v>
      </c>
      <c r="I8" s="4"/>
      <c r="J8" s="5"/>
    </row>
    <row r="9" spans="1:10" ht="15.75" x14ac:dyDescent="0.25">
      <c r="H9" s="3" t="s">
        <v>8</v>
      </c>
      <c r="I9" s="4"/>
      <c r="J9" s="5"/>
    </row>
    <row r="10" spans="1:10" ht="15.75" x14ac:dyDescent="0.25">
      <c r="H10" s="3" t="s">
        <v>324</v>
      </c>
      <c r="I10" s="4"/>
      <c r="J10" s="5"/>
    </row>
    <row r="11" spans="1:10" ht="15.75" x14ac:dyDescent="0.25">
      <c r="H11" s="6" t="s">
        <v>406</v>
      </c>
      <c r="I11" s="7"/>
      <c r="J11" s="5"/>
    </row>
    <row r="12" spans="1:10" ht="15.75" x14ac:dyDescent="0.25">
      <c r="H12" s="6" t="s">
        <v>407</v>
      </c>
      <c r="I12" s="4"/>
      <c r="J12" s="5"/>
    </row>
    <row r="13" spans="1:10" ht="15.75" x14ac:dyDescent="0.25">
      <c r="H13" s="5" t="s">
        <v>449</v>
      </c>
      <c r="I13" s="3"/>
      <c r="J13" s="5"/>
    </row>
    <row r="14" spans="1:10" ht="15.75" x14ac:dyDescent="0.25">
      <c r="I14" s="5"/>
      <c r="J14" s="12"/>
    </row>
    <row r="15" spans="1:10" ht="15.75" x14ac:dyDescent="0.25">
      <c r="H15" s="5"/>
      <c r="I15" s="5"/>
      <c r="J15" s="12"/>
    </row>
    <row r="16" spans="1:10" ht="20.25" x14ac:dyDescent="0.3">
      <c r="A16" s="718" t="s">
        <v>323</v>
      </c>
      <c r="B16" s="719"/>
      <c r="C16" s="719"/>
      <c r="D16" s="719"/>
      <c r="E16" s="719"/>
      <c r="F16" s="719"/>
      <c r="G16" s="719"/>
      <c r="H16" s="719"/>
      <c r="I16" s="719"/>
      <c r="J16" s="719"/>
    </row>
    <row r="18" spans="1:10" ht="15.75" x14ac:dyDescent="0.25">
      <c r="A18" s="779">
        <v>1559100000</v>
      </c>
      <c r="B18" s="779"/>
    </row>
    <row r="19" spans="1:10" ht="16.5" thickBot="1" x14ac:dyDescent="0.3">
      <c r="A19" s="1" t="s">
        <v>0</v>
      </c>
      <c r="B19" s="1"/>
      <c r="J19" s="13" t="s">
        <v>9</v>
      </c>
    </row>
    <row r="20" spans="1:10" ht="15.75" x14ac:dyDescent="0.25">
      <c r="A20" s="780" t="s">
        <v>10</v>
      </c>
      <c r="B20" s="782" t="s">
        <v>11</v>
      </c>
      <c r="C20" s="782" t="s">
        <v>12</v>
      </c>
      <c r="D20" s="784" t="s">
        <v>13</v>
      </c>
      <c r="E20" s="776" t="s">
        <v>142</v>
      </c>
      <c r="F20" s="776" t="s">
        <v>143</v>
      </c>
      <c r="G20" s="723" t="s">
        <v>2</v>
      </c>
      <c r="H20" s="776" t="s">
        <v>3</v>
      </c>
      <c r="I20" s="776" t="s">
        <v>4</v>
      </c>
      <c r="J20" s="778"/>
    </row>
    <row r="21" spans="1:10" ht="106.5" customHeight="1" thickBot="1" x14ac:dyDescent="0.3">
      <c r="A21" s="781"/>
      <c r="B21" s="783"/>
      <c r="C21" s="783"/>
      <c r="D21" s="785"/>
      <c r="E21" s="777"/>
      <c r="F21" s="777"/>
      <c r="G21" s="725"/>
      <c r="H21" s="777"/>
      <c r="I21" s="375" t="s">
        <v>5</v>
      </c>
      <c r="J21" s="14" t="s">
        <v>6</v>
      </c>
    </row>
    <row r="22" spans="1:10" ht="16.5" thickBot="1" x14ac:dyDescent="0.3">
      <c r="A22" s="15">
        <v>1</v>
      </c>
      <c r="B22" s="16">
        <v>2</v>
      </c>
      <c r="C22" s="16">
        <v>3</v>
      </c>
      <c r="D22" s="131">
        <v>4</v>
      </c>
      <c r="E22" s="16">
        <v>5</v>
      </c>
      <c r="F22" s="16">
        <v>6</v>
      </c>
      <c r="G22" s="17">
        <v>7</v>
      </c>
      <c r="H22" s="16">
        <v>8</v>
      </c>
      <c r="I22" s="18">
        <v>9</v>
      </c>
      <c r="J22" s="19">
        <v>10</v>
      </c>
    </row>
    <row r="23" spans="1:10" ht="55.5" customHeight="1" thickBot="1" x14ac:dyDescent="0.3">
      <c r="A23" s="284" t="s">
        <v>15</v>
      </c>
      <c r="B23" s="285" t="s">
        <v>16</v>
      </c>
      <c r="C23" s="285" t="s">
        <v>16</v>
      </c>
      <c r="D23" s="286" t="s">
        <v>396</v>
      </c>
      <c r="E23" s="287" t="s">
        <v>16</v>
      </c>
      <c r="F23" s="287" t="s">
        <v>16</v>
      </c>
      <c r="G23" s="23">
        <f t="shared" ref="G23:G30" si="0">H23+I23</f>
        <v>89950465</v>
      </c>
      <c r="H23" s="23">
        <f>H24</f>
        <v>82610562</v>
      </c>
      <c r="I23" s="24">
        <f>I24</f>
        <v>7339903</v>
      </c>
      <c r="J23" s="25">
        <f>J24</f>
        <v>7339903</v>
      </c>
    </row>
    <row r="24" spans="1:10" ht="49.5" customHeight="1" x14ac:dyDescent="0.25">
      <c r="A24" s="42" t="s">
        <v>17</v>
      </c>
      <c r="B24" s="43" t="s">
        <v>16</v>
      </c>
      <c r="C24" s="43" t="s">
        <v>16</v>
      </c>
      <c r="D24" s="57" t="s">
        <v>396</v>
      </c>
      <c r="E24" s="28" t="s">
        <v>16</v>
      </c>
      <c r="F24" s="28" t="s">
        <v>16</v>
      </c>
      <c r="G24" s="39">
        <f>H24+I24</f>
        <v>89950465</v>
      </c>
      <c r="H24" s="40">
        <f>H25+H27+H28+H29+H31+H32+H33+H34+H35+H38+H36+H30+H26+H39</f>
        <v>82610562</v>
      </c>
      <c r="I24" s="40">
        <f>I25+I27+I28+I29+I31+I32+I33+I34+I35+I38+I36+I30+I37+I40</f>
        <v>7339903</v>
      </c>
      <c r="J24" s="40">
        <f>J25+J27+J28+J29+J31+J32+J33+J34+J35+J38+J36+J30+J37+J40</f>
        <v>7339903</v>
      </c>
    </row>
    <row r="25" spans="1:10" ht="99.75" customHeight="1" x14ac:dyDescent="0.25">
      <c r="A25" s="253" t="s">
        <v>222</v>
      </c>
      <c r="B25" s="341" t="s">
        <v>223</v>
      </c>
      <c r="C25" s="341" t="s">
        <v>18</v>
      </c>
      <c r="D25" s="32" t="s">
        <v>224</v>
      </c>
      <c r="E25" s="50" t="s">
        <v>305</v>
      </c>
      <c r="F25" s="406" t="s">
        <v>319</v>
      </c>
      <c r="G25" s="30">
        <f t="shared" si="0"/>
        <v>234240</v>
      </c>
      <c r="H25" s="29">
        <v>234240</v>
      </c>
      <c r="I25" s="40"/>
      <c r="J25" s="41"/>
    </row>
    <row r="26" spans="1:10" ht="133.9" customHeight="1" x14ac:dyDescent="0.25">
      <c r="A26" s="313" t="s">
        <v>325</v>
      </c>
      <c r="B26" s="258" t="s">
        <v>274</v>
      </c>
      <c r="C26" s="258" t="s">
        <v>272</v>
      </c>
      <c r="D26" s="259" t="s">
        <v>276</v>
      </c>
      <c r="E26" s="50" t="s">
        <v>450</v>
      </c>
      <c r="F26" s="406" t="s">
        <v>452</v>
      </c>
      <c r="G26" s="30">
        <f>H26</f>
        <v>89400</v>
      </c>
      <c r="H26" s="29">
        <v>89400</v>
      </c>
      <c r="I26" s="40"/>
      <c r="J26" s="41"/>
    </row>
    <row r="27" spans="1:10" ht="139.15" customHeight="1" x14ac:dyDescent="0.25">
      <c r="A27" s="313" t="s">
        <v>325</v>
      </c>
      <c r="B27" s="258" t="s">
        <v>274</v>
      </c>
      <c r="C27" s="258" t="s">
        <v>272</v>
      </c>
      <c r="D27" s="259" t="s">
        <v>276</v>
      </c>
      <c r="E27" s="265" t="s">
        <v>453</v>
      </c>
      <c r="F27" s="257" t="s">
        <v>511</v>
      </c>
      <c r="G27" s="29">
        <f t="shared" si="0"/>
        <v>76500</v>
      </c>
      <c r="H27" s="30">
        <f>18000+58500</f>
        <v>76500</v>
      </c>
      <c r="I27" s="40"/>
      <c r="J27" s="41"/>
    </row>
    <row r="28" spans="1:10" ht="69" customHeight="1" x14ac:dyDescent="0.25">
      <c r="A28" s="92" t="s">
        <v>19</v>
      </c>
      <c r="B28" s="341" t="s">
        <v>20</v>
      </c>
      <c r="C28" s="341" t="s">
        <v>21</v>
      </c>
      <c r="D28" s="58" t="s">
        <v>22</v>
      </c>
      <c r="E28" s="182" t="s">
        <v>212</v>
      </c>
      <c r="F28" s="257" t="s">
        <v>398</v>
      </c>
      <c r="G28" s="8">
        <f t="shared" si="0"/>
        <v>10094100</v>
      </c>
      <c r="H28" s="33">
        <v>10094100</v>
      </c>
      <c r="I28" s="33">
        <v>0</v>
      </c>
      <c r="J28" s="34">
        <v>0</v>
      </c>
    </row>
    <row r="29" spans="1:10" ht="99.75" customHeight="1" x14ac:dyDescent="0.25">
      <c r="A29" s="92" t="s">
        <v>19</v>
      </c>
      <c r="B29" s="341" t="s">
        <v>20</v>
      </c>
      <c r="C29" s="341" t="s">
        <v>21</v>
      </c>
      <c r="D29" s="58" t="s">
        <v>22</v>
      </c>
      <c r="E29" s="182" t="s">
        <v>517</v>
      </c>
      <c r="F29" s="182" t="s">
        <v>513</v>
      </c>
      <c r="G29" s="8">
        <f t="shared" si="0"/>
        <v>14362702</v>
      </c>
      <c r="H29" s="33">
        <v>14362702</v>
      </c>
      <c r="I29" s="33">
        <v>0</v>
      </c>
      <c r="J29" s="34">
        <f>I29</f>
        <v>0</v>
      </c>
    </row>
    <row r="30" spans="1:10" ht="79.900000000000006" customHeight="1" x14ac:dyDescent="0.25">
      <c r="A30" s="92" t="s">
        <v>19</v>
      </c>
      <c r="B30" s="341" t="s">
        <v>20</v>
      </c>
      <c r="C30" s="341" t="s">
        <v>21</v>
      </c>
      <c r="D30" s="58" t="s">
        <v>22</v>
      </c>
      <c r="E30" s="32" t="s">
        <v>382</v>
      </c>
      <c r="F30" s="32" t="s">
        <v>518</v>
      </c>
      <c r="G30" s="8">
        <f t="shared" si="0"/>
        <v>1548687</v>
      </c>
      <c r="H30" s="33"/>
      <c r="I30" s="33">
        <v>1548687</v>
      </c>
      <c r="J30" s="34">
        <f>I30</f>
        <v>1548687</v>
      </c>
    </row>
    <row r="31" spans="1:10" ht="81" customHeight="1" x14ac:dyDescent="0.25">
      <c r="A31" s="92" t="s">
        <v>23</v>
      </c>
      <c r="B31" s="341" t="s">
        <v>24</v>
      </c>
      <c r="C31" s="341" t="s">
        <v>25</v>
      </c>
      <c r="D31" s="58" t="s">
        <v>26</v>
      </c>
      <c r="E31" s="32" t="s">
        <v>278</v>
      </c>
      <c r="F31" s="257" t="s">
        <v>537</v>
      </c>
      <c r="G31" s="8">
        <f t="shared" ref="G31:G39" si="1">H31+I31</f>
        <v>1053392</v>
      </c>
      <c r="H31" s="33">
        <f>829404+50690</f>
        <v>880094</v>
      </c>
      <c r="I31" s="33">
        <f>J31</f>
        <v>173298</v>
      </c>
      <c r="J31" s="34">
        <v>173298</v>
      </c>
    </row>
    <row r="32" spans="1:10" ht="81" customHeight="1" x14ac:dyDescent="0.25">
      <c r="A32" s="260" t="s">
        <v>281</v>
      </c>
      <c r="B32" s="10">
        <v>2152</v>
      </c>
      <c r="C32" s="261" t="s">
        <v>282</v>
      </c>
      <c r="D32" s="133" t="s">
        <v>26</v>
      </c>
      <c r="E32" s="242" t="s">
        <v>279</v>
      </c>
      <c r="F32" s="283" t="s">
        <v>402</v>
      </c>
      <c r="G32" s="36">
        <f t="shared" si="1"/>
        <v>2932512</v>
      </c>
      <c r="H32" s="37">
        <v>2932512</v>
      </c>
      <c r="I32" s="37">
        <v>0</v>
      </c>
      <c r="J32" s="38">
        <v>0</v>
      </c>
    </row>
    <row r="33" spans="1:10" ht="71.25" customHeight="1" x14ac:dyDescent="0.25">
      <c r="A33" s="92" t="s">
        <v>30</v>
      </c>
      <c r="B33" s="341" t="s">
        <v>31</v>
      </c>
      <c r="C33" s="341" t="s">
        <v>32</v>
      </c>
      <c r="D33" s="32" t="s">
        <v>33</v>
      </c>
      <c r="E33" s="32" t="s">
        <v>451</v>
      </c>
      <c r="F33" s="182" t="s">
        <v>516</v>
      </c>
      <c r="G33" s="8">
        <f t="shared" si="1"/>
        <v>812690</v>
      </c>
      <c r="H33" s="33">
        <v>155496</v>
      </c>
      <c r="I33" s="33">
        <f>J33</f>
        <v>657194</v>
      </c>
      <c r="J33" s="34">
        <f>0+657194</f>
        <v>657194</v>
      </c>
    </row>
    <row r="34" spans="1:10" ht="63.6" hidden="1" customHeight="1" x14ac:dyDescent="0.25">
      <c r="A34" s="48" t="s">
        <v>30</v>
      </c>
      <c r="B34" s="49" t="s">
        <v>31</v>
      </c>
      <c r="C34" s="49" t="s">
        <v>32</v>
      </c>
      <c r="D34" s="60" t="s">
        <v>33</v>
      </c>
      <c r="E34" s="50"/>
      <c r="F34" s="50"/>
      <c r="G34" s="29">
        <f t="shared" si="1"/>
        <v>0</v>
      </c>
      <c r="H34" s="30"/>
      <c r="I34" s="30">
        <v>0</v>
      </c>
      <c r="J34" s="31">
        <v>0</v>
      </c>
    </row>
    <row r="35" spans="1:10" ht="80.45" customHeight="1" x14ac:dyDescent="0.25">
      <c r="A35" s="92" t="s">
        <v>34</v>
      </c>
      <c r="B35" s="341" t="s">
        <v>35</v>
      </c>
      <c r="C35" s="341" t="s">
        <v>36</v>
      </c>
      <c r="D35" s="58" t="s">
        <v>37</v>
      </c>
      <c r="E35" s="182" t="s">
        <v>350</v>
      </c>
      <c r="F35" s="182" t="s">
        <v>349</v>
      </c>
      <c r="G35" s="8">
        <f t="shared" si="1"/>
        <v>347700</v>
      </c>
      <c r="H35" s="33">
        <f>406200-58500</f>
        <v>347700</v>
      </c>
      <c r="I35" s="33">
        <v>0</v>
      </c>
      <c r="J35" s="34">
        <v>0</v>
      </c>
    </row>
    <row r="36" spans="1:10" ht="69" customHeight="1" x14ac:dyDescent="0.25">
      <c r="A36" s="55" t="s">
        <v>144</v>
      </c>
      <c r="B36" s="244">
        <v>8230</v>
      </c>
      <c r="C36" s="341" t="s">
        <v>36</v>
      </c>
      <c r="D36" s="59" t="s">
        <v>145</v>
      </c>
      <c r="E36" s="512" t="s">
        <v>352</v>
      </c>
      <c r="F36" s="182" t="s">
        <v>401</v>
      </c>
      <c r="G36" s="8">
        <f t="shared" si="1"/>
        <v>19855111</v>
      </c>
      <c r="H36" s="33">
        <f>20158706-303595</f>
        <v>19855111</v>
      </c>
      <c r="I36" s="33">
        <v>0</v>
      </c>
      <c r="J36" s="34">
        <v>0</v>
      </c>
    </row>
    <row r="37" spans="1:10" ht="94.9" customHeight="1" x14ac:dyDescent="0.25">
      <c r="A37" s="55" t="s">
        <v>432</v>
      </c>
      <c r="B37" s="564">
        <v>8240</v>
      </c>
      <c r="C37" s="563" t="s">
        <v>36</v>
      </c>
      <c r="D37" s="59" t="s">
        <v>433</v>
      </c>
      <c r="E37" s="32" t="s">
        <v>455</v>
      </c>
      <c r="F37" s="182" t="s">
        <v>514</v>
      </c>
      <c r="G37" s="8">
        <f t="shared" si="1"/>
        <v>400444</v>
      </c>
      <c r="H37" s="33"/>
      <c r="I37" s="33">
        <v>400444</v>
      </c>
      <c r="J37" s="584">
        <v>400444</v>
      </c>
    </row>
    <row r="38" spans="1:10" ht="97.5" customHeight="1" x14ac:dyDescent="0.25">
      <c r="A38" s="563" t="s">
        <v>38</v>
      </c>
      <c r="B38" s="563" t="s">
        <v>39</v>
      </c>
      <c r="C38" s="563" t="s">
        <v>40</v>
      </c>
      <c r="D38" s="32" t="s">
        <v>413</v>
      </c>
      <c r="E38" s="32" t="s">
        <v>454</v>
      </c>
      <c r="F38" s="182" t="s">
        <v>536</v>
      </c>
      <c r="G38" s="8">
        <f t="shared" si="1"/>
        <v>3582707</v>
      </c>
      <c r="H38" s="33">
        <f>3582707+490356-490356</f>
        <v>3582707</v>
      </c>
      <c r="I38" s="33">
        <v>0</v>
      </c>
      <c r="J38" s="33">
        <v>0</v>
      </c>
    </row>
    <row r="39" spans="1:10" ht="97.5" customHeight="1" x14ac:dyDescent="0.25">
      <c r="A39" s="258" t="s">
        <v>421</v>
      </c>
      <c r="B39" s="680">
        <v>9770</v>
      </c>
      <c r="C39" s="312" t="s">
        <v>274</v>
      </c>
      <c r="D39" s="182" t="s">
        <v>415</v>
      </c>
      <c r="E39" s="32" t="s">
        <v>455</v>
      </c>
      <c r="F39" s="182" t="s">
        <v>538</v>
      </c>
      <c r="G39" s="8">
        <f t="shared" si="1"/>
        <v>30000000</v>
      </c>
      <c r="H39" s="8">
        <v>30000000</v>
      </c>
      <c r="I39" s="697">
        <f>J39</f>
        <v>0</v>
      </c>
      <c r="J39" s="33">
        <v>0</v>
      </c>
    </row>
    <row r="40" spans="1:10" ht="97.5" customHeight="1" thickBot="1" x14ac:dyDescent="0.3">
      <c r="A40" s="260" t="s">
        <v>530</v>
      </c>
      <c r="B40" s="16">
        <v>9800</v>
      </c>
      <c r="C40" s="393" t="s">
        <v>274</v>
      </c>
      <c r="D40" s="265" t="s">
        <v>531</v>
      </c>
      <c r="E40" s="32" t="s">
        <v>455</v>
      </c>
      <c r="F40" s="182" t="s">
        <v>538</v>
      </c>
      <c r="G40" s="391"/>
      <c r="H40" s="391"/>
      <c r="I40" s="697">
        <f>J40</f>
        <v>4560280</v>
      </c>
      <c r="J40" s="696">
        <v>4560280</v>
      </c>
    </row>
    <row r="41" spans="1:10" ht="50.25" customHeight="1" thickBot="1" x14ac:dyDescent="0.3">
      <c r="A41" s="284" t="s">
        <v>41</v>
      </c>
      <c r="B41" s="285" t="s">
        <v>16</v>
      </c>
      <c r="C41" s="285" t="s">
        <v>16</v>
      </c>
      <c r="D41" s="286" t="s">
        <v>422</v>
      </c>
      <c r="E41" s="287" t="s">
        <v>16</v>
      </c>
      <c r="F41" s="287" t="s">
        <v>16</v>
      </c>
      <c r="G41" s="23">
        <f>H41+I41</f>
        <v>13230640</v>
      </c>
      <c r="H41" s="23">
        <f>H42</f>
        <v>7797897</v>
      </c>
      <c r="I41" s="23">
        <f>I42</f>
        <v>5432743</v>
      </c>
      <c r="J41" s="288">
        <f>J42</f>
        <v>1932143</v>
      </c>
    </row>
    <row r="42" spans="1:10" ht="47.25" x14ac:dyDescent="0.25">
      <c r="A42" s="26" t="s">
        <v>42</v>
      </c>
      <c r="B42" s="27" t="s">
        <v>16</v>
      </c>
      <c r="C42" s="27" t="s">
        <v>16</v>
      </c>
      <c r="D42" s="57" t="s">
        <v>422</v>
      </c>
      <c r="E42" s="28" t="s">
        <v>16</v>
      </c>
      <c r="F42" s="28" t="s">
        <v>16</v>
      </c>
      <c r="G42" s="39">
        <f>H42+I42</f>
        <v>13230640</v>
      </c>
      <c r="H42" s="40">
        <f>H43+H44+H46+H47+H48+H49+H50+H53</f>
        <v>7797897</v>
      </c>
      <c r="I42" s="40">
        <f>I43+I44+I46+I47+I48+I49+I45+I51+I52</f>
        <v>5432743</v>
      </c>
      <c r="J42" s="40">
        <f>J43+J44+J46+J47+J48+J49+J45+J51+J52</f>
        <v>1932143</v>
      </c>
    </row>
    <row r="43" spans="1:10" ht="75" customHeight="1" x14ac:dyDescent="0.25">
      <c r="A43" s="92" t="s">
        <v>44</v>
      </c>
      <c r="B43" s="341">
        <v>1010</v>
      </c>
      <c r="C43" s="341" t="s">
        <v>46</v>
      </c>
      <c r="D43" s="58" t="s">
        <v>47</v>
      </c>
      <c r="E43" s="32" t="s">
        <v>338</v>
      </c>
      <c r="F43" s="32" t="s">
        <v>524</v>
      </c>
      <c r="G43" s="8">
        <f t="shared" ref="G43:G53" si="2">H43+I43</f>
        <v>1158523</v>
      </c>
      <c r="H43" s="8">
        <f>750111+408412</f>
        <v>1158523</v>
      </c>
      <c r="I43" s="33">
        <v>0</v>
      </c>
      <c r="J43" s="34">
        <v>0</v>
      </c>
    </row>
    <row r="44" spans="1:10" ht="71.25" customHeight="1" x14ac:dyDescent="0.25">
      <c r="A44" s="92" t="s">
        <v>48</v>
      </c>
      <c r="B44" s="341" t="s">
        <v>49</v>
      </c>
      <c r="C44" s="341" t="s">
        <v>50</v>
      </c>
      <c r="D44" s="58" t="s">
        <v>51</v>
      </c>
      <c r="E44" s="32" t="s">
        <v>338</v>
      </c>
      <c r="F44" s="32" t="s">
        <v>524</v>
      </c>
      <c r="G44" s="8">
        <f t="shared" si="2"/>
        <v>5433929</v>
      </c>
      <c r="H44" s="8">
        <f>8619633+314896-3500600</f>
        <v>5433929</v>
      </c>
      <c r="I44" s="33">
        <v>0</v>
      </c>
      <c r="J44" s="34">
        <v>0</v>
      </c>
    </row>
    <row r="45" spans="1:10" ht="81" customHeight="1" x14ac:dyDescent="0.25">
      <c r="A45" s="388" t="s">
        <v>423</v>
      </c>
      <c r="B45" s="563">
        <v>1403</v>
      </c>
      <c r="C45" s="563" t="s">
        <v>56</v>
      </c>
      <c r="D45" s="182" t="s">
        <v>424</v>
      </c>
      <c r="E45" s="32" t="s">
        <v>338</v>
      </c>
      <c r="F45" s="32" t="s">
        <v>524</v>
      </c>
      <c r="G45" s="8">
        <f t="shared" si="2"/>
        <v>3500600</v>
      </c>
      <c r="H45" s="8"/>
      <c r="I45" s="33">
        <v>3500600</v>
      </c>
      <c r="J45" s="34">
        <v>0</v>
      </c>
    </row>
    <row r="46" spans="1:10" ht="72" customHeight="1" x14ac:dyDescent="0.25">
      <c r="A46" s="92" t="s">
        <v>52</v>
      </c>
      <c r="B46" s="341" t="s">
        <v>53</v>
      </c>
      <c r="C46" s="341" t="s">
        <v>54</v>
      </c>
      <c r="D46" s="58" t="s">
        <v>55</v>
      </c>
      <c r="E46" s="32" t="s">
        <v>338</v>
      </c>
      <c r="F46" s="32" t="s">
        <v>524</v>
      </c>
      <c r="G46" s="8">
        <f t="shared" si="2"/>
        <v>40159</v>
      </c>
      <c r="H46" s="33">
        <v>40159</v>
      </c>
      <c r="I46" s="33">
        <v>0</v>
      </c>
      <c r="J46" s="34">
        <v>0</v>
      </c>
    </row>
    <row r="47" spans="1:10" ht="61.5" customHeight="1" x14ac:dyDescent="0.25">
      <c r="A47" s="92" t="s">
        <v>57</v>
      </c>
      <c r="B47" s="341" t="s">
        <v>58</v>
      </c>
      <c r="C47" s="341" t="s">
        <v>56</v>
      </c>
      <c r="D47" s="58" t="s">
        <v>59</v>
      </c>
      <c r="E47" s="32" t="s">
        <v>338</v>
      </c>
      <c r="F47" s="32" t="s">
        <v>524</v>
      </c>
      <c r="G47" s="8">
        <f t="shared" si="2"/>
        <v>113122</v>
      </c>
      <c r="H47" s="33">
        <v>113122</v>
      </c>
      <c r="I47" s="33">
        <v>0</v>
      </c>
      <c r="J47" s="34">
        <v>0</v>
      </c>
    </row>
    <row r="48" spans="1:10" ht="68.25" customHeight="1" x14ac:dyDescent="0.25">
      <c r="A48" s="92" t="s">
        <v>60</v>
      </c>
      <c r="B48" s="341" t="s">
        <v>61</v>
      </c>
      <c r="C48" s="341" t="s">
        <v>56</v>
      </c>
      <c r="D48" s="58" t="s">
        <v>62</v>
      </c>
      <c r="E48" s="32" t="s">
        <v>338</v>
      </c>
      <c r="F48" s="32" t="s">
        <v>524</v>
      </c>
      <c r="G48" s="8">
        <f t="shared" si="2"/>
        <v>11754</v>
      </c>
      <c r="H48" s="33">
        <v>11754</v>
      </c>
      <c r="I48" s="33">
        <v>0</v>
      </c>
      <c r="J48" s="34">
        <v>0</v>
      </c>
    </row>
    <row r="49" spans="1:10" ht="73.5" customHeight="1" x14ac:dyDescent="0.25">
      <c r="A49" s="92" t="s">
        <v>63</v>
      </c>
      <c r="B49" s="341" t="s">
        <v>64</v>
      </c>
      <c r="C49" s="341" t="s">
        <v>56</v>
      </c>
      <c r="D49" s="58" t="s">
        <v>65</v>
      </c>
      <c r="E49" s="32" t="s">
        <v>338</v>
      </c>
      <c r="F49" s="32" t="s">
        <v>524</v>
      </c>
      <c r="G49" s="8">
        <f t="shared" si="2"/>
        <v>5919</v>
      </c>
      <c r="H49" s="33">
        <v>5919</v>
      </c>
      <c r="I49" s="33">
        <v>0</v>
      </c>
      <c r="J49" s="34">
        <v>0</v>
      </c>
    </row>
    <row r="50" spans="1:10" ht="67.900000000000006" customHeight="1" x14ac:dyDescent="0.25">
      <c r="A50" s="92" t="s">
        <v>63</v>
      </c>
      <c r="B50" s="341" t="s">
        <v>64</v>
      </c>
      <c r="C50" s="341" t="s">
        <v>56</v>
      </c>
      <c r="D50" s="58" t="s">
        <v>65</v>
      </c>
      <c r="E50" s="32" t="s">
        <v>460</v>
      </c>
      <c r="F50" s="32" t="s">
        <v>458</v>
      </c>
      <c r="G50" s="8">
        <f t="shared" si="2"/>
        <v>33491</v>
      </c>
      <c r="H50" s="33">
        <v>33491</v>
      </c>
      <c r="I50" s="33">
        <v>0</v>
      </c>
      <c r="J50" s="34">
        <v>0</v>
      </c>
    </row>
    <row r="51" spans="1:10" ht="121.9" customHeight="1" x14ac:dyDescent="0.25">
      <c r="A51" s="312" t="s">
        <v>434</v>
      </c>
      <c r="B51" s="563">
        <v>1183</v>
      </c>
      <c r="C51" s="564" t="s">
        <v>56</v>
      </c>
      <c r="D51" s="32" t="s">
        <v>436</v>
      </c>
      <c r="E51" s="32" t="s">
        <v>338</v>
      </c>
      <c r="F51" s="32" t="s">
        <v>524</v>
      </c>
      <c r="G51" s="8">
        <f t="shared" si="2"/>
        <v>579643</v>
      </c>
      <c r="H51" s="33"/>
      <c r="I51" s="33">
        <v>579643</v>
      </c>
      <c r="J51" s="33">
        <v>579643</v>
      </c>
    </row>
    <row r="52" spans="1:10" ht="127.15" customHeight="1" x14ac:dyDescent="0.25">
      <c r="A52" s="312" t="s">
        <v>435</v>
      </c>
      <c r="B52" s="563">
        <v>1184</v>
      </c>
      <c r="C52" s="564" t="s">
        <v>56</v>
      </c>
      <c r="D52" s="32" t="s">
        <v>437</v>
      </c>
      <c r="E52" s="32" t="s">
        <v>338</v>
      </c>
      <c r="F52" s="32" t="s">
        <v>524</v>
      </c>
      <c r="G52" s="8">
        <f t="shared" si="2"/>
        <v>1352500</v>
      </c>
      <c r="H52" s="33"/>
      <c r="I52" s="33">
        <v>1352500</v>
      </c>
      <c r="J52" s="33">
        <v>1352500</v>
      </c>
    </row>
    <row r="53" spans="1:10" ht="107.25" customHeight="1" thickBot="1" x14ac:dyDescent="0.3">
      <c r="A53" s="400" t="s">
        <v>326</v>
      </c>
      <c r="B53" s="401">
        <v>3140</v>
      </c>
      <c r="C53" s="401">
        <v>1040</v>
      </c>
      <c r="D53" s="402" t="s">
        <v>327</v>
      </c>
      <c r="E53" s="403" t="s">
        <v>339</v>
      </c>
      <c r="F53" s="50" t="s">
        <v>459</v>
      </c>
      <c r="G53" s="29">
        <f t="shared" si="2"/>
        <v>1001000</v>
      </c>
      <c r="H53" s="262">
        <v>1001000</v>
      </c>
      <c r="I53" s="30">
        <v>0</v>
      </c>
      <c r="J53" s="31">
        <v>0</v>
      </c>
    </row>
    <row r="54" spans="1:10" ht="63" customHeight="1" thickBot="1" x14ac:dyDescent="0.3">
      <c r="A54" s="284" t="s">
        <v>67</v>
      </c>
      <c r="B54" s="285" t="s">
        <v>16</v>
      </c>
      <c r="C54" s="285" t="s">
        <v>16</v>
      </c>
      <c r="D54" s="286" t="s">
        <v>359</v>
      </c>
      <c r="E54" s="287" t="s">
        <v>16</v>
      </c>
      <c r="F54" s="287" t="s">
        <v>16</v>
      </c>
      <c r="G54" s="23">
        <f t="shared" ref="G54:G90" si="3">H54+I54</f>
        <v>46157297</v>
      </c>
      <c r="H54" s="23">
        <f>H55</f>
        <v>46157297</v>
      </c>
      <c r="I54" s="23">
        <f>I55</f>
        <v>0</v>
      </c>
      <c r="J54" s="288">
        <f>J55</f>
        <v>0</v>
      </c>
    </row>
    <row r="55" spans="1:10" ht="47.25" x14ac:dyDescent="0.25">
      <c r="A55" s="26" t="s">
        <v>68</v>
      </c>
      <c r="B55" s="27" t="s">
        <v>16</v>
      </c>
      <c r="C55" s="27" t="s">
        <v>16</v>
      </c>
      <c r="D55" s="57" t="s">
        <v>359</v>
      </c>
      <c r="E55" s="28" t="s">
        <v>16</v>
      </c>
      <c r="F55" s="28" t="s">
        <v>16</v>
      </c>
      <c r="G55" s="39">
        <f>H55+I55</f>
        <v>46157297</v>
      </c>
      <c r="H55" s="40">
        <f>H56+H57+H61+H58+H60+H59+H62</f>
        <v>46157297</v>
      </c>
      <c r="I55" s="40">
        <f>I56+I61+I58+I60</f>
        <v>0</v>
      </c>
      <c r="J55" s="41">
        <f>J56+J61+J58+J60</f>
        <v>0</v>
      </c>
    </row>
    <row r="56" spans="1:10" ht="100.5" customHeight="1" x14ac:dyDescent="0.25">
      <c r="A56" s="92" t="s">
        <v>70</v>
      </c>
      <c r="B56" s="341" t="s">
        <v>71</v>
      </c>
      <c r="C56" s="341" t="s">
        <v>53</v>
      </c>
      <c r="D56" s="58" t="s">
        <v>72</v>
      </c>
      <c r="E56" s="182" t="s">
        <v>344</v>
      </c>
      <c r="F56" s="182" t="s">
        <v>512</v>
      </c>
      <c r="G56" s="8">
        <f t="shared" si="3"/>
        <v>9420</v>
      </c>
      <c r="H56" s="33">
        <v>9420</v>
      </c>
      <c r="I56" s="33">
        <v>0</v>
      </c>
      <c r="J56" s="34">
        <v>0</v>
      </c>
    </row>
    <row r="57" spans="1:10" ht="125.25" customHeight="1" x14ac:dyDescent="0.25">
      <c r="A57" s="148" t="s">
        <v>238</v>
      </c>
      <c r="B57" s="404">
        <v>3105</v>
      </c>
      <c r="C57" s="404">
        <v>1010</v>
      </c>
      <c r="D57" s="405" t="s">
        <v>240</v>
      </c>
      <c r="E57" s="406" t="s">
        <v>342</v>
      </c>
      <c r="F57" s="406" t="s">
        <v>343</v>
      </c>
      <c r="G57" s="8">
        <f t="shared" si="3"/>
        <v>14952</v>
      </c>
      <c r="H57" s="33">
        <v>14952</v>
      </c>
      <c r="I57" s="33"/>
      <c r="J57" s="34"/>
    </row>
    <row r="58" spans="1:10" ht="67.5" customHeight="1" x14ac:dyDescent="0.25">
      <c r="A58" s="92">
        <v>813241</v>
      </c>
      <c r="B58" s="341">
        <v>3241</v>
      </c>
      <c r="C58" s="341">
        <v>1090</v>
      </c>
      <c r="D58" s="58" t="s">
        <v>412</v>
      </c>
      <c r="E58" s="182" t="s">
        <v>340</v>
      </c>
      <c r="F58" s="182" t="s">
        <v>351</v>
      </c>
      <c r="G58" s="8">
        <f t="shared" si="3"/>
        <v>58300</v>
      </c>
      <c r="H58" s="33">
        <v>58300</v>
      </c>
      <c r="I58" s="33"/>
      <c r="J58" s="34"/>
    </row>
    <row r="59" spans="1:10" ht="102" customHeight="1" x14ac:dyDescent="0.25">
      <c r="A59" s="681" t="s">
        <v>74</v>
      </c>
      <c r="B59" s="680" t="s">
        <v>75</v>
      </c>
      <c r="C59" s="680" t="s">
        <v>73</v>
      </c>
      <c r="D59" s="58" t="s">
        <v>76</v>
      </c>
      <c r="E59" s="182" t="s">
        <v>539</v>
      </c>
      <c r="F59" s="182" t="s">
        <v>540</v>
      </c>
      <c r="G59" s="8">
        <f t="shared" si="3"/>
        <v>83862</v>
      </c>
      <c r="H59" s="37">
        <f>83862</f>
        <v>83862</v>
      </c>
      <c r="I59" s="37"/>
      <c r="J59" s="38"/>
    </row>
    <row r="60" spans="1:10" ht="76.5" customHeight="1" x14ac:dyDescent="0.25">
      <c r="A60" s="253" t="s">
        <v>74</v>
      </c>
      <c r="B60" s="341" t="s">
        <v>75</v>
      </c>
      <c r="C60" s="341" t="s">
        <v>73</v>
      </c>
      <c r="D60" s="58" t="s">
        <v>76</v>
      </c>
      <c r="E60" s="182" t="s">
        <v>292</v>
      </c>
      <c r="F60" s="257" t="s">
        <v>542</v>
      </c>
      <c r="G60" s="8">
        <f t="shared" si="3"/>
        <v>42969400</v>
      </c>
      <c r="H60" s="37">
        <f>26169400-500000+17383862-83862</f>
        <v>42969400</v>
      </c>
      <c r="I60" s="37"/>
      <c r="J60" s="38"/>
    </row>
    <row r="61" spans="1:10" ht="157.5" customHeight="1" x14ac:dyDescent="0.25">
      <c r="A61" s="682" t="s">
        <v>74</v>
      </c>
      <c r="B61" s="680" t="s">
        <v>75</v>
      </c>
      <c r="C61" s="680" t="s">
        <v>73</v>
      </c>
      <c r="D61" s="32" t="s">
        <v>76</v>
      </c>
      <c r="E61" s="32" t="s">
        <v>277</v>
      </c>
      <c r="F61" s="406" t="s">
        <v>511</v>
      </c>
      <c r="G61" s="8">
        <f t="shared" si="3"/>
        <v>3000000</v>
      </c>
      <c r="H61" s="33">
        <v>3000000</v>
      </c>
      <c r="I61" s="33">
        <v>0</v>
      </c>
      <c r="J61" s="33">
        <v>0</v>
      </c>
    </row>
    <row r="62" spans="1:10" ht="74.45" customHeight="1" thickBot="1" x14ac:dyDescent="0.3">
      <c r="A62" s="392" t="s">
        <v>528</v>
      </c>
      <c r="B62" s="16">
        <v>9770</v>
      </c>
      <c r="C62" s="521" t="s">
        <v>274</v>
      </c>
      <c r="D62" s="182" t="s">
        <v>415</v>
      </c>
      <c r="E62" s="182" t="s">
        <v>292</v>
      </c>
      <c r="F62" s="257" t="s">
        <v>541</v>
      </c>
      <c r="G62" s="8">
        <f t="shared" si="3"/>
        <v>21363</v>
      </c>
      <c r="H62" s="262">
        <v>21363</v>
      </c>
      <c r="I62" s="262"/>
      <c r="J62" s="698"/>
    </row>
    <row r="63" spans="1:10" ht="82.5" customHeight="1" thickBot="1" x14ac:dyDescent="0.3">
      <c r="A63" s="284" t="s">
        <v>77</v>
      </c>
      <c r="B63" s="285" t="s">
        <v>16</v>
      </c>
      <c r="C63" s="285" t="s">
        <v>16</v>
      </c>
      <c r="D63" s="286" t="s">
        <v>509</v>
      </c>
      <c r="E63" s="287" t="s">
        <v>16</v>
      </c>
      <c r="F63" s="287" t="s">
        <v>16</v>
      </c>
      <c r="G63" s="23">
        <f t="shared" si="3"/>
        <v>95000</v>
      </c>
      <c r="H63" s="23">
        <f t="shared" ref="H63:J64" si="4">H64</f>
        <v>95000</v>
      </c>
      <c r="I63" s="23">
        <f t="shared" si="4"/>
        <v>0</v>
      </c>
      <c r="J63" s="288">
        <f t="shared" si="4"/>
        <v>0</v>
      </c>
    </row>
    <row r="64" spans="1:10" ht="47.25" x14ac:dyDescent="0.25">
      <c r="A64" s="42" t="s">
        <v>79</v>
      </c>
      <c r="B64" s="43" t="s">
        <v>16</v>
      </c>
      <c r="C64" s="43" t="s">
        <v>16</v>
      </c>
      <c r="D64" s="134" t="s">
        <v>509</v>
      </c>
      <c r="E64" s="44" t="s">
        <v>16</v>
      </c>
      <c r="F64" s="44" t="s">
        <v>16</v>
      </c>
      <c r="G64" s="45">
        <f>H64+I64</f>
        <v>95000</v>
      </c>
      <c r="H64" s="46">
        <f t="shared" si="4"/>
        <v>95000</v>
      </c>
      <c r="I64" s="46">
        <f t="shared" si="4"/>
        <v>0</v>
      </c>
      <c r="J64" s="47">
        <f t="shared" si="4"/>
        <v>0</v>
      </c>
    </row>
    <row r="65" spans="1:10" ht="78" customHeight="1" thickBot="1" x14ac:dyDescent="0.3">
      <c r="A65" s="245" t="s">
        <v>80</v>
      </c>
      <c r="B65" s="375" t="s">
        <v>81</v>
      </c>
      <c r="C65" s="375" t="s">
        <v>66</v>
      </c>
      <c r="D65" s="250" t="s">
        <v>82</v>
      </c>
      <c r="E65" s="246" t="s">
        <v>280</v>
      </c>
      <c r="F65" s="837" t="s">
        <v>543</v>
      </c>
      <c r="G65" s="251">
        <f>H65</f>
        <v>95000</v>
      </c>
      <c r="H65" s="247">
        <f>34000+61000</f>
        <v>95000</v>
      </c>
      <c r="I65" s="247">
        <v>0</v>
      </c>
      <c r="J65" s="252">
        <v>0</v>
      </c>
    </row>
    <row r="66" spans="1:10" ht="66" customHeight="1" thickBot="1" x14ac:dyDescent="0.3">
      <c r="A66" s="284" t="s">
        <v>83</v>
      </c>
      <c r="B66" s="285" t="s">
        <v>16</v>
      </c>
      <c r="C66" s="285" t="s">
        <v>16</v>
      </c>
      <c r="D66" s="286" t="s">
        <v>544</v>
      </c>
      <c r="E66" s="287" t="s">
        <v>16</v>
      </c>
      <c r="F66" s="287" t="s">
        <v>16</v>
      </c>
      <c r="G66" s="23">
        <f t="shared" si="3"/>
        <v>40222838</v>
      </c>
      <c r="H66" s="23">
        <f>H67</f>
        <v>40222838</v>
      </c>
      <c r="I66" s="23">
        <f>I67</f>
        <v>0</v>
      </c>
      <c r="J66" s="288">
        <f>J67</f>
        <v>0</v>
      </c>
    </row>
    <row r="67" spans="1:10" ht="71.25" customHeight="1" x14ac:dyDescent="0.25">
      <c r="A67" s="26" t="s">
        <v>85</v>
      </c>
      <c r="B67" s="27" t="s">
        <v>16</v>
      </c>
      <c r="C67" s="27" t="s">
        <v>16</v>
      </c>
      <c r="D67" s="57" t="s">
        <v>529</v>
      </c>
      <c r="E67" s="28" t="s">
        <v>16</v>
      </c>
      <c r="F67" s="28" t="s">
        <v>16</v>
      </c>
      <c r="G67" s="39">
        <f>H67+I67</f>
        <v>40222838</v>
      </c>
      <c r="H67" s="40">
        <f>H68+H70+H71+H72+H73+H74+H75+H76+H78+H79+H77+H69</f>
        <v>40222838</v>
      </c>
      <c r="I67" s="40">
        <f>I68+I70+I71+I72+I73+I74+I75+I76+I78+I79+I77</f>
        <v>0</v>
      </c>
      <c r="J67" s="41">
        <f>J68+J70+J71+J72+J73+J74+J75+J76+J78+J79+J77</f>
        <v>0</v>
      </c>
    </row>
    <row r="68" spans="1:10" ht="63" x14ac:dyDescent="0.25">
      <c r="A68" s="92" t="s">
        <v>86</v>
      </c>
      <c r="B68" s="341" t="s">
        <v>87</v>
      </c>
      <c r="C68" s="341" t="s">
        <v>54</v>
      </c>
      <c r="D68" s="58" t="s">
        <v>88</v>
      </c>
      <c r="E68" s="182" t="s">
        <v>341</v>
      </c>
      <c r="F68" s="182" t="s">
        <v>399</v>
      </c>
      <c r="G68" s="8">
        <f t="shared" si="3"/>
        <v>27060</v>
      </c>
      <c r="H68" s="33">
        <v>27060</v>
      </c>
      <c r="I68" s="33">
        <v>0</v>
      </c>
      <c r="J68" s="34">
        <v>0</v>
      </c>
    </row>
    <row r="69" spans="1:10" ht="63" x14ac:dyDescent="0.25">
      <c r="A69" s="92" t="s">
        <v>89</v>
      </c>
      <c r="B69" s="341" t="s">
        <v>90</v>
      </c>
      <c r="C69" s="341" t="s">
        <v>66</v>
      </c>
      <c r="D69" s="58" t="s">
        <v>411</v>
      </c>
      <c r="E69" s="32" t="s">
        <v>304</v>
      </c>
      <c r="F69" s="32" t="s">
        <v>286</v>
      </c>
      <c r="G69" s="273">
        <f t="shared" si="3"/>
        <v>41035</v>
      </c>
      <c r="H69" s="272">
        <v>41035</v>
      </c>
      <c r="I69" s="33"/>
      <c r="J69" s="34"/>
    </row>
    <row r="70" spans="1:10" ht="47.25" x14ac:dyDescent="0.25">
      <c r="A70" s="92" t="s">
        <v>89</v>
      </c>
      <c r="B70" s="341" t="s">
        <v>90</v>
      </c>
      <c r="C70" s="341" t="s">
        <v>66</v>
      </c>
      <c r="D70" s="58" t="s">
        <v>91</v>
      </c>
      <c r="E70" s="182" t="s">
        <v>340</v>
      </c>
      <c r="F70" s="182" t="s">
        <v>351</v>
      </c>
      <c r="G70" s="273">
        <f t="shared" si="3"/>
        <v>299728</v>
      </c>
      <c r="H70" s="272">
        <v>299728</v>
      </c>
      <c r="I70" s="33">
        <v>0</v>
      </c>
      <c r="J70" s="34">
        <v>0</v>
      </c>
    </row>
    <row r="71" spans="1:10" ht="61.15" customHeight="1" x14ac:dyDescent="0.25">
      <c r="A71" s="92" t="s">
        <v>92</v>
      </c>
      <c r="B71" s="341" t="s">
        <v>93</v>
      </c>
      <c r="C71" s="341" t="s">
        <v>94</v>
      </c>
      <c r="D71" s="58" t="s">
        <v>95</v>
      </c>
      <c r="E71" s="182" t="s">
        <v>341</v>
      </c>
      <c r="F71" s="182" t="s">
        <v>399</v>
      </c>
      <c r="G71" s="8">
        <f t="shared" si="3"/>
        <v>5760</v>
      </c>
      <c r="H71" s="33">
        <v>5760</v>
      </c>
      <c r="I71" s="33">
        <v>0</v>
      </c>
      <c r="J71" s="34">
        <v>0</v>
      </c>
    </row>
    <row r="72" spans="1:10" ht="66" customHeight="1" x14ac:dyDescent="0.25">
      <c r="A72" s="92" t="s">
        <v>96</v>
      </c>
      <c r="B72" s="341" t="s">
        <v>97</v>
      </c>
      <c r="C72" s="341" t="s">
        <v>94</v>
      </c>
      <c r="D72" s="58" t="s">
        <v>98</v>
      </c>
      <c r="E72" s="182" t="s">
        <v>341</v>
      </c>
      <c r="F72" s="182" t="s">
        <v>399</v>
      </c>
      <c r="G72" s="8">
        <f t="shared" si="3"/>
        <v>1920</v>
      </c>
      <c r="H72" s="33">
        <v>1920</v>
      </c>
      <c r="I72" s="33">
        <v>0</v>
      </c>
      <c r="J72" s="34">
        <v>0</v>
      </c>
    </row>
    <row r="73" spans="1:10" ht="66" customHeight="1" x14ac:dyDescent="0.25">
      <c r="A73" s="92" t="s">
        <v>99</v>
      </c>
      <c r="B73" s="341" t="s">
        <v>100</v>
      </c>
      <c r="C73" s="341" t="s">
        <v>101</v>
      </c>
      <c r="D73" s="58" t="s">
        <v>102</v>
      </c>
      <c r="E73" s="182" t="s">
        <v>341</v>
      </c>
      <c r="F73" s="182" t="s">
        <v>399</v>
      </c>
      <c r="G73" s="8">
        <f t="shared" si="3"/>
        <v>25600</v>
      </c>
      <c r="H73" s="33">
        <v>25600</v>
      </c>
      <c r="I73" s="33">
        <v>0</v>
      </c>
      <c r="J73" s="34">
        <v>0</v>
      </c>
    </row>
    <row r="74" spans="1:10" ht="64.900000000000006" customHeight="1" x14ac:dyDescent="0.25">
      <c r="A74" s="92" t="s">
        <v>104</v>
      </c>
      <c r="B74" s="341" t="s">
        <v>105</v>
      </c>
      <c r="C74" s="341" t="s">
        <v>103</v>
      </c>
      <c r="D74" s="58" t="s">
        <v>106</v>
      </c>
      <c r="E74" s="182" t="s">
        <v>341</v>
      </c>
      <c r="F74" s="182" t="s">
        <v>399</v>
      </c>
      <c r="G74" s="8">
        <f t="shared" si="3"/>
        <v>316106</v>
      </c>
      <c r="H74" s="33">
        <v>316106</v>
      </c>
      <c r="I74" s="33">
        <v>0</v>
      </c>
      <c r="J74" s="34">
        <v>0</v>
      </c>
    </row>
    <row r="75" spans="1:10" ht="62.25" customHeight="1" x14ac:dyDescent="0.25">
      <c r="A75" s="92" t="s">
        <v>107</v>
      </c>
      <c r="B75" s="341" t="s">
        <v>108</v>
      </c>
      <c r="C75" s="341" t="s">
        <v>109</v>
      </c>
      <c r="D75" s="58" t="s">
        <v>110</v>
      </c>
      <c r="E75" s="32" t="s">
        <v>283</v>
      </c>
      <c r="F75" s="32" t="s">
        <v>400</v>
      </c>
      <c r="G75" s="8">
        <f t="shared" si="3"/>
        <v>90000</v>
      </c>
      <c r="H75" s="33">
        <v>90000</v>
      </c>
      <c r="I75" s="33">
        <v>0</v>
      </c>
      <c r="J75" s="34">
        <v>0</v>
      </c>
    </row>
    <row r="76" spans="1:10" ht="64.150000000000006" customHeight="1" x14ac:dyDescent="0.25">
      <c r="A76" s="92" t="s">
        <v>111</v>
      </c>
      <c r="B76" s="341" t="s">
        <v>112</v>
      </c>
      <c r="C76" s="341" t="s">
        <v>109</v>
      </c>
      <c r="D76" s="58" t="s">
        <v>409</v>
      </c>
      <c r="E76" s="32" t="s">
        <v>283</v>
      </c>
      <c r="F76" s="32" t="s">
        <v>400</v>
      </c>
      <c r="G76" s="8">
        <f t="shared" si="3"/>
        <v>3426774</v>
      </c>
      <c r="H76" s="33">
        <v>3426774</v>
      </c>
      <c r="I76" s="33">
        <v>0</v>
      </c>
      <c r="J76" s="34">
        <v>0</v>
      </c>
    </row>
    <row r="77" spans="1:10" s="1" customFormat="1" ht="71.45" customHeight="1" x14ac:dyDescent="0.25">
      <c r="A77" s="69">
        <v>1015041</v>
      </c>
      <c r="B77" s="70">
        <v>5041</v>
      </c>
      <c r="C77" s="70" t="s">
        <v>109</v>
      </c>
      <c r="D77" s="135" t="s">
        <v>410</v>
      </c>
      <c r="E77" s="32" t="s">
        <v>283</v>
      </c>
      <c r="F77" s="32" t="s">
        <v>400</v>
      </c>
      <c r="G77" s="8">
        <f t="shared" si="3"/>
        <v>33652119</v>
      </c>
      <c r="H77" s="33">
        <v>33652119</v>
      </c>
      <c r="I77" s="33">
        <v>0</v>
      </c>
      <c r="J77" s="34">
        <v>0</v>
      </c>
    </row>
    <row r="78" spans="1:10" ht="77.25" customHeight="1" x14ac:dyDescent="0.25">
      <c r="A78" s="92" t="s">
        <v>113</v>
      </c>
      <c r="B78" s="341" t="s">
        <v>114</v>
      </c>
      <c r="C78" s="341" t="s">
        <v>109</v>
      </c>
      <c r="D78" s="58" t="s">
        <v>115</v>
      </c>
      <c r="E78" s="32" t="s">
        <v>283</v>
      </c>
      <c r="F78" s="32" t="s">
        <v>400</v>
      </c>
      <c r="G78" s="8">
        <f t="shared" si="3"/>
        <v>1808736</v>
      </c>
      <c r="H78" s="33">
        <v>1808736</v>
      </c>
      <c r="I78" s="33">
        <v>0</v>
      </c>
      <c r="J78" s="34">
        <v>0</v>
      </c>
    </row>
    <row r="79" spans="1:10" ht="69.599999999999994" customHeight="1" thickBot="1" x14ac:dyDescent="0.3">
      <c r="A79" s="92" t="s">
        <v>116</v>
      </c>
      <c r="B79" s="341" t="s">
        <v>117</v>
      </c>
      <c r="C79" s="341" t="s">
        <v>109</v>
      </c>
      <c r="D79" s="58" t="s">
        <v>118</v>
      </c>
      <c r="E79" s="32" t="s">
        <v>283</v>
      </c>
      <c r="F79" s="32" t="s">
        <v>456</v>
      </c>
      <c r="G79" s="8">
        <f>H79+I79</f>
        <v>528000</v>
      </c>
      <c r="H79" s="33">
        <f>558000-30000</f>
        <v>528000</v>
      </c>
      <c r="I79" s="33">
        <v>0</v>
      </c>
      <c r="J79" s="34">
        <v>0</v>
      </c>
    </row>
    <row r="80" spans="1:10" ht="87.75" customHeight="1" thickBot="1" x14ac:dyDescent="0.3">
      <c r="A80" s="20" t="s">
        <v>119</v>
      </c>
      <c r="B80" s="21" t="s">
        <v>16</v>
      </c>
      <c r="C80" s="21" t="s">
        <v>16</v>
      </c>
      <c r="D80" s="132" t="s">
        <v>120</v>
      </c>
      <c r="E80" s="22" t="s">
        <v>16</v>
      </c>
      <c r="F80" s="22" t="s">
        <v>16</v>
      </c>
      <c r="G80" s="23">
        <f t="shared" si="3"/>
        <v>57771667</v>
      </c>
      <c r="H80" s="24">
        <f>H81</f>
        <v>55015941</v>
      </c>
      <c r="I80" s="24">
        <f>I81</f>
        <v>2755726</v>
      </c>
      <c r="J80" s="25">
        <f>J81</f>
        <v>2296426</v>
      </c>
    </row>
    <row r="81" spans="1:10" ht="69.75" customHeight="1" x14ac:dyDescent="0.25">
      <c r="A81" s="51">
        <v>1210000</v>
      </c>
      <c r="B81" s="27" t="s">
        <v>16</v>
      </c>
      <c r="C81" s="27" t="s">
        <v>16</v>
      </c>
      <c r="D81" s="57" t="s">
        <v>120</v>
      </c>
      <c r="E81" s="28" t="s">
        <v>16</v>
      </c>
      <c r="F81" s="28" t="s">
        <v>16</v>
      </c>
      <c r="G81" s="39">
        <f>H81+I81</f>
        <v>57771667</v>
      </c>
      <c r="H81" s="40">
        <f>H82+H83+H85+H86+H87++H88+H90+H84+H89</f>
        <v>55015941</v>
      </c>
      <c r="I81" s="40">
        <f>I82+I83+I85+I86+I87++I88+I90+I84</f>
        <v>2755726</v>
      </c>
      <c r="J81" s="40">
        <f t="shared" ref="J81" si="5">J82+J83+J85+J86+J87++J88+J90+J84</f>
        <v>2296426</v>
      </c>
    </row>
    <row r="82" spans="1:10" ht="61.9" customHeight="1" x14ac:dyDescent="0.25">
      <c r="A82" s="92" t="s">
        <v>123</v>
      </c>
      <c r="B82" s="341" t="s">
        <v>124</v>
      </c>
      <c r="C82" s="341" t="s">
        <v>125</v>
      </c>
      <c r="D82" s="58" t="s">
        <v>126</v>
      </c>
      <c r="E82" s="32" t="s">
        <v>345</v>
      </c>
      <c r="F82" s="32" t="s">
        <v>519</v>
      </c>
      <c r="G82" s="8">
        <f t="shared" si="3"/>
        <v>9760</v>
      </c>
      <c r="H82" s="33">
        <v>9760</v>
      </c>
      <c r="I82" s="33">
        <v>0</v>
      </c>
      <c r="J82" s="34">
        <v>0</v>
      </c>
    </row>
    <row r="83" spans="1:10" ht="69" customHeight="1" x14ac:dyDescent="0.25">
      <c r="A83" s="92" t="s">
        <v>127</v>
      </c>
      <c r="B83" s="341" t="s">
        <v>128</v>
      </c>
      <c r="C83" s="341" t="s">
        <v>28</v>
      </c>
      <c r="D83" s="58" t="s">
        <v>129</v>
      </c>
      <c r="E83" s="32" t="s">
        <v>345</v>
      </c>
      <c r="F83" s="32" t="s">
        <v>519</v>
      </c>
      <c r="G83" s="8">
        <f t="shared" si="3"/>
        <v>1597918</v>
      </c>
      <c r="H83" s="33">
        <v>1597918</v>
      </c>
      <c r="I83" s="33">
        <v>0</v>
      </c>
      <c r="J83" s="34">
        <v>0</v>
      </c>
    </row>
    <row r="84" spans="1:10" ht="69" customHeight="1" x14ac:dyDescent="0.25">
      <c r="A84" s="92">
        <v>1216015</v>
      </c>
      <c r="B84" s="341">
        <v>6015</v>
      </c>
      <c r="C84" s="244" t="s">
        <v>28</v>
      </c>
      <c r="D84" s="182" t="s">
        <v>337</v>
      </c>
      <c r="E84" s="32" t="s">
        <v>382</v>
      </c>
      <c r="F84" s="32" t="s">
        <v>383</v>
      </c>
      <c r="G84" s="8">
        <f t="shared" si="3"/>
        <v>1835036</v>
      </c>
      <c r="H84" s="33"/>
      <c r="I84" s="33">
        <v>1835036</v>
      </c>
      <c r="J84" s="34">
        <f>I84</f>
        <v>1835036</v>
      </c>
    </row>
    <row r="85" spans="1:10" ht="63.6" customHeight="1" x14ac:dyDescent="0.25">
      <c r="A85" s="92" t="s">
        <v>130</v>
      </c>
      <c r="B85" s="341" t="s">
        <v>27</v>
      </c>
      <c r="C85" s="341" t="s">
        <v>28</v>
      </c>
      <c r="D85" s="58" t="s">
        <v>29</v>
      </c>
      <c r="E85" s="32" t="s">
        <v>345</v>
      </c>
      <c r="F85" s="32" t="s">
        <v>519</v>
      </c>
      <c r="G85" s="8">
        <f t="shared" si="3"/>
        <v>46138909</v>
      </c>
      <c r="H85" s="33">
        <v>45677519</v>
      </c>
      <c r="I85" s="33">
        <v>461390</v>
      </c>
      <c r="J85" s="34">
        <f>I85</f>
        <v>461390</v>
      </c>
    </row>
    <row r="86" spans="1:10" ht="63.6" customHeight="1" x14ac:dyDescent="0.25">
      <c r="A86" s="92" t="s">
        <v>130</v>
      </c>
      <c r="B86" s="341" t="s">
        <v>27</v>
      </c>
      <c r="C86" s="341" t="s">
        <v>28</v>
      </c>
      <c r="D86" s="58" t="s">
        <v>29</v>
      </c>
      <c r="E86" s="406" t="s">
        <v>346</v>
      </c>
      <c r="F86" s="406" t="s">
        <v>347</v>
      </c>
      <c r="G86" s="8">
        <f t="shared" si="3"/>
        <v>175102</v>
      </c>
      <c r="H86" s="30">
        <v>175102</v>
      </c>
      <c r="I86" s="33">
        <v>0</v>
      </c>
      <c r="J86" s="34">
        <v>0</v>
      </c>
    </row>
    <row r="87" spans="1:10" ht="179.25" customHeight="1" x14ac:dyDescent="0.25">
      <c r="A87" s="427">
        <v>1216071</v>
      </c>
      <c r="B87" s="428">
        <v>6071</v>
      </c>
      <c r="C87" s="429" t="s">
        <v>328</v>
      </c>
      <c r="D87" s="430" t="s">
        <v>329</v>
      </c>
      <c r="E87" s="32" t="s">
        <v>345</v>
      </c>
      <c r="F87" s="32" t="s">
        <v>519</v>
      </c>
      <c r="G87" s="8">
        <f t="shared" si="3"/>
        <v>4380000</v>
      </c>
      <c r="H87" s="30">
        <v>4380000</v>
      </c>
      <c r="I87" s="33">
        <v>0</v>
      </c>
      <c r="J87" s="34">
        <v>0</v>
      </c>
    </row>
    <row r="88" spans="1:10" ht="82.5" customHeight="1" x14ac:dyDescent="0.25">
      <c r="A88" s="69" t="s">
        <v>131</v>
      </c>
      <c r="B88" s="49" t="s">
        <v>132</v>
      </c>
      <c r="C88" s="49" t="s">
        <v>133</v>
      </c>
      <c r="D88" s="60" t="s">
        <v>134</v>
      </c>
      <c r="E88" s="32" t="s">
        <v>345</v>
      </c>
      <c r="F88" s="32" t="s">
        <v>519</v>
      </c>
      <c r="G88" s="29">
        <f t="shared" si="3"/>
        <v>2968087</v>
      </c>
      <c r="H88" s="30">
        <v>2968087</v>
      </c>
      <c r="I88" s="33">
        <v>0</v>
      </c>
      <c r="J88" s="34">
        <v>0</v>
      </c>
    </row>
    <row r="89" spans="1:10" ht="82.5" customHeight="1" x14ac:dyDescent="0.25">
      <c r="A89" s="69">
        <v>1218110</v>
      </c>
      <c r="B89" s="49">
        <v>8110</v>
      </c>
      <c r="C89" s="585" t="s">
        <v>284</v>
      </c>
      <c r="D89" s="60" t="s">
        <v>285</v>
      </c>
      <c r="E89" s="32" t="s">
        <v>457</v>
      </c>
      <c r="F89" s="32" t="s">
        <v>515</v>
      </c>
      <c r="G89" s="29">
        <f t="shared" si="3"/>
        <v>207555</v>
      </c>
      <c r="H89" s="262">
        <v>207555</v>
      </c>
      <c r="I89" s="37"/>
      <c r="J89" s="38"/>
    </row>
    <row r="90" spans="1:10" ht="66.599999999999994" customHeight="1" thickBot="1" x14ac:dyDescent="0.3">
      <c r="A90" s="253" t="s">
        <v>135</v>
      </c>
      <c r="B90" s="341" t="s">
        <v>136</v>
      </c>
      <c r="C90" s="341" t="s">
        <v>137</v>
      </c>
      <c r="D90" s="58" t="s">
        <v>138</v>
      </c>
      <c r="E90" s="32" t="s">
        <v>381</v>
      </c>
      <c r="F90" s="185" t="s">
        <v>348</v>
      </c>
      <c r="G90" s="36">
        <f t="shared" si="3"/>
        <v>459300</v>
      </c>
      <c r="H90" s="37">
        <v>0</v>
      </c>
      <c r="I90" s="37">
        <v>459300</v>
      </c>
      <c r="J90" s="38">
        <v>0</v>
      </c>
    </row>
    <row r="91" spans="1:10" ht="70.5" customHeight="1" thickBot="1" x14ac:dyDescent="0.3">
      <c r="A91" s="20" t="s">
        <v>139</v>
      </c>
      <c r="B91" s="21" t="s">
        <v>16</v>
      </c>
      <c r="C91" s="21" t="s">
        <v>16</v>
      </c>
      <c r="D91" s="132" t="s">
        <v>438</v>
      </c>
      <c r="E91" s="22" t="s">
        <v>16</v>
      </c>
      <c r="F91" s="22" t="s">
        <v>16</v>
      </c>
      <c r="G91" s="23">
        <f>H91+I91</f>
        <v>36289935</v>
      </c>
      <c r="H91" s="24">
        <f>H92</f>
        <v>0</v>
      </c>
      <c r="I91" s="24">
        <f>I92</f>
        <v>36289935</v>
      </c>
      <c r="J91" s="25">
        <f>J92</f>
        <v>36289935</v>
      </c>
    </row>
    <row r="92" spans="1:10" ht="71.25" customHeight="1" x14ac:dyDescent="0.25">
      <c r="A92" s="51">
        <v>1510000</v>
      </c>
      <c r="B92" s="27" t="s">
        <v>16</v>
      </c>
      <c r="C92" s="27" t="s">
        <v>16</v>
      </c>
      <c r="D92" s="57" t="s">
        <v>438</v>
      </c>
      <c r="E92" s="28" t="s">
        <v>16</v>
      </c>
      <c r="F92" s="28" t="s">
        <v>16</v>
      </c>
      <c r="G92" s="39">
        <f>H92+I92</f>
        <v>36289935</v>
      </c>
      <c r="H92" s="40">
        <f>H99+H95</f>
        <v>0</v>
      </c>
      <c r="I92" s="40">
        <f>I99+I95+I93+I96+I94+I97+I98</f>
        <v>36289935</v>
      </c>
      <c r="J92" s="41">
        <f>J99+J95+J93+J96+J94+J97+J98</f>
        <v>36289935</v>
      </c>
    </row>
    <row r="93" spans="1:10" ht="71.25" customHeight="1" x14ac:dyDescent="0.25">
      <c r="A93" s="332">
        <v>1511021</v>
      </c>
      <c r="B93" s="333">
        <v>1021</v>
      </c>
      <c r="C93" s="517" t="s">
        <v>50</v>
      </c>
      <c r="D93" s="182" t="s">
        <v>439</v>
      </c>
      <c r="E93" s="50" t="s">
        <v>461</v>
      </c>
      <c r="F93" s="32" t="s">
        <v>522</v>
      </c>
      <c r="G93" s="273">
        <f t="shared" ref="G93:G98" si="6">H93+I93</f>
        <v>19544392</v>
      </c>
      <c r="H93" s="589"/>
      <c r="I93" s="33">
        <f>2503555+15306015+248082+1486740</f>
        <v>19544392</v>
      </c>
      <c r="J93" s="33">
        <f t="shared" ref="J93:J99" si="7">I93</f>
        <v>19544392</v>
      </c>
    </row>
    <row r="94" spans="1:10" ht="71.25" customHeight="1" x14ac:dyDescent="0.25">
      <c r="A94" s="332" t="s">
        <v>464</v>
      </c>
      <c r="B94" s="333" t="s">
        <v>465</v>
      </c>
      <c r="C94" s="517" t="s">
        <v>282</v>
      </c>
      <c r="D94" s="182" t="s">
        <v>440</v>
      </c>
      <c r="E94" s="50" t="s">
        <v>466</v>
      </c>
      <c r="F94" s="32" t="s">
        <v>520</v>
      </c>
      <c r="G94" s="273">
        <f t="shared" si="6"/>
        <v>173444</v>
      </c>
      <c r="H94" s="586"/>
      <c r="I94" s="262">
        <f>173444</f>
        <v>173444</v>
      </c>
      <c r="J94" s="31">
        <f t="shared" si="7"/>
        <v>173444</v>
      </c>
    </row>
    <row r="95" spans="1:10" s="1" customFormat="1" ht="81" customHeight="1" x14ac:dyDescent="0.25">
      <c r="A95" s="332" t="s">
        <v>300</v>
      </c>
      <c r="B95" s="333" t="s">
        <v>301</v>
      </c>
      <c r="C95" s="334" t="s">
        <v>28</v>
      </c>
      <c r="D95" s="335" t="s">
        <v>287</v>
      </c>
      <c r="E95" s="32" t="s">
        <v>345</v>
      </c>
      <c r="F95" s="32" t="s">
        <v>519</v>
      </c>
      <c r="G95" s="273">
        <f t="shared" si="6"/>
        <v>10430435</v>
      </c>
      <c r="H95" s="276">
        <v>0</v>
      </c>
      <c r="I95" s="276">
        <f>3098317-1031901+7997976-60000+45000+381043</f>
        <v>10430435</v>
      </c>
      <c r="J95" s="275">
        <f t="shared" si="7"/>
        <v>10430435</v>
      </c>
    </row>
    <row r="96" spans="1:10" s="1" customFormat="1" ht="81" customHeight="1" x14ac:dyDescent="0.25">
      <c r="A96" s="587" t="s">
        <v>462</v>
      </c>
      <c r="B96" s="587" t="s">
        <v>128</v>
      </c>
      <c r="C96" s="340" t="s">
        <v>28</v>
      </c>
      <c r="D96" s="264" t="s">
        <v>129</v>
      </c>
      <c r="E96" s="32" t="s">
        <v>345</v>
      </c>
      <c r="F96" s="32" t="s">
        <v>519</v>
      </c>
      <c r="G96" s="273">
        <f t="shared" si="6"/>
        <v>258440</v>
      </c>
      <c r="H96" s="276"/>
      <c r="I96" s="276">
        <f>60000+198440</f>
        <v>258440</v>
      </c>
      <c r="J96" s="411">
        <f t="shared" si="7"/>
        <v>258440</v>
      </c>
    </row>
    <row r="97" spans="1:10" s="1" customFormat="1" ht="81" customHeight="1" x14ac:dyDescent="0.25">
      <c r="A97" s="588" t="s">
        <v>463</v>
      </c>
      <c r="B97" s="334" t="s">
        <v>27</v>
      </c>
      <c r="C97" s="340" t="s">
        <v>28</v>
      </c>
      <c r="D97" s="264" t="s">
        <v>29</v>
      </c>
      <c r="E97" s="32" t="s">
        <v>345</v>
      </c>
      <c r="F97" s="32" t="s">
        <v>519</v>
      </c>
      <c r="G97" s="273">
        <f t="shared" si="6"/>
        <v>149831</v>
      </c>
      <c r="H97" s="276"/>
      <c r="I97" s="276">
        <f>45000+55031+49800</f>
        <v>149831</v>
      </c>
      <c r="J97" s="411">
        <f t="shared" si="7"/>
        <v>149831</v>
      </c>
    </row>
    <row r="98" spans="1:10" s="1" customFormat="1" ht="81" customHeight="1" x14ac:dyDescent="0.25">
      <c r="A98" s="588" t="s">
        <v>463</v>
      </c>
      <c r="B98" s="334" t="s">
        <v>27</v>
      </c>
      <c r="C98" s="340" t="s">
        <v>28</v>
      </c>
      <c r="D98" s="264" t="s">
        <v>29</v>
      </c>
      <c r="E98" s="50" t="s">
        <v>461</v>
      </c>
      <c r="F98" s="32" t="s">
        <v>522</v>
      </c>
      <c r="G98" s="273">
        <f t="shared" si="6"/>
        <v>251111</v>
      </c>
      <c r="H98" s="276"/>
      <c r="I98" s="276">
        <f>251111</f>
        <v>251111</v>
      </c>
      <c r="J98" s="411">
        <f t="shared" si="7"/>
        <v>251111</v>
      </c>
    </row>
    <row r="99" spans="1:10" ht="77.25" customHeight="1" thickBot="1" x14ac:dyDescent="0.3">
      <c r="A99" s="407">
        <v>1517461</v>
      </c>
      <c r="B99" s="408">
        <v>7461</v>
      </c>
      <c r="C99" s="408" t="s">
        <v>133</v>
      </c>
      <c r="D99" s="409" t="s">
        <v>134</v>
      </c>
      <c r="E99" s="35" t="s">
        <v>345</v>
      </c>
      <c r="F99" s="35" t="s">
        <v>519</v>
      </c>
      <c r="G99" s="410">
        <f>I99</f>
        <v>5482282</v>
      </c>
      <c r="H99" s="276">
        <v>0</v>
      </c>
      <c r="I99" s="276">
        <f>2799508+2192418+490356</f>
        <v>5482282</v>
      </c>
      <c r="J99" s="411">
        <f t="shared" si="7"/>
        <v>5482282</v>
      </c>
    </row>
    <row r="100" spans="1:10" ht="67.150000000000006" customHeight="1" thickBot="1" x14ac:dyDescent="0.3">
      <c r="A100" s="284">
        <v>1600000</v>
      </c>
      <c r="B100" s="21" t="s">
        <v>16</v>
      </c>
      <c r="C100" s="21" t="s">
        <v>16</v>
      </c>
      <c r="D100" s="132" t="s">
        <v>255</v>
      </c>
      <c r="E100" s="22" t="s">
        <v>16</v>
      </c>
      <c r="F100" s="22" t="s">
        <v>16</v>
      </c>
      <c r="G100" s="415">
        <f>H100+I100</f>
        <v>1238282</v>
      </c>
      <c r="H100" s="420">
        <f t="shared" ref="H100:J101" si="8">H101</f>
        <v>0</v>
      </c>
      <c r="I100" s="420">
        <f t="shared" si="8"/>
        <v>1238282</v>
      </c>
      <c r="J100" s="526">
        <f t="shared" si="8"/>
        <v>1238282</v>
      </c>
    </row>
    <row r="101" spans="1:10" ht="67.150000000000006" customHeight="1" x14ac:dyDescent="0.25">
      <c r="A101" s="306">
        <v>1610000</v>
      </c>
      <c r="B101" s="27" t="s">
        <v>16</v>
      </c>
      <c r="C101" s="27" t="s">
        <v>16</v>
      </c>
      <c r="D101" s="44" t="s">
        <v>255</v>
      </c>
      <c r="E101" s="57" t="s">
        <v>16</v>
      </c>
      <c r="F101" s="44" t="s">
        <v>16</v>
      </c>
      <c r="G101" s="523">
        <f>H101+I101</f>
        <v>1238282</v>
      </c>
      <c r="H101" s="524">
        <f t="shared" si="8"/>
        <v>0</v>
      </c>
      <c r="I101" s="524">
        <f t="shared" si="8"/>
        <v>1238282</v>
      </c>
      <c r="J101" s="525">
        <f t="shared" si="8"/>
        <v>1238282</v>
      </c>
    </row>
    <row r="102" spans="1:10" ht="94.5" customHeight="1" thickBot="1" x14ac:dyDescent="0.3">
      <c r="A102" s="520" t="s">
        <v>385</v>
      </c>
      <c r="B102" s="521" t="s">
        <v>386</v>
      </c>
      <c r="C102" s="393" t="s">
        <v>369</v>
      </c>
      <c r="D102" s="522" t="s">
        <v>384</v>
      </c>
      <c r="E102" s="557" t="s">
        <v>395</v>
      </c>
      <c r="F102" s="556" t="s">
        <v>523</v>
      </c>
      <c r="G102" s="518">
        <f>H102+I102</f>
        <v>1238282</v>
      </c>
      <c r="H102" s="418">
        <v>0</v>
      </c>
      <c r="I102" s="418">
        <f>1031901+206381</f>
        <v>1238282</v>
      </c>
      <c r="J102" s="519">
        <f>1031901+206381</f>
        <v>1238282</v>
      </c>
    </row>
    <row r="103" spans="1:10" ht="63" customHeight="1" thickBot="1" x14ac:dyDescent="0.3">
      <c r="A103" s="412">
        <v>2700000</v>
      </c>
      <c r="B103" s="413"/>
      <c r="C103" s="413"/>
      <c r="D103" s="414" t="s">
        <v>259</v>
      </c>
      <c r="E103" s="22"/>
      <c r="F103" s="22"/>
      <c r="G103" s="415">
        <f>G104</f>
        <v>5387040</v>
      </c>
      <c r="H103" s="415">
        <f t="shared" ref="H103:J103" si="9">H104</f>
        <v>5387040</v>
      </c>
      <c r="I103" s="415">
        <f t="shared" si="9"/>
        <v>0</v>
      </c>
      <c r="J103" s="416">
        <f t="shared" si="9"/>
        <v>0</v>
      </c>
    </row>
    <row r="104" spans="1:10" ht="52.5" customHeight="1" x14ac:dyDescent="0.25">
      <c r="A104" s="269">
        <v>2710000</v>
      </c>
      <c r="B104" s="270"/>
      <c r="C104" s="270"/>
      <c r="D104" s="271" t="s">
        <v>259</v>
      </c>
      <c r="E104" s="50"/>
      <c r="F104" s="50"/>
      <c r="G104" s="274">
        <f>G105</f>
        <v>5387040</v>
      </c>
      <c r="H104" s="274">
        <f t="shared" ref="H104:J104" si="10">H105</f>
        <v>5387040</v>
      </c>
      <c r="I104" s="274">
        <f t="shared" si="10"/>
        <v>0</v>
      </c>
      <c r="J104" s="381">
        <f t="shared" si="10"/>
        <v>0</v>
      </c>
    </row>
    <row r="105" spans="1:10" ht="69.599999999999994" customHeight="1" thickBot="1" x14ac:dyDescent="0.3">
      <c r="A105" s="9">
        <v>2717413</v>
      </c>
      <c r="B105" s="10">
        <v>7413</v>
      </c>
      <c r="C105" s="261" t="s">
        <v>290</v>
      </c>
      <c r="D105" s="35" t="s">
        <v>289</v>
      </c>
      <c r="E105" s="35" t="s">
        <v>288</v>
      </c>
      <c r="F105" s="35" t="s">
        <v>318</v>
      </c>
      <c r="G105" s="410">
        <f>H105+J105</f>
        <v>5387040</v>
      </c>
      <c r="H105" s="276">
        <v>5387040</v>
      </c>
      <c r="I105" s="276">
        <v>0</v>
      </c>
      <c r="J105" s="411">
        <v>0</v>
      </c>
    </row>
    <row r="106" spans="1:10" ht="55.9" customHeight="1" thickBot="1" x14ac:dyDescent="0.3">
      <c r="A106" s="20">
        <v>3100000</v>
      </c>
      <c r="B106" s="21"/>
      <c r="C106" s="419"/>
      <c r="D106" s="132" t="s">
        <v>510</v>
      </c>
      <c r="E106" s="22"/>
      <c r="F106" s="22"/>
      <c r="G106" s="415">
        <f>H106+I106</f>
        <v>798472</v>
      </c>
      <c r="H106" s="420">
        <f>H107</f>
        <v>798472</v>
      </c>
      <c r="I106" s="420">
        <f t="shared" ref="I106:J106" si="11">I107</f>
        <v>0</v>
      </c>
      <c r="J106" s="420">
        <f t="shared" si="11"/>
        <v>0</v>
      </c>
    </row>
    <row r="107" spans="1:10" ht="49.5" customHeight="1" x14ac:dyDescent="0.25">
      <c r="A107" s="421">
        <v>3110000</v>
      </c>
      <c r="B107" s="401"/>
      <c r="C107" s="422"/>
      <c r="D107" s="423" t="s">
        <v>510</v>
      </c>
      <c r="E107" s="435"/>
      <c r="F107" s="403"/>
      <c r="G107" s="431">
        <f>H107</f>
        <v>798472</v>
      </c>
      <c r="H107" s="432">
        <f>H108+H110+H109</f>
        <v>798472</v>
      </c>
      <c r="I107" s="433">
        <v>0</v>
      </c>
      <c r="J107" s="434">
        <v>0</v>
      </c>
    </row>
    <row r="108" spans="1:10" ht="152.25" customHeight="1" x14ac:dyDescent="0.25">
      <c r="A108" s="424">
        <v>3117693</v>
      </c>
      <c r="B108" s="408">
        <v>7693</v>
      </c>
      <c r="C108" s="425" t="s">
        <v>227</v>
      </c>
      <c r="D108" s="426" t="s">
        <v>330</v>
      </c>
      <c r="E108" s="50" t="s">
        <v>277</v>
      </c>
      <c r="F108" s="406" t="s">
        <v>521</v>
      </c>
      <c r="G108" s="273">
        <f>H108+I108</f>
        <v>177000</v>
      </c>
      <c r="H108" s="273">
        <f>177000</f>
        <v>177000</v>
      </c>
      <c r="I108" s="276">
        <v>0</v>
      </c>
      <c r="J108" s="411">
        <v>0</v>
      </c>
    </row>
    <row r="109" spans="1:10" ht="73.5" customHeight="1" x14ac:dyDescent="0.25">
      <c r="A109" s="424">
        <v>3117693</v>
      </c>
      <c r="B109" s="408">
        <v>7693</v>
      </c>
      <c r="C109" s="425" t="s">
        <v>227</v>
      </c>
      <c r="D109" s="426" t="s">
        <v>330</v>
      </c>
      <c r="E109" s="35" t="s">
        <v>345</v>
      </c>
      <c r="F109" s="32" t="s">
        <v>519</v>
      </c>
      <c r="G109" s="273">
        <f>H109+I109</f>
        <v>500000</v>
      </c>
      <c r="H109" s="273">
        <v>500000</v>
      </c>
      <c r="I109" s="276"/>
      <c r="J109" s="411"/>
    </row>
    <row r="110" spans="1:10" ht="73.5" customHeight="1" thickBot="1" x14ac:dyDescent="0.3">
      <c r="A110" s="424">
        <v>3118110</v>
      </c>
      <c r="B110" s="408">
        <v>8110</v>
      </c>
      <c r="C110" s="425" t="s">
        <v>284</v>
      </c>
      <c r="D110" s="426" t="s">
        <v>285</v>
      </c>
      <c r="E110" s="35" t="s">
        <v>345</v>
      </c>
      <c r="F110" s="32" t="s">
        <v>519</v>
      </c>
      <c r="G110" s="273">
        <f>H110+I110</f>
        <v>121472</v>
      </c>
      <c r="H110" s="418">
        <v>121472</v>
      </c>
      <c r="I110" s="276">
        <v>0</v>
      </c>
      <c r="J110" s="411">
        <v>0</v>
      </c>
    </row>
    <row r="111" spans="1:10" ht="16.5" thickBot="1" x14ac:dyDescent="0.3">
      <c r="A111" s="284" t="s">
        <v>7</v>
      </c>
      <c r="B111" s="285" t="s">
        <v>7</v>
      </c>
      <c r="C111" s="285" t="s">
        <v>7</v>
      </c>
      <c r="D111" s="417" t="s">
        <v>141</v>
      </c>
      <c r="E111" s="285" t="s">
        <v>7</v>
      </c>
      <c r="F111" s="285" t="s">
        <v>7</v>
      </c>
      <c r="G111" s="23">
        <f>H111+I111</f>
        <v>291141636</v>
      </c>
      <c r="H111" s="23">
        <f>H23+H41+H54+H63+H66+H80+H91+H100+H103+H106</f>
        <v>238085047</v>
      </c>
      <c r="I111" s="23">
        <f>I23+I41+I54+I63+I66+I80+I91+I100+I103+I106</f>
        <v>53056589</v>
      </c>
      <c r="J111" s="288">
        <f>J23+J41+J54+J63+J66+J80+J91+J100+J103+J106</f>
        <v>49096689</v>
      </c>
    </row>
    <row r="112" spans="1:10" ht="13.5" hidden="1" customHeight="1" x14ac:dyDescent="0.25">
      <c r="A112" s="52"/>
      <c r="B112" s="52"/>
      <c r="C112" s="52"/>
      <c r="D112" s="53"/>
      <c r="E112" s="53"/>
      <c r="F112" s="53"/>
      <c r="G112" s="54"/>
      <c r="H112" s="54"/>
      <c r="I112" s="54"/>
      <c r="J112" s="54"/>
    </row>
    <row r="113" spans="1:16" ht="13.5" hidden="1" customHeight="1" x14ac:dyDescent="0.25">
      <c r="A113" s="52"/>
      <c r="B113" s="52"/>
      <c r="C113" s="52"/>
      <c r="D113" s="53"/>
      <c r="E113" s="53"/>
      <c r="F113" s="53"/>
      <c r="G113" s="54"/>
      <c r="H113" s="54"/>
      <c r="I113" s="54"/>
      <c r="J113" s="54"/>
    </row>
    <row r="114" spans="1:16" ht="17.25" customHeight="1" x14ac:dyDescent="0.25">
      <c r="A114" s="1"/>
      <c r="B114" s="1"/>
      <c r="C114" s="1"/>
      <c r="D114" s="1"/>
      <c r="E114" s="1"/>
      <c r="F114" s="1"/>
      <c r="G114" s="1"/>
      <c r="H114" s="1"/>
      <c r="I114" s="1"/>
      <c r="J114" s="1"/>
    </row>
    <row r="115" spans="1:16" s="127" customFormat="1" ht="25.5" customHeight="1" x14ac:dyDescent="0.2">
      <c r="A115" s="775" t="s">
        <v>392</v>
      </c>
      <c r="B115" s="775"/>
      <c r="C115" s="775"/>
      <c r="D115" s="775"/>
      <c r="E115" s="123"/>
      <c r="F115" s="123"/>
      <c r="G115" s="123" t="s">
        <v>320</v>
      </c>
      <c r="H115" s="123"/>
      <c r="I115" s="123"/>
      <c r="K115" s="123"/>
      <c r="L115" s="124"/>
      <c r="M115" s="123"/>
      <c r="N115" s="123"/>
      <c r="O115" s="125"/>
      <c r="P115" s="126"/>
    </row>
    <row r="116" spans="1:16" s="62" customFormat="1" ht="20.25" x14ac:dyDescent="0.3">
      <c r="A116" s="61"/>
      <c r="B116" s="61"/>
      <c r="G116" s="63"/>
    </row>
    <row r="117" spans="1:16" customFormat="1" ht="15.75" x14ac:dyDescent="0.2">
      <c r="A117" s="64"/>
      <c r="B117" s="64"/>
    </row>
  </sheetData>
  <mergeCells count="13">
    <mergeCell ref="H5:I5"/>
    <mergeCell ref="A115:D115"/>
    <mergeCell ref="H20:H21"/>
    <mergeCell ref="I20:J20"/>
    <mergeCell ref="A16:J16"/>
    <mergeCell ref="A18:B18"/>
    <mergeCell ref="A20:A21"/>
    <mergeCell ref="B20:B21"/>
    <mergeCell ref="C20:C21"/>
    <mergeCell ref="D20:D21"/>
    <mergeCell ref="E20:E21"/>
    <mergeCell ref="F20:F21"/>
    <mergeCell ref="G20:G21"/>
  </mergeCells>
  <hyperlinks>
    <hyperlink ref="D51" r:id="rId1" location="n8" display="https://zakon.rada.gov.ua/rada/show/988-2016-%D1%80 - n8"/>
    <hyperlink ref="D52" r:id="rId2" location="n8" display="https://zakon.rada.gov.ua/rada/show/988-2016-%D1%80 - n8"/>
  </hyperlinks>
  <pageMargins left="0.78740157480314965" right="0.78740157480314965" top="1.1811023622047245" bottom="0.39370078740157483" header="0.31496062992125984" footer="0.31496062992125984"/>
  <pageSetup paperSize="9" scale="60" orientation="landscape" r:id="rId3"/>
  <rowBreaks count="7" manualBreakCount="7">
    <brk id="26" max="9" man="1"/>
    <brk id="32" max="9" man="1"/>
    <brk id="40" max="9" man="1"/>
    <brk id="49" max="9" man="1"/>
    <brk id="63" max="9" man="1"/>
    <brk id="89" max="9" man="1"/>
    <brk id="9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view="pageBreakPreview" topLeftCell="A87" zoomScale="68" zoomScaleNormal="50" zoomScaleSheetLayoutView="68" workbookViewId="0">
      <selection activeCell="I5" sqref="I5:J5"/>
    </sheetView>
  </sheetViews>
  <sheetFormatPr defaultColWidth="9.28515625" defaultRowHeight="15" x14ac:dyDescent="0.25"/>
  <cols>
    <col min="1" max="1" width="14.5703125" style="186" customWidth="1"/>
    <col min="2" max="2" width="15.140625" style="187" customWidth="1"/>
    <col min="3" max="3" width="11" style="188" customWidth="1"/>
    <col min="4" max="4" width="51.42578125" style="189" customWidth="1"/>
    <col min="5" max="5" width="60.140625" style="190" customWidth="1"/>
    <col min="6" max="6" width="15.28515625" style="188" customWidth="1"/>
    <col min="7" max="7" width="18" style="191" customWidth="1"/>
    <col min="8" max="8" width="22.28515625" style="191" customWidth="1"/>
    <col min="9" max="9" width="13.85546875" style="191" customWidth="1"/>
    <col min="10" max="10" width="28.140625" style="192" customWidth="1"/>
    <col min="11" max="11" width="13.85546875" style="192" customWidth="1"/>
    <col min="12" max="12" width="9.28515625" style="186"/>
    <col min="13" max="13" width="16.85546875" style="186" bestFit="1" customWidth="1"/>
    <col min="14" max="14" width="9.28515625" style="186"/>
    <col min="15" max="15" width="13.7109375" style="186" bestFit="1" customWidth="1"/>
    <col min="16" max="256" width="9.28515625" style="186"/>
    <col min="257" max="257" width="15" style="186" customWidth="1"/>
    <col min="258" max="258" width="12.7109375" style="186" customWidth="1"/>
    <col min="259" max="259" width="11.7109375" style="186" customWidth="1"/>
    <col min="260" max="260" width="44.85546875" style="186" customWidth="1"/>
    <col min="261" max="261" width="54.7109375" style="186" customWidth="1"/>
    <col min="262" max="262" width="15.28515625" style="186" customWidth="1"/>
    <col min="263" max="264" width="19.28515625" style="186" customWidth="1"/>
    <col min="265" max="265" width="13.85546875" style="186" customWidth="1"/>
    <col min="266" max="266" width="25.28515625" style="186" customWidth="1"/>
    <col min="267" max="267" width="16.28515625" style="186" customWidth="1"/>
    <col min="268" max="512" width="9.28515625" style="186"/>
    <col min="513" max="513" width="15" style="186" customWidth="1"/>
    <col min="514" max="514" width="12.7109375" style="186" customWidth="1"/>
    <col min="515" max="515" width="11.7109375" style="186" customWidth="1"/>
    <col min="516" max="516" width="44.85546875" style="186" customWidth="1"/>
    <col min="517" max="517" width="54.7109375" style="186" customWidth="1"/>
    <col min="518" max="518" width="15.28515625" style="186" customWidth="1"/>
    <col min="519" max="520" width="19.28515625" style="186" customWidth="1"/>
    <col min="521" max="521" width="13.85546875" style="186" customWidth="1"/>
    <col min="522" max="522" width="25.28515625" style="186" customWidth="1"/>
    <col min="523" max="523" width="16.28515625" style="186" customWidth="1"/>
    <col min="524" max="768" width="9.28515625" style="186"/>
    <col min="769" max="769" width="15" style="186" customWidth="1"/>
    <col min="770" max="770" width="12.7109375" style="186" customWidth="1"/>
    <col min="771" max="771" width="11.7109375" style="186" customWidth="1"/>
    <col min="772" max="772" width="44.85546875" style="186" customWidth="1"/>
    <col min="773" max="773" width="54.7109375" style="186" customWidth="1"/>
    <col min="774" max="774" width="15.28515625" style="186" customWidth="1"/>
    <col min="775" max="776" width="19.28515625" style="186" customWidth="1"/>
    <col min="777" max="777" width="13.85546875" style="186" customWidth="1"/>
    <col min="778" max="778" width="25.28515625" style="186" customWidth="1"/>
    <col min="779" max="779" width="16.28515625" style="186" customWidth="1"/>
    <col min="780" max="1024" width="9.28515625" style="186"/>
    <col min="1025" max="1025" width="15" style="186" customWidth="1"/>
    <col min="1026" max="1026" width="12.7109375" style="186" customWidth="1"/>
    <col min="1027" max="1027" width="11.7109375" style="186" customWidth="1"/>
    <col min="1028" max="1028" width="44.85546875" style="186" customWidth="1"/>
    <col min="1029" max="1029" width="54.7109375" style="186" customWidth="1"/>
    <col min="1030" max="1030" width="15.28515625" style="186" customWidth="1"/>
    <col min="1031" max="1032" width="19.28515625" style="186" customWidth="1"/>
    <col min="1033" max="1033" width="13.85546875" style="186" customWidth="1"/>
    <col min="1034" max="1034" width="25.28515625" style="186" customWidth="1"/>
    <col min="1035" max="1035" width="16.28515625" style="186" customWidth="1"/>
    <col min="1036" max="1280" width="9.28515625" style="186"/>
    <col min="1281" max="1281" width="15" style="186" customWidth="1"/>
    <col min="1282" max="1282" width="12.7109375" style="186" customWidth="1"/>
    <col min="1283" max="1283" width="11.7109375" style="186" customWidth="1"/>
    <col min="1284" max="1284" width="44.85546875" style="186" customWidth="1"/>
    <col min="1285" max="1285" width="54.7109375" style="186" customWidth="1"/>
    <col min="1286" max="1286" width="15.28515625" style="186" customWidth="1"/>
    <col min="1287" max="1288" width="19.28515625" style="186" customWidth="1"/>
    <col min="1289" max="1289" width="13.85546875" style="186" customWidth="1"/>
    <col min="1290" max="1290" width="25.28515625" style="186" customWidth="1"/>
    <col min="1291" max="1291" width="16.28515625" style="186" customWidth="1"/>
    <col min="1292" max="1536" width="9.28515625" style="186"/>
    <col min="1537" max="1537" width="15" style="186" customWidth="1"/>
    <col min="1538" max="1538" width="12.7109375" style="186" customWidth="1"/>
    <col min="1539" max="1539" width="11.7109375" style="186" customWidth="1"/>
    <col min="1540" max="1540" width="44.85546875" style="186" customWidth="1"/>
    <col min="1541" max="1541" width="54.7109375" style="186" customWidth="1"/>
    <col min="1542" max="1542" width="15.28515625" style="186" customWidth="1"/>
    <col min="1543" max="1544" width="19.28515625" style="186" customWidth="1"/>
    <col min="1545" max="1545" width="13.85546875" style="186" customWidth="1"/>
    <col min="1546" max="1546" width="25.28515625" style="186" customWidth="1"/>
    <col min="1547" max="1547" width="16.28515625" style="186" customWidth="1"/>
    <col min="1548" max="1792" width="9.28515625" style="186"/>
    <col min="1793" max="1793" width="15" style="186" customWidth="1"/>
    <col min="1794" max="1794" width="12.7109375" style="186" customWidth="1"/>
    <col min="1795" max="1795" width="11.7109375" style="186" customWidth="1"/>
    <col min="1796" max="1796" width="44.85546875" style="186" customWidth="1"/>
    <col min="1797" max="1797" width="54.7109375" style="186" customWidth="1"/>
    <col min="1798" max="1798" width="15.28515625" style="186" customWidth="1"/>
    <col min="1799" max="1800" width="19.28515625" style="186" customWidth="1"/>
    <col min="1801" max="1801" width="13.85546875" style="186" customWidth="1"/>
    <col min="1802" max="1802" width="25.28515625" style="186" customWidth="1"/>
    <col min="1803" max="1803" width="16.28515625" style="186" customWidth="1"/>
    <col min="1804" max="2048" width="9.28515625" style="186"/>
    <col min="2049" max="2049" width="15" style="186" customWidth="1"/>
    <col min="2050" max="2050" width="12.7109375" style="186" customWidth="1"/>
    <col min="2051" max="2051" width="11.7109375" style="186" customWidth="1"/>
    <col min="2052" max="2052" width="44.85546875" style="186" customWidth="1"/>
    <col min="2053" max="2053" width="54.7109375" style="186" customWidth="1"/>
    <col min="2054" max="2054" width="15.28515625" style="186" customWidth="1"/>
    <col min="2055" max="2056" width="19.28515625" style="186" customWidth="1"/>
    <col min="2057" max="2057" width="13.85546875" style="186" customWidth="1"/>
    <col min="2058" max="2058" width="25.28515625" style="186" customWidth="1"/>
    <col min="2059" max="2059" width="16.28515625" style="186" customWidth="1"/>
    <col min="2060" max="2304" width="9.28515625" style="186"/>
    <col min="2305" max="2305" width="15" style="186" customWidth="1"/>
    <col min="2306" max="2306" width="12.7109375" style="186" customWidth="1"/>
    <col min="2307" max="2307" width="11.7109375" style="186" customWidth="1"/>
    <col min="2308" max="2308" width="44.85546875" style="186" customWidth="1"/>
    <col min="2309" max="2309" width="54.7109375" style="186" customWidth="1"/>
    <col min="2310" max="2310" width="15.28515625" style="186" customWidth="1"/>
    <col min="2311" max="2312" width="19.28515625" style="186" customWidth="1"/>
    <col min="2313" max="2313" width="13.85546875" style="186" customWidth="1"/>
    <col min="2314" max="2314" width="25.28515625" style="186" customWidth="1"/>
    <col min="2315" max="2315" width="16.28515625" style="186" customWidth="1"/>
    <col min="2316" max="2560" width="9.28515625" style="186"/>
    <col min="2561" max="2561" width="15" style="186" customWidth="1"/>
    <col min="2562" max="2562" width="12.7109375" style="186" customWidth="1"/>
    <col min="2563" max="2563" width="11.7109375" style="186" customWidth="1"/>
    <col min="2564" max="2564" width="44.85546875" style="186" customWidth="1"/>
    <col min="2565" max="2565" width="54.7109375" style="186" customWidth="1"/>
    <col min="2566" max="2566" width="15.28515625" style="186" customWidth="1"/>
    <col min="2567" max="2568" width="19.28515625" style="186" customWidth="1"/>
    <col min="2569" max="2569" width="13.85546875" style="186" customWidth="1"/>
    <col min="2570" max="2570" width="25.28515625" style="186" customWidth="1"/>
    <col min="2571" max="2571" width="16.28515625" style="186" customWidth="1"/>
    <col min="2572" max="2816" width="9.28515625" style="186"/>
    <col min="2817" max="2817" width="15" style="186" customWidth="1"/>
    <col min="2818" max="2818" width="12.7109375" style="186" customWidth="1"/>
    <col min="2819" max="2819" width="11.7109375" style="186" customWidth="1"/>
    <col min="2820" max="2820" width="44.85546875" style="186" customWidth="1"/>
    <col min="2821" max="2821" width="54.7109375" style="186" customWidth="1"/>
    <col min="2822" max="2822" width="15.28515625" style="186" customWidth="1"/>
    <col min="2823" max="2824" width="19.28515625" style="186" customWidth="1"/>
    <col min="2825" max="2825" width="13.85546875" style="186" customWidth="1"/>
    <col min="2826" max="2826" width="25.28515625" style="186" customWidth="1"/>
    <col min="2827" max="2827" width="16.28515625" style="186" customWidth="1"/>
    <col min="2828" max="3072" width="9.28515625" style="186"/>
    <col min="3073" max="3073" width="15" style="186" customWidth="1"/>
    <col min="3074" max="3074" width="12.7109375" style="186" customWidth="1"/>
    <col min="3075" max="3075" width="11.7109375" style="186" customWidth="1"/>
    <col min="3076" max="3076" width="44.85546875" style="186" customWidth="1"/>
    <col min="3077" max="3077" width="54.7109375" style="186" customWidth="1"/>
    <col min="3078" max="3078" width="15.28515625" style="186" customWidth="1"/>
    <col min="3079" max="3080" width="19.28515625" style="186" customWidth="1"/>
    <col min="3081" max="3081" width="13.85546875" style="186" customWidth="1"/>
    <col min="3082" max="3082" width="25.28515625" style="186" customWidth="1"/>
    <col min="3083" max="3083" width="16.28515625" style="186" customWidth="1"/>
    <col min="3084" max="3328" width="9.28515625" style="186"/>
    <col min="3329" max="3329" width="15" style="186" customWidth="1"/>
    <col min="3330" max="3330" width="12.7109375" style="186" customWidth="1"/>
    <col min="3331" max="3331" width="11.7109375" style="186" customWidth="1"/>
    <col min="3332" max="3332" width="44.85546875" style="186" customWidth="1"/>
    <col min="3333" max="3333" width="54.7109375" style="186" customWidth="1"/>
    <col min="3334" max="3334" width="15.28515625" style="186" customWidth="1"/>
    <col min="3335" max="3336" width="19.28515625" style="186" customWidth="1"/>
    <col min="3337" max="3337" width="13.85546875" style="186" customWidth="1"/>
    <col min="3338" max="3338" width="25.28515625" style="186" customWidth="1"/>
    <col min="3339" max="3339" width="16.28515625" style="186" customWidth="1"/>
    <col min="3340" max="3584" width="9.28515625" style="186"/>
    <col min="3585" max="3585" width="15" style="186" customWidth="1"/>
    <col min="3586" max="3586" width="12.7109375" style="186" customWidth="1"/>
    <col min="3587" max="3587" width="11.7109375" style="186" customWidth="1"/>
    <col min="3588" max="3588" width="44.85546875" style="186" customWidth="1"/>
    <col min="3589" max="3589" width="54.7109375" style="186" customWidth="1"/>
    <col min="3590" max="3590" width="15.28515625" style="186" customWidth="1"/>
    <col min="3591" max="3592" width="19.28515625" style="186" customWidth="1"/>
    <col min="3593" max="3593" width="13.85546875" style="186" customWidth="1"/>
    <col min="3594" max="3594" width="25.28515625" style="186" customWidth="1"/>
    <col min="3595" max="3595" width="16.28515625" style="186" customWidth="1"/>
    <col min="3596" max="3840" width="9.28515625" style="186"/>
    <col min="3841" max="3841" width="15" style="186" customWidth="1"/>
    <col min="3842" max="3842" width="12.7109375" style="186" customWidth="1"/>
    <col min="3843" max="3843" width="11.7109375" style="186" customWidth="1"/>
    <col min="3844" max="3844" width="44.85546875" style="186" customWidth="1"/>
    <col min="3845" max="3845" width="54.7109375" style="186" customWidth="1"/>
    <col min="3846" max="3846" width="15.28515625" style="186" customWidth="1"/>
    <col min="3847" max="3848" width="19.28515625" style="186" customWidth="1"/>
    <col min="3849" max="3849" width="13.85546875" style="186" customWidth="1"/>
    <col min="3850" max="3850" width="25.28515625" style="186" customWidth="1"/>
    <col min="3851" max="3851" width="16.28515625" style="186" customWidth="1"/>
    <col min="3852" max="4096" width="9.28515625" style="186"/>
    <col min="4097" max="4097" width="15" style="186" customWidth="1"/>
    <col min="4098" max="4098" width="12.7109375" style="186" customWidth="1"/>
    <col min="4099" max="4099" width="11.7109375" style="186" customWidth="1"/>
    <col min="4100" max="4100" width="44.85546875" style="186" customWidth="1"/>
    <col min="4101" max="4101" width="54.7109375" style="186" customWidth="1"/>
    <col min="4102" max="4102" width="15.28515625" style="186" customWidth="1"/>
    <col min="4103" max="4104" width="19.28515625" style="186" customWidth="1"/>
    <col min="4105" max="4105" width="13.85546875" style="186" customWidth="1"/>
    <col min="4106" max="4106" width="25.28515625" style="186" customWidth="1"/>
    <col min="4107" max="4107" width="16.28515625" style="186" customWidth="1"/>
    <col min="4108" max="4352" width="9.28515625" style="186"/>
    <col min="4353" max="4353" width="15" style="186" customWidth="1"/>
    <col min="4354" max="4354" width="12.7109375" style="186" customWidth="1"/>
    <col min="4355" max="4355" width="11.7109375" style="186" customWidth="1"/>
    <col min="4356" max="4356" width="44.85546875" style="186" customWidth="1"/>
    <col min="4357" max="4357" width="54.7109375" style="186" customWidth="1"/>
    <col min="4358" max="4358" width="15.28515625" style="186" customWidth="1"/>
    <col min="4359" max="4360" width="19.28515625" style="186" customWidth="1"/>
    <col min="4361" max="4361" width="13.85546875" style="186" customWidth="1"/>
    <col min="4362" max="4362" width="25.28515625" style="186" customWidth="1"/>
    <col min="4363" max="4363" width="16.28515625" style="186" customWidth="1"/>
    <col min="4364" max="4608" width="9.28515625" style="186"/>
    <col min="4609" max="4609" width="15" style="186" customWidth="1"/>
    <col min="4610" max="4610" width="12.7109375" style="186" customWidth="1"/>
    <col min="4611" max="4611" width="11.7109375" style="186" customWidth="1"/>
    <col min="4612" max="4612" width="44.85546875" style="186" customWidth="1"/>
    <col min="4613" max="4613" width="54.7109375" style="186" customWidth="1"/>
    <col min="4614" max="4614" width="15.28515625" style="186" customWidth="1"/>
    <col min="4615" max="4616" width="19.28515625" style="186" customWidth="1"/>
    <col min="4617" max="4617" width="13.85546875" style="186" customWidth="1"/>
    <col min="4618" max="4618" width="25.28515625" style="186" customWidth="1"/>
    <col min="4619" max="4619" width="16.28515625" style="186" customWidth="1"/>
    <col min="4620" max="4864" width="9.28515625" style="186"/>
    <col min="4865" max="4865" width="15" style="186" customWidth="1"/>
    <col min="4866" max="4866" width="12.7109375" style="186" customWidth="1"/>
    <col min="4867" max="4867" width="11.7109375" style="186" customWidth="1"/>
    <col min="4868" max="4868" width="44.85546875" style="186" customWidth="1"/>
    <col min="4869" max="4869" width="54.7109375" style="186" customWidth="1"/>
    <col min="4870" max="4870" width="15.28515625" style="186" customWidth="1"/>
    <col min="4871" max="4872" width="19.28515625" style="186" customWidth="1"/>
    <col min="4873" max="4873" width="13.85546875" style="186" customWidth="1"/>
    <col min="4874" max="4874" width="25.28515625" style="186" customWidth="1"/>
    <col min="4875" max="4875" width="16.28515625" style="186" customWidth="1"/>
    <col min="4876" max="5120" width="9.28515625" style="186"/>
    <col min="5121" max="5121" width="15" style="186" customWidth="1"/>
    <col min="5122" max="5122" width="12.7109375" style="186" customWidth="1"/>
    <col min="5123" max="5123" width="11.7109375" style="186" customWidth="1"/>
    <col min="5124" max="5124" width="44.85546875" style="186" customWidth="1"/>
    <col min="5125" max="5125" width="54.7109375" style="186" customWidth="1"/>
    <col min="5126" max="5126" width="15.28515625" style="186" customWidth="1"/>
    <col min="5127" max="5128" width="19.28515625" style="186" customWidth="1"/>
    <col min="5129" max="5129" width="13.85546875" style="186" customWidth="1"/>
    <col min="5130" max="5130" width="25.28515625" style="186" customWidth="1"/>
    <col min="5131" max="5131" width="16.28515625" style="186" customWidth="1"/>
    <col min="5132" max="5376" width="9.28515625" style="186"/>
    <col min="5377" max="5377" width="15" style="186" customWidth="1"/>
    <col min="5378" max="5378" width="12.7109375" style="186" customWidth="1"/>
    <col min="5379" max="5379" width="11.7109375" style="186" customWidth="1"/>
    <col min="5380" max="5380" width="44.85546875" style="186" customWidth="1"/>
    <col min="5381" max="5381" width="54.7109375" style="186" customWidth="1"/>
    <col min="5382" max="5382" width="15.28515625" style="186" customWidth="1"/>
    <col min="5383" max="5384" width="19.28515625" style="186" customWidth="1"/>
    <col min="5385" max="5385" width="13.85546875" style="186" customWidth="1"/>
    <col min="5386" max="5386" width="25.28515625" style="186" customWidth="1"/>
    <col min="5387" max="5387" width="16.28515625" style="186" customWidth="1"/>
    <col min="5388" max="5632" width="9.28515625" style="186"/>
    <col min="5633" max="5633" width="15" style="186" customWidth="1"/>
    <col min="5634" max="5634" width="12.7109375" style="186" customWidth="1"/>
    <col min="5635" max="5635" width="11.7109375" style="186" customWidth="1"/>
    <col min="5636" max="5636" width="44.85546875" style="186" customWidth="1"/>
    <col min="5637" max="5637" width="54.7109375" style="186" customWidth="1"/>
    <col min="5638" max="5638" width="15.28515625" style="186" customWidth="1"/>
    <col min="5639" max="5640" width="19.28515625" style="186" customWidth="1"/>
    <col min="5641" max="5641" width="13.85546875" style="186" customWidth="1"/>
    <col min="5642" max="5642" width="25.28515625" style="186" customWidth="1"/>
    <col min="5643" max="5643" width="16.28515625" style="186" customWidth="1"/>
    <col min="5644" max="5888" width="9.28515625" style="186"/>
    <col min="5889" max="5889" width="15" style="186" customWidth="1"/>
    <col min="5890" max="5890" width="12.7109375" style="186" customWidth="1"/>
    <col min="5891" max="5891" width="11.7109375" style="186" customWidth="1"/>
    <col min="5892" max="5892" width="44.85546875" style="186" customWidth="1"/>
    <col min="5893" max="5893" width="54.7109375" style="186" customWidth="1"/>
    <col min="5894" max="5894" width="15.28515625" style="186" customWidth="1"/>
    <col min="5895" max="5896" width="19.28515625" style="186" customWidth="1"/>
    <col min="5897" max="5897" width="13.85546875" style="186" customWidth="1"/>
    <col min="5898" max="5898" width="25.28515625" style="186" customWidth="1"/>
    <col min="5899" max="5899" width="16.28515625" style="186" customWidth="1"/>
    <col min="5900" max="6144" width="9.28515625" style="186"/>
    <col min="6145" max="6145" width="15" style="186" customWidth="1"/>
    <col min="6146" max="6146" width="12.7109375" style="186" customWidth="1"/>
    <col min="6147" max="6147" width="11.7109375" style="186" customWidth="1"/>
    <col min="6148" max="6148" width="44.85546875" style="186" customWidth="1"/>
    <col min="6149" max="6149" width="54.7109375" style="186" customWidth="1"/>
    <col min="6150" max="6150" width="15.28515625" style="186" customWidth="1"/>
    <col min="6151" max="6152" width="19.28515625" style="186" customWidth="1"/>
    <col min="6153" max="6153" width="13.85546875" style="186" customWidth="1"/>
    <col min="6154" max="6154" width="25.28515625" style="186" customWidth="1"/>
    <col min="6155" max="6155" width="16.28515625" style="186" customWidth="1"/>
    <col min="6156" max="6400" width="9.28515625" style="186"/>
    <col min="6401" max="6401" width="15" style="186" customWidth="1"/>
    <col min="6402" max="6402" width="12.7109375" style="186" customWidth="1"/>
    <col min="6403" max="6403" width="11.7109375" style="186" customWidth="1"/>
    <col min="6404" max="6404" width="44.85546875" style="186" customWidth="1"/>
    <col min="6405" max="6405" width="54.7109375" style="186" customWidth="1"/>
    <col min="6406" max="6406" width="15.28515625" style="186" customWidth="1"/>
    <col min="6407" max="6408" width="19.28515625" style="186" customWidth="1"/>
    <col min="6409" max="6409" width="13.85546875" style="186" customWidth="1"/>
    <col min="6410" max="6410" width="25.28515625" style="186" customWidth="1"/>
    <col min="6411" max="6411" width="16.28515625" style="186" customWidth="1"/>
    <col min="6412" max="6656" width="9.28515625" style="186"/>
    <col min="6657" max="6657" width="15" style="186" customWidth="1"/>
    <col min="6658" max="6658" width="12.7109375" style="186" customWidth="1"/>
    <col min="6659" max="6659" width="11.7109375" style="186" customWidth="1"/>
    <col min="6660" max="6660" width="44.85546875" style="186" customWidth="1"/>
    <col min="6661" max="6661" width="54.7109375" style="186" customWidth="1"/>
    <col min="6662" max="6662" width="15.28515625" style="186" customWidth="1"/>
    <col min="6663" max="6664" width="19.28515625" style="186" customWidth="1"/>
    <col min="6665" max="6665" width="13.85546875" style="186" customWidth="1"/>
    <col min="6666" max="6666" width="25.28515625" style="186" customWidth="1"/>
    <col min="6667" max="6667" width="16.28515625" style="186" customWidth="1"/>
    <col min="6668" max="6912" width="9.28515625" style="186"/>
    <col min="6913" max="6913" width="15" style="186" customWidth="1"/>
    <col min="6914" max="6914" width="12.7109375" style="186" customWidth="1"/>
    <col min="6915" max="6915" width="11.7109375" style="186" customWidth="1"/>
    <col min="6916" max="6916" width="44.85546875" style="186" customWidth="1"/>
    <col min="6917" max="6917" width="54.7109375" style="186" customWidth="1"/>
    <col min="6918" max="6918" width="15.28515625" style="186" customWidth="1"/>
    <col min="6919" max="6920" width="19.28515625" style="186" customWidth="1"/>
    <col min="6921" max="6921" width="13.85546875" style="186" customWidth="1"/>
    <col min="6922" max="6922" width="25.28515625" style="186" customWidth="1"/>
    <col min="6923" max="6923" width="16.28515625" style="186" customWidth="1"/>
    <col min="6924" max="7168" width="9.28515625" style="186"/>
    <col min="7169" max="7169" width="15" style="186" customWidth="1"/>
    <col min="7170" max="7170" width="12.7109375" style="186" customWidth="1"/>
    <col min="7171" max="7171" width="11.7109375" style="186" customWidth="1"/>
    <col min="7172" max="7172" width="44.85546875" style="186" customWidth="1"/>
    <col min="7173" max="7173" width="54.7109375" style="186" customWidth="1"/>
    <col min="7174" max="7174" width="15.28515625" style="186" customWidth="1"/>
    <col min="7175" max="7176" width="19.28515625" style="186" customWidth="1"/>
    <col min="7177" max="7177" width="13.85546875" style="186" customWidth="1"/>
    <col min="7178" max="7178" width="25.28515625" style="186" customWidth="1"/>
    <col min="7179" max="7179" width="16.28515625" style="186" customWidth="1"/>
    <col min="7180" max="7424" width="9.28515625" style="186"/>
    <col min="7425" max="7425" width="15" style="186" customWidth="1"/>
    <col min="7426" max="7426" width="12.7109375" style="186" customWidth="1"/>
    <col min="7427" max="7427" width="11.7109375" style="186" customWidth="1"/>
    <col min="7428" max="7428" width="44.85546875" style="186" customWidth="1"/>
    <col min="7429" max="7429" width="54.7109375" style="186" customWidth="1"/>
    <col min="7430" max="7430" width="15.28515625" style="186" customWidth="1"/>
    <col min="7431" max="7432" width="19.28515625" style="186" customWidth="1"/>
    <col min="7433" max="7433" width="13.85546875" style="186" customWidth="1"/>
    <col min="7434" max="7434" width="25.28515625" style="186" customWidth="1"/>
    <col min="7435" max="7435" width="16.28515625" style="186" customWidth="1"/>
    <col min="7436" max="7680" width="9.28515625" style="186"/>
    <col min="7681" max="7681" width="15" style="186" customWidth="1"/>
    <col min="7682" max="7682" width="12.7109375" style="186" customWidth="1"/>
    <col min="7683" max="7683" width="11.7109375" style="186" customWidth="1"/>
    <col min="7684" max="7684" width="44.85546875" style="186" customWidth="1"/>
    <col min="7685" max="7685" width="54.7109375" style="186" customWidth="1"/>
    <col min="7686" max="7686" width="15.28515625" style="186" customWidth="1"/>
    <col min="7687" max="7688" width="19.28515625" style="186" customWidth="1"/>
    <col min="7689" max="7689" width="13.85546875" style="186" customWidth="1"/>
    <col min="7690" max="7690" width="25.28515625" style="186" customWidth="1"/>
    <col min="7691" max="7691" width="16.28515625" style="186" customWidth="1"/>
    <col min="7692" max="7936" width="9.28515625" style="186"/>
    <col min="7937" max="7937" width="15" style="186" customWidth="1"/>
    <col min="7938" max="7938" width="12.7109375" style="186" customWidth="1"/>
    <col min="7939" max="7939" width="11.7109375" style="186" customWidth="1"/>
    <col min="7940" max="7940" width="44.85546875" style="186" customWidth="1"/>
    <col min="7941" max="7941" width="54.7109375" style="186" customWidth="1"/>
    <col min="7942" max="7942" width="15.28515625" style="186" customWidth="1"/>
    <col min="7943" max="7944" width="19.28515625" style="186" customWidth="1"/>
    <col min="7945" max="7945" width="13.85546875" style="186" customWidth="1"/>
    <col min="7946" max="7946" width="25.28515625" style="186" customWidth="1"/>
    <col min="7947" max="7947" width="16.28515625" style="186" customWidth="1"/>
    <col min="7948" max="8192" width="9.28515625" style="186"/>
    <col min="8193" max="8193" width="15" style="186" customWidth="1"/>
    <col min="8194" max="8194" width="12.7109375" style="186" customWidth="1"/>
    <col min="8195" max="8195" width="11.7109375" style="186" customWidth="1"/>
    <col min="8196" max="8196" width="44.85546875" style="186" customWidth="1"/>
    <col min="8197" max="8197" width="54.7109375" style="186" customWidth="1"/>
    <col min="8198" max="8198" width="15.28515625" style="186" customWidth="1"/>
    <col min="8199" max="8200" width="19.28515625" style="186" customWidth="1"/>
    <col min="8201" max="8201" width="13.85546875" style="186" customWidth="1"/>
    <col min="8202" max="8202" width="25.28515625" style="186" customWidth="1"/>
    <col min="8203" max="8203" width="16.28515625" style="186" customWidth="1"/>
    <col min="8204" max="8448" width="9.28515625" style="186"/>
    <col min="8449" max="8449" width="15" style="186" customWidth="1"/>
    <col min="8450" max="8450" width="12.7109375" style="186" customWidth="1"/>
    <col min="8451" max="8451" width="11.7109375" style="186" customWidth="1"/>
    <col min="8452" max="8452" width="44.85546875" style="186" customWidth="1"/>
    <col min="8453" max="8453" width="54.7109375" style="186" customWidth="1"/>
    <col min="8454" max="8454" width="15.28515625" style="186" customWidth="1"/>
    <col min="8455" max="8456" width="19.28515625" style="186" customWidth="1"/>
    <col min="8457" max="8457" width="13.85546875" style="186" customWidth="1"/>
    <col min="8458" max="8458" width="25.28515625" style="186" customWidth="1"/>
    <col min="8459" max="8459" width="16.28515625" style="186" customWidth="1"/>
    <col min="8460" max="8704" width="9.28515625" style="186"/>
    <col min="8705" max="8705" width="15" style="186" customWidth="1"/>
    <col min="8706" max="8706" width="12.7109375" style="186" customWidth="1"/>
    <col min="8707" max="8707" width="11.7109375" style="186" customWidth="1"/>
    <col min="8708" max="8708" width="44.85546875" style="186" customWidth="1"/>
    <col min="8709" max="8709" width="54.7109375" style="186" customWidth="1"/>
    <col min="8710" max="8710" width="15.28515625" style="186" customWidth="1"/>
    <col min="8711" max="8712" width="19.28515625" style="186" customWidth="1"/>
    <col min="8713" max="8713" width="13.85546875" style="186" customWidth="1"/>
    <col min="8714" max="8714" width="25.28515625" style="186" customWidth="1"/>
    <col min="8715" max="8715" width="16.28515625" style="186" customWidth="1"/>
    <col min="8716" max="8960" width="9.28515625" style="186"/>
    <col min="8961" max="8961" width="15" style="186" customWidth="1"/>
    <col min="8962" max="8962" width="12.7109375" style="186" customWidth="1"/>
    <col min="8963" max="8963" width="11.7109375" style="186" customWidth="1"/>
    <col min="8964" max="8964" width="44.85546875" style="186" customWidth="1"/>
    <col min="8965" max="8965" width="54.7109375" style="186" customWidth="1"/>
    <col min="8966" max="8966" width="15.28515625" style="186" customWidth="1"/>
    <col min="8967" max="8968" width="19.28515625" style="186" customWidth="1"/>
    <col min="8969" max="8969" width="13.85546875" style="186" customWidth="1"/>
    <col min="8970" max="8970" width="25.28515625" style="186" customWidth="1"/>
    <col min="8971" max="8971" width="16.28515625" style="186" customWidth="1"/>
    <col min="8972" max="9216" width="9.28515625" style="186"/>
    <col min="9217" max="9217" width="15" style="186" customWidth="1"/>
    <col min="9218" max="9218" width="12.7109375" style="186" customWidth="1"/>
    <col min="9219" max="9219" width="11.7109375" style="186" customWidth="1"/>
    <col min="9220" max="9220" width="44.85546875" style="186" customWidth="1"/>
    <col min="9221" max="9221" width="54.7109375" style="186" customWidth="1"/>
    <col min="9222" max="9222" width="15.28515625" style="186" customWidth="1"/>
    <col min="9223" max="9224" width="19.28515625" style="186" customWidth="1"/>
    <col min="9225" max="9225" width="13.85546875" style="186" customWidth="1"/>
    <col min="9226" max="9226" width="25.28515625" style="186" customWidth="1"/>
    <col min="9227" max="9227" width="16.28515625" style="186" customWidth="1"/>
    <col min="9228" max="9472" width="9.28515625" style="186"/>
    <col min="9473" max="9473" width="15" style="186" customWidth="1"/>
    <col min="9474" max="9474" width="12.7109375" style="186" customWidth="1"/>
    <col min="9475" max="9475" width="11.7109375" style="186" customWidth="1"/>
    <col min="9476" max="9476" width="44.85546875" style="186" customWidth="1"/>
    <col min="9477" max="9477" width="54.7109375" style="186" customWidth="1"/>
    <col min="9478" max="9478" width="15.28515625" style="186" customWidth="1"/>
    <col min="9479" max="9480" width="19.28515625" style="186" customWidth="1"/>
    <col min="9481" max="9481" width="13.85546875" style="186" customWidth="1"/>
    <col min="9482" max="9482" width="25.28515625" style="186" customWidth="1"/>
    <col min="9483" max="9483" width="16.28515625" style="186" customWidth="1"/>
    <col min="9484" max="9728" width="9.28515625" style="186"/>
    <col min="9729" max="9729" width="15" style="186" customWidth="1"/>
    <col min="9730" max="9730" width="12.7109375" style="186" customWidth="1"/>
    <col min="9731" max="9731" width="11.7109375" style="186" customWidth="1"/>
    <col min="9732" max="9732" width="44.85546875" style="186" customWidth="1"/>
    <col min="9733" max="9733" width="54.7109375" style="186" customWidth="1"/>
    <col min="9734" max="9734" width="15.28515625" style="186" customWidth="1"/>
    <col min="9735" max="9736" width="19.28515625" style="186" customWidth="1"/>
    <col min="9737" max="9737" width="13.85546875" style="186" customWidth="1"/>
    <col min="9738" max="9738" width="25.28515625" style="186" customWidth="1"/>
    <col min="9739" max="9739" width="16.28515625" style="186" customWidth="1"/>
    <col min="9740" max="9984" width="9.28515625" style="186"/>
    <col min="9985" max="9985" width="15" style="186" customWidth="1"/>
    <col min="9986" max="9986" width="12.7109375" style="186" customWidth="1"/>
    <col min="9987" max="9987" width="11.7109375" style="186" customWidth="1"/>
    <col min="9988" max="9988" width="44.85546875" style="186" customWidth="1"/>
    <col min="9989" max="9989" width="54.7109375" style="186" customWidth="1"/>
    <col min="9990" max="9990" width="15.28515625" style="186" customWidth="1"/>
    <col min="9991" max="9992" width="19.28515625" style="186" customWidth="1"/>
    <col min="9993" max="9993" width="13.85546875" style="186" customWidth="1"/>
    <col min="9994" max="9994" width="25.28515625" style="186" customWidth="1"/>
    <col min="9995" max="9995" width="16.28515625" style="186" customWidth="1"/>
    <col min="9996" max="10240" width="9.28515625" style="186"/>
    <col min="10241" max="10241" width="15" style="186" customWidth="1"/>
    <col min="10242" max="10242" width="12.7109375" style="186" customWidth="1"/>
    <col min="10243" max="10243" width="11.7109375" style="186" customWidth="1"/>
    <col min="10244" max="10244" width="44.85546875" style="186" customWidth="1"/>
    <col min="10245" max="10245" width="54.7109375" style="186" customWidth="1"/>
    <col min="10246" max="10246" width="15.28515625" style="186" customWidth="1"/>
    <col min="10247" max="10248" width="19.28515625" style="186" customWidth="1"/>
    <col min="10249" max="10249" width="13.85546875" style="186" customWidth="1"/>
    <col min="10250" max="10250" width="25.28515625" style="186" customWidth="1"/>
    <col min="10251" max="10251" width="16.28515625" style="186" customWidth="1"/>
    <col min="10252" max="10496" width="9.28515625" style="186"/>
    <col min="10497" max="10497" width="15" style="186" customWidth="1"/>
    <col min="10498" max="10498" width="12.7109375" style="186" customWidth="1"/>
    <col min="10499" max="10499" width="11.7109375" style="186" customWidth="1"/>
    <col min="10500" max="10500" width="44.85546875" style="186" customWidth="1"/>
    <col min="10501" max="10501" width="54.7109375" style="186" customWidth="1"/>
    <col min="10502" max="10502" width="15.28515625" style="186" customWidth="1"/>
    <col min="10503" max="10504" width="19.28515625" style="186" customWidth="1"/>
    <col min="10505" max="10505" width="13.85546875" style="186" customWidth="1"/>
    <col min="10506" max="10506" width="25.28515625" style="186" customWidth="1"/>
    <col min="10507" max="10507" width="16.28515625" style="186" customWidth="1"/>
    <col min="10508" max="10752" width="9.28515625" style="186"/>
    <col min="10753" max="10753" width="15" style="186" customWidth="1"/>
    <col min="10754" max="10754" width="12.7109375" style="186" customWidth="1"/>
    <col min="10755" max="10755" width="11.7109375" style="186" customWidth="1"/>
    <col min="10756" max="10756" width="44.85546875" style="186" customWidth="1"/>
    <col min="10757" max="10757" width="54.7109375" style="186" customWidth="1"/>
    <col min="10758" max="10758" width="15.28515625" style="186" customWidth="1"/>
    <col min="10759" max="10760" width="19.28515625" style="186" customWidth="1"/>
    <col min="10761" max="10761" width="13.85546875" style="186" customWidth="1"/>
    <col min="10762" max="10762" width="25.28515625" style="186" customWidth="1"/>
    <col min="10763" max="10763" width="16.28515625" style="186" customWidth="1"/>
    <col min="10764" max="11008" width="9.28515625" style="186"/>
    <col min="11009" max="11009" width="15" style="186" customWidth="1"/>
    <col min="11010" max="11010" width="12.7109375" style="186" customWidth="1"/>
    <col min="11011" max="11011" width="11.7109375" style="186" customWidth="1"/>
    <col min="11012" max="11012" width="44.85546875" style="186" customWidth="1"/>
    <col min="11013" max="11013" width="54.7109375" style="186" customWidth="1"/>
    <col min="11014" max="11014" width="15.28515625" style="186" customWidth="1"/>
    <col min="11015" max="11016" width="19.28515625" style="186" customWidth="1"/>
    <col min="11017" max="11017" width="13.85546875" style="186" customWidth="1"/>
    <col min="11018" max="11018" width="25.28515625" style="186" customWidth="1"/>
    <col min="11019" max="11019" width="16.28515625" style="186" customWidth="1"/>
    <col min="11020" max="11264" width="9.28515625" style="186"/>
    <col min="11265" max="11265" width="15" style="186" customWidth="1"/>
    <col min="11266" max="11266" width="12.7109375" style="186" customWidth="1"/>
    <col min="11267" max="11267" width="11.7109375" style="186" customWidth="1"/>
    <col min="11268" max="11268" width="44.85546875" style="186" customWidth="1"/>
    <col min="11269" max="11269" width="54.7109375" style="186" customWidth="1"/>
    <col min="11270" max="11270" width="15.28515625" style="186" customWidth="1"/>
    <col min="11271" max="11272" width="19.28515625" style="186" customWidth="1"/>
    <col min="11273" max="11273" width="13.85546875" style="186" customWidth="1"/>
    <col min="11274" max="11274" width="25.28515625" style="186" customWidth="1"/>
    <col min="11275" max="11275" width="16.28515625" style="186" customWidth="1"/>
    <col min="11276" max="11520" width="9.28515625" style="186"/>
    <col min="11521" max="11521" width="15" style="186" customWidth="1"/>
    <col min="11522" max="11522" width="12.7109375" style="186" customWidth="1"/>
    <col min="11523" max="11523" width="11.7109375" style="186" customWidth="1"/>
    <col min="11524" max="11524" width="44.85546875" style="186" customWidth="1"/>
    <col min="11525" max="11525" width="54.7109375" style="186" customWidth="1"/>
    <col min="11526" max="11526" width="15.28515625" style="186" customWidth="1"/>
    <col min="11527" max="11528" width="19.28515625" style="186" customWidth="1"/>
    <col min="11529" max="11529" width="13.85546875" style="186" customWidth="1"/>
    <col min="11530" max="11530" width="25.28515625" style="186" customWidth="1"/>
    <col min="11531" max="11531" width="16.28515625" style="186" customWidth="1"/>
    <col min="11532" max="11776" width="9.28515625" style="186"/>
    <col min="11777" max="11777" width="15" style="186" customWidth="1"/>
    <col min="11778" max="11778" width="12.7109375" style="186" customWidth="1"/>
    <col min="11779" max="11779" width="11.7109375" style="186" customWidth="1"/>
    <col min="11780" max="11780" width="44.85546875" style="186" customWidth="1"/>
    <col min="11781" max="11781" width="54.7109375" style="186" customWidth="1"/>
    <col min="11782" max="11782" width="15.28515625" style="186" customWidth="1"/>
    <col min="11783" max="11784" width="19.28515625" style="186" customWidth="1"/>
    <col min="11785" max="11785" width="13.85546875" style="186" customWidth="1"/>
    <col min="11786" max="11786" width="25.28515625" style="186" customWidth="1"/>
    <col min="11787" max="11787" width="16.28515625" style="186" customWidth="1"/>
    <col min="11788" max="12032" width="9.28515625" style="186"/>
    <col min="12033" max="12033" width="15" style="186" customWidth="1"/>
    <col min="12034" max="12034" width="12.7109375" style="186" customWidth="1"/>
    <col min="12035" max="12035" width="11.7109375" style="186" customWidth="1"/>
    <col min="12036" max="12036" width="44.85546875" style="186" customWidth="1"/>
    <col min="12037" max="12037" width="54.7109375" style="186" customWidth="1"/>
    <col min="12038" max="12038" width="15.28515625" style="186" customWidth="1"/>
    <col min="12039" max="12040" width="19.28515625" style="186" customWidth="1"/>
    <col min="12041" max="12041" width="13.85546875" style="186" customWidth="1"/>
    <col min="12042" max="12042" width="25.28515625" style="186" customWidth="1"/>
    <col min="12043" max="12043" width="16.28515625" style="186" customWidth="1"/>
    <col min="12044" max="12288" width="9.28515625" style="186"/>
    <col min="12289" max="12289" width="15" style="186" customWidth="1"/>
    <col min="12290" max="12290" width="12.7109375" style="186" customWidth="1"/>
    <col min="12291" max="12291" width="11.7109375" style="186" customWidth="1"/>
    <col min="12292" max="12292" width="44.85546875" style="186" customWidth="1"/>
    <col min="12293" max="12293" width="54.7109375" style="186" customWidth="1"/>
    <col min="12294" max="12294" width="15.28515625" style="186" customWidth="1"/>
    <col min="12295" max="12296" width="19.28515625" style="186" customWidth="1"/>
    <col min="12297" max="12297" width="13.85546875" style="186" customWidth="1"/>
    <col min="12298" max="12298" width="25.28515625" style="186" customWidth="1"/>
    <col min="12299" max="12299" width="16.28515625" style="186" customWidth="1"/>
    <col min="12300" max="12544" width="9.28515625" style="186"/>
    <col min="12545" max="12545" width="15" style="186" customWidth="1"/>
    <col min="12546" max="12546" width="12.7109375" style="186" customWidth="1"/>
    <col min="12547" max="12547" width="11.7109375" style="186" customWidth="1"/>
    <col min="12548" max="12548" width="44.85546875" style="186" customWidth="1"/>
    <col min="12549" max="12549" width="54.7109375" style="186" customWidth="1"/>
    <col min="12550" max="12550" width="15.28515625" style="186" customWidth="1"/>
    <col min="12551" max="12552" width="19.28515625" style="186" customWidth="1"/>
    <col min="12553" max="12553" width="13.85546875" style="186" customWidth="1"/>
    <col min="12554" max="12554" width="25.28515625" style="186" customWidth="1"/>
    <col min="12555" max="12555" width="16.28515625" style="186" customWidth="1"/>
    <col min="12556" max="12800" width="9.28515625" style="186"/>
    <col min="12801" max="12801" width="15" style="186" customWidth="1"/>
    <col min="12802" max="12802" width="12.7109375" style="186" customWidth="1"/>
    <col min="12803" max="12803" width="11.7109375" style="186" customWidth="1"/>
    <col min="12804" max="12804" width="44.85546875" style="186" customWidth="1"/>
    <col min="12805" max="12805" width="54.7109375" style="186" customWidth="1"/>
    <col min="12806" max="12806" width="15.28515625" style="186" customWidth="1"/>
    <col min="12807" max="12808" width="19.28515625" style="186" customWidth="1"/>
    <col min="12809" max="12809" width="13.85546875" style="186" customWidth="1"/>
    <col min="12810" max="12810" width="25.28515625" style="186" customWidth="1"/>
    <col min="12811" max="12811" width="16.28515625" style="186" customWidth="1"/>
    <col min="12812" max="13056" width="9.28515625" style="186"/>
    <col min="13057" max="13057" width="15" style="186" customWidth="1"/>
    <col min="13058" max="13058" width="12.7109375" style="186" customWidth="1"/>
    <col min="13059" max="13059" width="11.7109375" style="186" customWidth="1"/>
    <col min="13060" max="13060" width="44.85546875" style="186" customWidth="1"/>
    <col min="13061" max="13061" width="54.7109375" style="186" customWidth="1"/>
    <col min="13062" max="13062" width="15.28515625" style="186" customWidth="1"/>
    <col min="13063" max="13064" width="19.28515625" style="186" customWidth="1"/>
    <col min="13065" max="13065" width="13.85546875" style="186" customWidth="1"/>
    <col min="13066" max="13066" width="25.28515625" style="186" customWidth="1"/>
    <col min="13067" max="13067" width="16.28515625" style="186" customWidth="1"/>
    <col min="13068" max="13312" width="9.28515625" style="186"/>
    <col min="13313" max="13313" width="15" style="186" customWidth="1"/>
    <col min="13314" max="13314" width="12.7109375" style="186" customWidth="1"/>
    <col min="13315" max="13315" width="11.7109375" style="186" customWidth="1"/>
    <col min="13316" max="13316" width="44.85546875" style="186" customWidth="1"/>
    <col min="13317" max="13317" width="54.7109375" style="186" customWidth="1"/>
    <col min="13318" max="13318" width="15.28515625" style="186" customWidth="1"/>
    <col min="13319" max="13320" width="19.28515625" style="186" customWidth="1"/>
    <col min="13321" max="13321" width="13.85546875" style="186" customWidth="1"/>
    <col min="13322" max="13322" width="25.28515625" style="186" customWidth="1"/>
    <col min="13323" max="13323" width="16.28515625" style="186" customWidth="1"/>
    <col min="13324" max="13568" width="9.28515625" style="186"/>
    <col min="13569" max="13569" width="15" style="186" customWidth="1"/>
    <col min="13570" max="13570" width="12.7109375" style="186" customWidth="1"/>
    <col min="13571" max="13571" width="11.7109375" style="186" customWidth="1"/>
    <col min="13572" max="13572" width="44.85546875" style="186" customWidth="1"/>
    <col min="13573" max="13573" width="54.7109375" style="186" customWidth="1"/>
    <col min="13574" max="13574" width="15.28515625" style="186" customWidth="1"/>
    <col min="13575" max="13576" width="19.28515625" style="186" customWidth="1"/>
    <col min="13577" max="13577" width="13.85546875" style="186" customWidth="1"/>
    <col min="13578" max="13578" width="25.28515625" style="186" customWidth="1"/>
    <col min="13579" max="13579" width="16.28515625" style="186" customWidth="1"/>
    <col min="13580" max="13824" width="9.28515625" style="186"/>
    <col min="13825" max="13825" width="15" style="186" customWidth="1"/>
    <col min="13826" max="13826" width="12.7109375" style="186" customWidth="1"/>
    <col min="13827" max="13827" width="11.7109375" style="186" customWidth="1"/>
    <col min="13828" max="13828" width="44.85546875" style="186" customWidth="1"/>
    <col min="13829" max="13829" width="54.7109375" style="186" customWidth="1"/>
    <col min="13830" max="13830" width="15.28515625" style="186" customWidth="1"/>
    <col min="13831" max="13832" width="19.28515625" style="186" customWidth="1"/>
    <col min="13833" max="13833" width="13.85546875" style="186" customWidth="1"/>
    <col min="13834" max="13834" width="25.28515625" style="186" customWidth="1"/>
    <col min="13835" max="13835" width="16.28515625" style="186" customWidth="1"/>
    <col min="13836" max="14080" width="9.28515625" style="186"/>
    <col min="14081" max="14081" width="15" style="186" customWidth="1"/>
    <col min="14082" max="14082" width="12.7109375" style="186" customWidth="1"/>
    <col min="14083" max="14083" width="11.7109375" style="186" customWidth="1"/>
    <col min="14084" max="14084" width="44.85546875" style="186" customWidth="1"/>
    <col min="14085" max="14085" width="54.7109375" style="186" customWidth="1"/>
    <col min="14086" max="14086" width="15.28515625" style="186" customWidth="1"/>
    <col min="14087" max="14088" width="19.28515625" style="186" customWidth="1"/>
    <col min="14089" max="14089" width="13.85546875" style="186" customWidth="1"/>
    <col min="14090" max="14090" width="25.28515625" style="186" customWidth="1"/>
    <col min="14091" max="14091" width="16.28515625" style="186" customWidth="1"/>
    <col min="14092" max="14336" width="9.28515625" style="186"/>
    <col min="14337" max="14337" width="15" style="186" customWidth="1"/>
    <col min="14338" max="14338" width="12.7109375" style="186" customWidth="1"/>
    <col min="14339" max="14339" width="11.7109375" style="186" customWidth="1"/>
    <col min="14340" max="14340" width="44.85546875" style="186" customWidth="1"/>
    <col min="14341" max="14341" width="54.7109375" style="186" customWidth="1"/>
    <col min="14342" max="14342" width="15.28515625" style="186" customWidth="1"/>
    <col min="14343" max="14344" width="19.28515625" style="186" customWidth="1"/>
    <col min="14345" max="14345" width="13.85546875" style="186" customWidth="1"/>
    <col min="14346" max="14346" width="25.28515625" style="186" customWidth="1"/>
    <col min="14347" max="14347" width="16.28515625" style="186" customWidth="1"/>
    <col min="14348" max="14592" width="9.28515625" style="186"/>
    <col min="14593" max="14593" width="15" style="186" customWidth="1"/>
    <col min="14594" max="14594" width="12.7109375" style="186" customWidth="1"/>
    <col min="14595" max="14595" width="11.7109375" style="186" customWidth="1"/>
    <col min="14596" max="14596" width="44.85546875" style="186" customWidth="1"/>
    <col min="14597" max="14597" width="54.7109375" style="186" customWidth="1"/>
    <col min="14598" max="14598" width="15.28515625" style="186" customWidth="1"/>
    <col min="14599" max="14600" width="19.28515625" style="186" customWidth="1"/>
    <col min="14601" max="14601" width="13.85546875" style="186" customWidth="1"/>
    <col min="14602" max="14602" width="25.28515625" style="186" customWidth="1"/>
    <col min="14603" max="14603" width="16.28515625" style="186" customWidth="1"/>
    <col min="14604" max="14848" width="9.28515625" style="186"/>
    <col min="14849" max="14849" width="15" style="186" customWidth="1"/>
    <col min="14850" max="14850" width="12.7109375" style="186" customWidth="1"/>
    <col min="14851" max="14851" width="11.7109375" style="186" customWidth="1"/>
    <col min="14852" max="14852" width="44.85546875" style="186" customWidth="1"/>
    <col min="14853" max="14853" width="54.7109375" style="186" customWidth="1"/>
    <col min="14854" max="14854" width="15.28515625" style="186" customWidth="1"/>
    <col min="14855" max="14856" width="19.28515625" style="186" customWidth="1"/>
    <col min="14857" max="14857" width="13.85546875" style="186" customWidth="1"/>
    <col min="14858" max="14858" width="25.28515625" style="186" customWidth="1"/>
    <col min="14859" max="14859" width="16.28515625" style="186" customWidth="1"/>
    <col min="14860" max="15104" width="9.28515625" style="186"/>
    <col min="15105" max="15105" width="15" style="186" customWidth="1"/>
    <col min="15106" max="15106" width="12.7109375" style="186" customWidth="1"/>
    <col min="15107" max="15107" width="11.7109375" style="186" customWidth="1"/>
    <col min="15108" max="15108" width="44.85546875" style="186" customWidth="1"/>
    <col min="15109" max="15109" width="54.7109375" style="186" customWidth="1"/>
    <col min="15110" max="15110" width="15.28515625" style="186" customWidth="1"/>
    <col min="15111" max="15112" width="19.28515625" style="186" customWidth="1"/>
    <col min="15113" max="15113" width="13.85546875" style="186" customWidth="1"/>
    <col min="15114" max="15114" width="25.28515625" style="186" customWidth="1"/>
    <col min="15115" max="15115" width="16.28515625" style="186" customWidth="1"/>
    <col min="15116" max="15360" width="9.28515625" style="186"/>
    <col min="15361" max="15361" width="15" style="186" customWidth="1"/>
    <col min="15362" max="15362" width="12.7109375" style="186" customWidth="1"/>
    <col min="15363" max="15363" width="11.7109375" style="186" customWidth="1"/>
    <col min="15364" max="15364" width="44.85546875" style="186" customWidth="1"/>
    <col min="15365" max="15365" width="54.7109375" style="186" customWidth="1"/>
    <col min="15366" max="15366" width="15.28515625" style="186" customWidth="1"/>
    <col min="15367" max="15368" width="19.28515625" style="186" customWidth="1"/>
    <col min="15369" max="15369" width="13.85546875" style="186" customWidth="1"/>
    <col min="15370" max="15370" width="25.28515625" style="186" customWidth="1"/>
    <col min="15371" max="15371" width="16.28515625" style="186" customWidth="1"/>
    <col min="15372" max="15616" width="9.28515625" style="186"/>
    <col min="15617" max="15617" width="15" style="186" customWidth="1"/>
    <col min="15618" max="15618" width="12.7109375" style="186" customWidth="1"/>
    <col min="15619" max="15619" width="11.7109375" style="186" customWidth="1"/>
    <col min="15620" max="15620" width="44.85546875" style="186" customWidth="1"/>
    <col min="15621" max="15621" width="54.7109375" style="186" customWidth="1"/>
    <col min="15622" max="15622" width="15.28515625" style="186" customWidth="1"/>
    <col min="15623" max="15624" width="19.28515625" style="186" customWidth="1"/>
    <col min="15625" max="15625" width="13.85546875" style="186" customWidth="1"/>
    <col min="15626" max="15626" width="25.28515625" style="186" customWidth="1"/>
    <col min="15627" max="15627" width="16.28515625" style="186" customWidth="1"/>
    <col min="15628" max="15872" width="9.28515625" style="186"/>
    <col min="15873" max="15873" width="15" style="186" customWidth="1"/>
    <col min="15874" max="15874" width="12.7109375" style="186" customWidth="1"/>
    <col min="15875" max="15875" width="11.7109375" style="186" customWidth="1"/>
    <col min="15876" max="15876" width="44.85546875" style="186" customWidth="1"/>
    <col min="15877" max="15877" width="54.7109375" style="186" customWidth="1"/>
    <col min="15878" max="15878" width="15.28515625" style="186" customWidth="1"/>
    <col min="15879" max="15880" width="19.28515625" style="186" customWidth="1"/>
    <col min="15881" max="15881" width="13.85546875" style="186" customWidth="1"/>
    <col min="15882" max="15882" width="25.28515625" style="186" customWidth="1"/>
    <col min="15883" max="15883" width="16.28515625" style="186" customWidth="1"/>
    <col min="15884" max="16128" width="9.28515625" style="186"/>
    <col min="16129" max="16129" width="15" style="186" customWidth="1"/>
    <col min="16130" max="16130" width="12.7109375" style="186" customWidth="1"/>
    <col min="16131" max="16131" width="11.7109375" style="186" customWidth="1"/>
    <col min="16132" max="16132" width="44.85546875" style="186" customWidth="1"/>
    <col min="16133" max="16133" width="54.7109375" style="186" customWidth="1"/>
    <col min="16134" max="16134" width="15.28515625" style="186" customWidth="1"/>
    <col min="16135" max="16136" width="19.28515625" style="186" customWidth="1"/>
    <col min="16137" max="16137" width="13.85546875" style="186" customWidth="1"/>
    <col min="16138" max="16138" width="25.28515625" style="186" customWidth="1"/>
    <col min="16139" max="16139" width="16.28515625" style="186" customWidth="1"/>
    <col min="16140" max="16384" width="9.28515625" style="186"/>
  </cols>
  <sheetData>
    <row r="1" spans="7:11" ht="22.9" customHeight="1" x14ac:dyDescent="0.25">
      <c r="I1" s="558" t="s">
        <v>446</v>
      </c>
      <c r="J1" s="581"/>
    </row>
    <row r="2" spans="7:11" s="11" customFormat="1" ht="15.75" x14ac:dyDescent="0.25">
      <c r="I2" s="558" t="s">
        <v>388</v>
      </c>
      <c r="J2" s="581"/>
    </row>
    <row r="3" spans="7:11" s="11" customFormat="1" ht="15.75" x14ac:dyDescent="0.25">
      <c r="I3" s="559" t="s">
        <v>548</v>
      </c>
      <c r="J3" s="582"/>
    </row>
    <row r="4" spans="7:11" s="11" customFormat="1" ht="15.75" x14ac:dyDescent="0.25">
      <c r="I4" s="561" t="s">
        <v>526</v>
      </c>
      <c r="J4" s="583"/>
    </row>
    <row r="5" spans="7:11" s="11" customFormat="1" ht="15.75" x14ac:dyDescent="0.25">
      <c r="I5" s="825" t="s">
        <v>447</v>
      </c>
      <c r="J5" s="825"/>
    </row>
    <row r="6" spans="7:11" s="11" customFormat="1" x14ac:dyDescent="0.25"/>
    <row r="7" spans="7:11" ht="15.75" x14ac:dyDescent="0.25">
      <c r="I7" s="565" t="s">
        <v>506</v>
      </c>
      <c r="J7" s="4"/>
    </row>
    <row r="8" spans="7:11" ht="15.75" x14ac:dyDescent="0.25">
      <c r="I8" s="565" t="s">
        <v>389</v>
      </c>
      <c r="J8" s="4"/>
    </row>
    <row r="9" spans="7:11" ht="15.75" x14ac:dyDescent="0.25">
      <c r="I9" s="733" t="s">
        <v>8</v>
      </c>
      <c r="J9" s="733"/>
      <c r="K9" s="733"/>
    </row>
    <row r="10" spans="7:11" ht="15.75" x14ac:dyDescent="0.25">
      <c r="I10" s="733" t="s">
        <v>324</v>
      </c>
      <c r="J10" s="733"/>
      <c r="K10" s="733"/>
    </row>
    <row r="11" spans="7:11" ht="15.75" x14ac:dyDescent="0.25">
      <c r="I11" s="438" t="s">
        <v>508</v>
      </c>
      <c r="J11" s="7"/>
    </row>
    <row r="12" spans="7:11" ht="15.75" x14ac:dyDescent="0.25">
      <c r="I12" s="6" t="s">
        <v>408</v>
      </c>
      <c r="J12" s="439"/>
    </row>
    <row r="13" spans="7:11" ht="15.75" x14ac:dyDescent="0.25">
      <c r="I13" s="717" t="s">
        <v>507</v>
      </c>
      <c r="J13" s="717"/>
    </row>
    <row r="14" spans="7:11" ht="14.1" customHeight="1" x14ac:dyDescent="0.25">
      <c r="G14" s="190"/>
      <c r="H14" s="190"/>
      <c r="I14" s="56"/>
      <c r="K14" s="186"/>
    </row>
    <row r="15" spans="7:11" ht="18.600000000000001" customHeight="1" x14ac:dyDescent="0.25">
      <c r="G15" s="190"/>
      <c r="H15" s="190"/>
      <c r="I15" s="56"/>
      <c r="K15" s="186"/>
    </row>
    <row r="16" spans="7:11" ht="15.75" x14ac:dyDescent="0.25">
      <c r="G16" s="190"/>
      <c r="H16" s="190"/>
      <c r="I16" s="440"/>
      <c r="K16" s="186"/>
    </row>
    <row r="17" spans="1:11" ht="27" customHeight="1" x14ac:dyDescent="0.25">
      <c r="A17" s="826" t="s">
        <v>353</v>
      </c>
      <c r="B17" s="826"/>
      <c r="C17" s="826"/>
      <c r="D17" s="826"/>
      <c r="E17" s="826"/>
      <c r="F17" s="826"/>
      <c r="G17" s="826"/>
      <c r="H17" s="826"/>
      <c r="I17" s="826"/>
      <c r="J17" s="826"/>
      <c r="K17" s="826"/>
    </row>
    <row r="18" spans="1:11" ht="28.35" customHeight="1" x14ac:dyDescent="0.25">
      <c r="A18" s="827">
        <v>1559100000</v>
      </c>
      <c r="B18" s="827"/>
      <c r="C18" s="827"/>
      <c r="D18" s="828"/>
      <c r="E18" s="828"/>
      <c r="F18" s="828"/>
      <c r="G18" s="828"/>
      <c r="H18" s="828"/>
      <c r="I18" s="828"/>
      <c r="J18" s="828"/>
      <c r="K18" s="828"/>
    </row>
    <row r="19" spans="1:11" ht="22.15" customHeight="1" thickBot="1" x14ac:dyDescent="0.3">
      <c r="A19" s="790" t="s">
        <v>0</v>
      </c>
      <c r="B19" s="790"/>
      <c r="C19" s="790"/>
      <c r="D19" s="183"/>
      <c r="E19" s="183"/>
      <c r="F19" s="193"/>
      <c r="G19" s="183"/>
      <c r="H19" s="183"/>
      <c r="I19" s="183"/>
      <c r="J19" s="183"/>
      <c r="K19" s="194" t="s">
        <v>1</v>
      </c>
    </row>
    <row r="20" spans="1:11" s="56" customFormat="1" ht="77.25" customHeight="1" x14ac:dyDescent="0.25">
      <c r="A20" s="829" t="s">
        <v>10</v>
      </c>
      <c r="B20" s="831" t="s">
        <v>11</v>
      </c>
      <c r="C20" s="833" t="s">
        <v>168</v>
      </c>
      <c r="D20" s="831" t="s">
        <v>169</v>
      </c>
      <c r="E20" s="833" t="s">
        <v>467</v>
      </c>
      <c r="F20" s="831" t="s">
        <v>170</v>
      </c>
      <c r="G20" s="833" t="s">
        <v>171</v>
      </c>
      <c r="H20" s="835" t="s">
        <v>172</v>
      </c>
      <c r="I20" s="831" t="s">
        <v>173</v>
      </c>
      <c r="J20" s="835" t="s">
        <v>174</v>
      </c>
      <c r="K20" s="791" t="s">
        <v>175</v>
      </c>
    </row>
    <row r="21" spans="1:11" s="56" customFormat="1" ht="157.9" customHeight="1" thickBot="1" x14ac:dyDescent="0.3">
      <c r="A21" s="830"/>
      <c r="B21" s="832"/>
      <c r="C21" s="834"/>
      <c r="D21" s="832"/>
      <c r="E21" s="834"/>
      <c r="F21" s="832"/>
      <c r="G21" s="834"/>
      <c r="H21" s="836"/>
      <c r="I21" s="832"/>
      <c r="J21" s="836"/>
      <c r="K21" s="792"/>
    </row>
    <row r="22" spans="1:11" s="199" customFormat="1" ht="24" customHeight="1" thickBot="1" x14ac:dyDescent="0.3">
      <c r="A22" s="195" t="s">
        <v>176</v>
      </c>
      <c r="B22" s="184" t="s">
        <v>177</v>
      </c>
      <c r="C22" s="196" t="s">
        <v>178</v>
      </c>
      <c r="D22" s="184" t="s">
        <v>211</v>
      </c>
      <c r="E22" s="184" t="s">
        <v>179</v>
      </c>
      <c r="F22" s="184" t="s">
        <v>180</v>
      </c>
      <c r="G22" s="184" t="s">
        <v>181</v>
      </c>
      <c r="H22" s="196" t="s">
        <v>182</v>
      </c>
      <c r="I22" s="196" t="s">
        <v>183</v>
      </c>
      <c r="J22" s="197">
        <v>10</v>
      </c>
      <c r="K22" s="198">
        <v>11</v>
      </c>
    </row>
    <row r="23" spans="1:11" s="199" customFormat="1" ht="64.150000000000006" customHeight="1" thickBot="1" x14ac:dyDescent="0.3">
      <c r="A23" s="99" t="s">
        <v>15</v>
      </c>
      <c r="B23" s="200"/>
      <c r="C23" s="201"/>
      <c r="D23" s="514" t="s">
        <v>397</v>
      </c>
      <c r="E23" s="100"/>
      <c r="F23" s="101"/>
      <c r="G23" s="102"/>
      <c r="H23" s="103"/>
      <c r="I23" s="103"/>
      <c r="J23" s="104">
        <f>J24</f>
        <v>7412103</v>
      </c>
      <c r="K23" s="105"/>
    </row>
    <row r="24" spans="1:11" s="199" customFormat="1" ht="60" customHeight="1" x14ac:dyDescent="0.25">
      <c r="A24" s="106" t="s">
        <v>17</v>
      </c>
      <c r="B24" s="202"/>
      <c r="C24" s="202"/>
      <c r="D24" s="441" t="s">
        <v>354</v>
      </c>
      <c r="E24" s="107"/>
      <c r="F24" s="108"/>
      <c r="G24" s="109"/>
      <c r="H24" s="110"/>
      <c r="I24" s="110"/>
      <c r="J24" s="111">
        <f>SUM(J25:J35)</f>
        <v>7412103</v>
      </c>
      <c r="K24" s="112"/>
    </row>
    <row r="25" spans="1:11" s="199" customFormat="1" ht="54" customHeight="1" x14ac:dyDescent="0.25">
      <c r="A25" s="513" t="s">
        <v>19</v>
      </c>
      <c r="B25" s="442" t="s">
        <v>20</v>
      </c>
      <c r="C25" s="442" t="s">
        <v>21</v>
      </c>
      <c r="D25" s="443" t="s">
        <v>22</v>
      </c>
      <c r="E25" s="444" t="s">
        <v>355</v>
      </c>
      <c r="F25" s="350"/>
      <c r="G25" s="216"/>
      <c r="H25" s="216"/>
      <c r="I25" s="216"/>
      <c r="J25" s="249">
        <v>1548687</v>
      </c>
      <c r="K25" s="377"/>
    </row>
    <row r="26" spans="1:11" s="199" customFormat="1" ht="71.45" customHeight="1" x14ac:dyDescent="0.25">
      <c r="A26" s="513" t="s">
        <v>23</v>
      </c>
      <c r="B26" s="442" t="s">
        <v>24</v>
      </c>
      <c r="C26" s="383" t="s">
        <v>25</v>
      </c>
      <c r="D26" s="445" t="s">
        <v>26</v>
      </c>
      <c r="E26" s="444" t="s">
        <v>355</v>
      </c>
      <c r="F26" s="350"/>
      <c r="G26" s="216"/>
      <c r="H26" s="216"/>
      <c r="I26" s="216"/>
      <c r="J26" s="249">
        <f>173298</f>
        <v>173298</v>
      </c>
      <c r="K26" s="377"/>
    </row>
    <row r="27" spans="1:11" s="199" customFormat="1" ht="64.150000000000006" customHeight="1" x14ac:dyDescent="0.25">
      <c r="A27" s="513" t="s">
        <v>30</v>
      </c>
      <c r="B27" s="442" t="s">
        <v>31</v>
      </c>
      <c r="C27" s="383" t="s">
        <v>32</v>
      </c>
      <c r="D27" s="445" t="s">
        <v>545</v>
      </c>
      <c r="E27" s="248" t="s">
        <v>184</v>
      </c>
      <c r="F27" s="350"/>
      <c r="G27" s="216"/>
      <c r="H27" s="216"/>
      <c r="I27" s="216"/>
      <c r="J27" s="249">
        <v>657194</v>
      </c>
      <c r="K27" s="377"/>
    </row>
    <row r="28" spans="1:11" s="199" customFormat="1" ht="71.25" customHeight="1" x14ac:dyDescent="0.25">
      <c r="A28" s="382" t="s">
        <v>295</v>
      </c>
      <c r="B28" s="383">
        <v>7650</v>
      </c>
      <c r="C28" s="383" t="s">
        <v>227</v>
      </c>
      <c r="D28" s="445" t="s">
        <v>296</v>
      </c>
      <c r="E28" s="444" t="s">
        <v>302</v>
      </c>
      <c r="F28" s="350"/>
      <c r="G28" s="216"/>
      <c r="H28" s="216"/>
      <c r="I28" s="216"/>
      <c r="J28" s="249">
        <v>57000</v>
      </c>
      <c r="K28" s="377"/>
    </row>
    <row r="29" spans="1:11" s="199" customFormat="1" ht="99.75" customHeight="1" x14ac:dyDescent="0.25">
      <c r="A29" s="382" t="s">
        <v>297</v>
      </c>
      <c r="B29" s="383" t="s">
        <v>298</v>
      </c>
      <c r="C29" s="383" t="s">
        <v>227</v>
      </c>
      <c r="D29" s="445" t="s">
        <v>299</v>
      </c>
      <c r="E29" s="444" t="s">
        <v>302</v>
      </c>
      <c r="F29" s="350"/>
      <c r="G29" s="216"/>
      <c r="H29" s="216"/>
      <c r="I29" s="216"/>
      <c r="J29" s="249">
        <v>15200</v>
      </c>
      <c r="K29" s="377"/>
    </row>
    <row r="30" spans="1:11" s="199" customFormat="1" ht="54" hidden="1" customHeight="1" x14ac:dyDescent="0.25">
      <c r="A30" s="382" t="s">
        <v>468</v>
      </c>
      <c r="B30" s="447"/>
      <c r="C30" s="383" t="s">
        <v>469</v>
      </c>
      <c r="D30" s="448" t="s">
        <v>356</v>
      </c>
      <c r="E30" s="449"/>
      <c r="F30" s="372"/>
      <c r="G30" s="450"/>
      <c r="H30" s="450"/>
      <c r="I30" s="450"/>
      <c r="J30" s="364">
        <f>J31</f>
        <v>0</v>
      </c>
      <c r="K30" s="451"/>
    </row>
    <row r="31" spans="1:11" s="199" customFormat="1" ht="43.5" hidden="1" customHeight="1" thickBot="1" x14ac:dyDescent="0.3">
      <c r="A31" s="382" t="s">
        <v>470</v>
      </c>
      <c r="B31" s="360" t="s">
        <v>16</v>
      </c>
      <c r="C31" s="383" t="s">
        <v>471</v>
      </c>
      <c r="D31" s="453" t="s">
        <v>356</v>
      </c>
      <c r="E31" s="205"/>
      <c r="F31" s="211"/>
      <c r="G31" s="454"/>
      <c r="H31" s="454"/>
      <c r="I31" s="454"/>
      <c r="J31" s="365">
        <f>J32+J33</f>
        <v>0</v>
      </c>
      <c r="K31" s="455"/>
    </row>
    <row r="32" spans="1:11" s="199" customFormat="1" ht="45.75" hidden="1" customHeight="1" x14ac:dyDescent="0.25">
      <c r="A32" s="382" t="s">
        <v>472</v>
      </c>
      <c r="B32" s="383" t="s">
        <v>45</v>
      </c>
      <c r="C32" s="383" t="s">
        <v>473</v>
      </c>
      <c r="D32" s="456" t="s">
        <v>47</v>
      </c>
      <c r="E32" s="248" t="s">
        <v>184</v>
      </c>
      <c r="F32" s="457"/>
      <c r="G32" s="458"/>
      <c r="H32" s="458"/>
      <c r="I32" s="458"/>
      <c r="J32" s="249"/>
      <c r="K32" s="459"/>
    </row>
    <row r="33" spans="1:11" s="199" customFormat="1" ht="102" hidden="1" customHeight="1" x14ac:dyDescent="0.25">
      <c r="A33" s="683" t="s">
        <v>474</v>
      </c>
      <c r="B33" s="568" t="s">
        <v>357</v>
      </c>
      <c r="C33" s="684" t="s">
        <v>475</v>
      </c>
      <c r="D33" s="460" t="s">
        <v>358</v>
      </c>
      <c r="E33" s="363" t="s">
        <v>184</v>
      </c>
      <c r="F33" s="461"/>
      <c r="G33" s="462"/>
      <c r="H33" s="462"/>
      <c r="I33" s="462"/>
      <c r="J33" s="370"/>
      <c r="K33" s="463"/>
    </row>
    <row r="34" spans="1:11" s="199" customFormat="1" ht="81.599999999999994" customHeight="1" x14ac:dyDescent="0.25">
      <c r="A34" s="383" t="s">
        <v>432</v>
      </c>
      <c r="B34" s="383" t="s">
        <v>476</v>
      </c>
      <c r="C34" s="383" t="s">
        <v>36</v>
      </c>
      <c r="D34" s="445" t="s">
        <v>433</v>
      </c>
      <c r="E34" s="248" t="s">
        <v>184</v>
      </c>
      <c r="F34" s="350"/>
      <c r="G34" s="216"/>
      <c r="H34" s="216"/>
      <c r="I34" s="216"/>
      <c r="J34" s="249">
        <v>400444</v>
      </c>
      <c r="K34" s="594"/>
    </row>
    <row r="35" spans="1:11" s="199" customFormat="1" ht="79.900000000000006" customHeight="1" thickBot="1" x14ac:dyDescent="0.3">
      <c r="A35" s="700" t="s">
        <v>530</v>
      </c>
      <c r="B35" s="569" t="s">
        <v>546</v>
      </c>
      <c r="C35" s="569"/>
      <c r="D35" s="445" t="s">
        <v>531</v>
      </c>
      <c r="E35" s="590" t="s">
        <v>547</v>
      </c>
      <c r="F35" s="346"/>
      <c r="G35" s="347"/>
      <c r="H35" s="347"/>
      <c r="I35" s="347"/>
      <c r="J35" s="348">
        <v>4560280</v>
      </c>
      <c r="K35" s="349"/>
    </row>
    <row r="36" spans="1:11" s="664" customFormat="1" ht="61.9" customHeight="1" thickBot="1" x14ac:dyDescent="0.3">
      <c r="A36" s="113" t="s">
        <v>41</v>
      </c>
      <c r="B36" s="591"/>
      <c r="C36" s="591"/>
      <c r="D36" s="699" t="s">
        <v>477</v>
      </c>
      <c r="E36" s="355"/>
      <c r="F36" s="356"/>
      <c r="G36" s="357"/>
      <c r="H36" s="357"/>
      <c r="I36" s="357"/>
      <c r="J36" s="364">
        <f>J37</f>
        <v>1932143</v>
      </c>
      <c r="K36" s="358"/>
    </row>
    <row r="37" spans="1:11" s="665" customFormat="1" ht="48" customHeight="1" x14ac:dyDescent="0.25">
      <c r="A37" s="204" t="s">
        <v>41</v>
      </c>
      <c r="B37" s="592"/>
      <c r="C37" s="592"/>
      <c r="D37" s="701" t="s">
        <v>477</v>
      </c>
      <c r="E37" s="366"/>
      <c r="F37" s="209"/>
      <c r="G37" s="367"/>
      <c r="H37" s="367"/>
      <c r="I37" s="367"/>
      <c r="J37" s="365">
        <f>J38+J39</f>
        <v>1932143</v>
      </c>
      <c r="K37" s="593"/>
    </row>
    <row r="38" spans="1:11" s="664" customFormat="1" ht="138" customHeight="1" x14ac:dyDescent="0.25">
      <c r="A38" s="383" t="s">
        <v>434</v>
      </c>
      <c r="B38" s="383" t="s">
        <v>478</v>
      </c>
      <c r="C38" s="383" t="s">
        <v>56</v>
      </c>
      <c r="D38" s="702" t="s">
        <v>436</v>
      </c>
      <c r="E38" s="702" t="s">
        <v>184</v>
      </c>
      <c r="F38" s="350"/>
      <c r="G38" s="216"/>
      <c r="H38" s="216"/>
      <c r="I38" s="216"/>
      <c r="J38" s="249">
        <v>579643</v>
      </c>
      <c r="K38" s="594"/>
    </row>
    <row r="39" spans="1:11" s="664" customFormat="1" ht="133.9" customHeight="1" x14ac:dyDescent="0.25">
      <c r="A39" s="383" t="s">
        <v>435</v>
      </c>
      <c r="B39" s="383" t="s">
        <v>479</v>
      </c>
      <c r="C39" s="383" t="s">
        <v>56</v>
      </c>
      <c r="D39" s="702" t="s">
        <v>437</v>
      </c>
      <c r="E39" s="702" t="s">
        <v>184</v>
      </c>
      <c r="F39" s="350"/>
      <c r="G39" s="216"/>
      <c r="H39" s="216"/>
      <c r="I39" s="216"/>
      <c r="J39" s="249">
        <v>1352500</v>
      </c>
      <c r="K39" s="594"/>
    </row>
    <row r="40" spans="1:11" s="199" customFormat="1" ht="66" customHeight="1" thickBot="1" x14ac:dyDescent="0.3">
      <c r="A40" s="595" t="s">
        <v>67</v>
      </c>
      <c r="B40" s="596" t="s">
        <v>16</v>
      </c>
      <c r="C40" s="596" t="s">
        <v>16</v>
      </c>
      <c r="D40" s="597" t="s">
        <v>359</v>
      </c>
      <c r="E40" s="598"/>
      <c r="F40" s="599"/>
      <c r="G40" s="600"/>
      <c r="H40" s="600"/>
      <c r="I40" s="600"/>
      <c r="J40" s="601">
        <f>J41</f>
        <v>92800</v>
      </c>
      <c r="K40" s="602"/>
    </row>
    <row r="41" spans="1:11" s="199" customFormat="1" ht="56.25" x14ac:dyDescent="0.25">
      <c r="A41" s="359" t="s">
        <v>68</v>
      </c>
      <c r="B41" s="360" t="s">
        <v>16</v>
      </c>
      <c r="C41" s="360" t="s">
        <v>16</v>
      </c>
      <c r="D41" s="453" t="s">
        <v>359</v>
      </c>
      <c r="E41" s="353"/>
      <c r="F41" s="208"/>
      <c r="G41" s="354"/>
      <c r="H41" s="354"/>
      <c r="I41" s="354"/>
      <c r="J41" s="365">
        <f>J43+J44</f>
        <v>92800</v>
      </c>
      <c r="K41" s="378"/>
    </row>
    <row r="42" spans="1:11" s="199" customFormat="1" ht="66" hidden="1" customHeight="1" x14ac:dyDescent="0.25">
      <c r="A42" s="344" t="s">
        <v>237</v>
      </c>
      <c r="B42" s="345" t="s">
        <v>43</v>
      </c>
      <c r="C42" s="345" t="s">
        <v>18</v>
      </c>
      <c r="D42" s="445" t="s">
        <v>231</v>
      </c>
      <c r="E42" s="248" t="s">
        <v>184</v>
      </c>
      <c r="F42" s="350"/>
      <c r="G42" s="216"/>
      <c r="H42" s="216"/>
      <c r="I42" s="216"/>
      <c r="J42" s="249"/>
      <c r="K42" s="377"/>
    </row>
    <row r="43" spans="1:11" s="199" customFormat="1" ht="56.25" customHeight="1" x14ac:dyDescent="0.25">
      <c r="A43" s="361" t="s">
        <v>238</v>
      </c>
      <c r="B43" s="362" t="s">
        <v>239</v>
      </c>
      <c r="C43" s="362" t="s">
        <v>45</v>
      </c>
      <c r="D43" s="465" t="s">
        <v>240</v>
      </c>
      <c r="E43" s="466" t="s">
        <v>184</v>
      </c>
      <c r="F43" s="346"/>
      <c r="G43" s="347"/>
      <c r="H43" s="347"/>
      <c r="I43" s="347"/>
      <c r="J43" s="348">
        <v>58000</v>
      </c>
      <c r="K43" s="349"/>
    </row>
    <row r="44" spans="1:11" s="199" customFormat="1" ht="99" customHeight="1" thickBot="1" x14ac:dyDescent="0.3">
      <c r="A44" s="567" t="s">
        <v>244</v>
      </c>
      <c r="B44" s="362">
        <v>3241</v>
      </c>
      <c r="C44" s="362">
        <v>1090</v>
      </c>
      <c r="D44" s="465" t="s">
        <v>414</v>
      </c>
      <c r="E44" s="466" t="s">
        <v>184</v>
      </c>
      <c r="F44" s="461"/>
      <c r="G44" s="462"/>
      <c r="H44" s="462"/>
      <c r="I44" s="462"/>
      <c r="J44" s="370">
        <v>34800</v>
      </c>
      <c r="K44" s="463"/>
    </row>
    <row r="45" spans="1:11" s="199" customFormat="1" ht="66" customHeight="1" thickBot="1" x14ac:dyDescent="0.3">
      <c r="A45" s="446" t="s">
        <v>77</v>
      </c>
      <c r="B45" s="352" t="s">
        <v>16</v>
      </c>
      <c r="C45" s="352" t="s">
        <v>16</v>
      </c>
      <c r="D45" s="464" t="s">
        <v>509</v>
      </c>
      <c r="E45" s="355"/>
      <c r="F45" s="356"/>
      <c r="G45" s="357"/>
      <c r="H45" s="357"/>
      <c r="I45" s="357"/>
      <c r="J45" s="364">
        <f>J46</f>
        <v>23000</v>
      </c>
      <c r="K45" s="358"/>
    </row>
    <row r="46" spans="1:11" s="199" customFormat="1" ht="56.25" x14ac:dyDescent="0.25">
      <c r="A46" s="452" t="s">
        <v>79</v>
      </c>
      <c r="B46" s="360" t="s">
        <v>16</v>
      </c>
      <c r="C46" s="360" t="s">
        <v>16</v>
      </c>
      <c r="D46" s="453" t="s">
        <v>509</v>
      </c>
      <c r="E46" s="353"/>
      <c r="F46" s="208"/>
      <c r="G46" s="354"/>
      <c r="H46" s="354"/>
      <c r="I46" s="354"/>
      <c r="J46" s="365">
        <f>J48</f>
        <v>23000</v>
      </c>
      <c r="K46" s="378"/>
    </row>
    <row r="47" spans="1:11" s="199" customFormat="1" ht="66" hidden="1" customHeight="1" x14ac:dyDescent="0.25">
      <c r="A47" s="382" t="s">
        <v>237</v>
      </c>
      <c r="B47" s="345" t="s">
        <v>43</v>
      </c>
      <c r="C47" s="345" t="s">
        <v>18</v>
      </c>
      <c r="D47" s="445" t="s">
        <v>231</v>
      </c>
      <c r="E47" s="248" t="s">
        <v>184</v>
      </c>
      <c r="F47" s="350"/>
      <c r="G47" s="216"/>
      <c r="H47" s="216"/>
      <c r="I47" s="216"/>
      <c r="J47" s="249"/>
      <c r="K47" s="377"/>
    </row>
    <row r="48" spans="1:11" s="199" customFormat="1" ht="56.25" customHeight="1" thickBot="1" x14ac:dyDescent="0.3">
      <c r="A48" s="382" t="s">
        <v>246</v>
      </c>
      <c r="B48" s="383" t="s">
        <v>43</v>
      </c>
      <c r="C48" s="383" t="s">
        <v>18</v>
      </c>
      <c r="D48" s="445" t="s">
        <v>231</v>
      </c>
      <c r="E48" s="444" t="s">
        <v>184</v>
      </c>
      <c r="F48" s="350"/>
      <c r="G48" s="216"/>
      <c r="H48" s="216"/>
      <c r="I48" s="216"/>
      <c r="J48" s="249">
        <v>23000</v>
      </c>
      <c r="K48" s="377"/>
    </row>
    <row r="49" spans="1:13" s="199" customFormat="1" ht="72" customHeight="1" thickBot="1" x14ac:dyDescent="0.3">
      <c r="A49" s="351" t="s">
        <v>83</v>
      </c>
      <c r="B49" s="352" t="s">
        <v>16</v>
      </c>
      <c r="C49" s="352" t="s">
        <v>16</v>
      </c>
      <c r="D49" s="464" t="s">
        <v>529</v>
      </c>
      <c r="E49" s="355"/>
      <c r="F49" s="356"/>
      <c r="G49" s="357"/>
      <c r="H49" s="357"/>
      <c r="I49" s="357"/>
      <c r="J49" s="364">
        <f>J50</f>
        <v>66262</v>
      </c>
      <c r="K49" s="358"/>
    </row>
    <row r="50" spans="1:13" s="199" customFormat="1" ht="75" x14ac:dyDescent="0.25">
      <c r="A50" s="359" t="s">
        <v>85</v>
      </c>
      <c r="B50" s="360" t="s">
        <v>16</v>
      </c>
      <c r="C50" s="360" t="s">
        <v>16</v>
      </c>
      <c r="D50" s="453" t="s">
        <v>529</v>
      </c>
      <c r="E50" s="366"/>
      <c r="F50" s="209"/>
      <c r="G50" s="367"/>
      <c r="H50" s="367"/>
      <c r="I50" s="367"/>
      <c r="J50" s="365">
        <f>J51+J52</f>
        <v>66262</v>
      </c>
      <c r="K50" s="379"/>
    </row>
    <row r="51" spans="1:13" s="199" customFormat="1" ht="52.9" customHeight="1" x14ac:dyDescent="0.25">
      <c r="A51" s="344" t="s">
        <v>92</v>
      </c>
      <c r="B51" s="345" t="s">
        <v>93</v>
      </c>
      <c r="C51" s="345" t="s">
        <v>94</v>
      </c>
      <c r="D51" s="445" t="s">
        <v>95</v>
      </c>
      <c r="E51" s="248" t="s">
        <v>184</v>
      </c>
      <c r="F51" s="368"/>
      <c r="G51" s="369"/>
      <c r="H51" s="369"/>
      <c r="I51" s="369"/>
      <c r="J51" s="249">
        <v>43262</v>
      </c>
      <c r="K51" s="380"/>
    </row>
    <row r="52" spans="1:13" s="199" customFormat="1" ht="49.9" customHeight="1" thickBot="1" x14ac:dyDescent="0.3">
      <c r="A52" s="344" t="s">
        <v>96</v>
      </c>
      <c r="B52" s="345" t="s">
        <v>97</v>
      </c>
      <c r="C52" s="345" t="s">
        <v>94</v>
      </c>
      <c r="D52" s="445" t="s">
        <v>98</v>
      </c>
      <c r="E52" s="248" t="s">
        <v>184</v>
      </c>
      <c r="F52" s="368"/>
      <c r="G52" s="369"/>
      <c r="H52" s="369"/>
      <c r="I52" s="369"/>
      <c r="J52" s="249">
        <v>23000</v>
      </c>
      <c r="K52" s="380"/>
    </row>
    <row r="53" spans="1:13" s="199" customFormat="1" ht="72.599999999999994" customHeight="1" thickBot="1" x14ac:dyDescent="0.3">
      <c r="A53" s="113" t="s">
        <v>119</v>
      </c>
      <c r="B53" s="200"/>
      <c r="C53" s="200"/>
      <c r="D53" s="515" t="s">
        <v>120</v>
      </c>
      <c r="E53" s="231"/>
      <c r="F53" s="101"/>
      <c r="G53" s="114"/>
      <c r="H53" s="114"/>
      <c r="I53" s="114"/>
      <c r="J53" s="115">
        <f>J54</f>
        <v>2296426</v>
      </c>
      <c r="K53" s="105"/>
    </row>
    <row r="54" spans="1:13" s="199" customFormat="1" ht="77.25" customHeight="1" x14ac:dyDescent="0.25">
      <c r="A54" s="203" t="s">
        <v>121</v>
      </c>
      <c r="B54" s="204"/>
      <c r="C54" s="204"/>
      <c r="D54" s="467" t="s">
        <v>480</v>
      </c>
      <c r="E54" s="205"/>
      <c r="F54" s="206"/>
      <c r="G54" s="207"/>
      <c r="H54" s="207"/>
      <c r="I54" s="207"/>
      <c r="J54" s="116">
        <f>SUM(J55:J56)</f>
        <v>2296426</v>
      </c>
      <c r="K54" s="117"/>
    </row>
    <row r="55" spans="1:13" s="199" customFormat="1" ht="60.75" customHeight="1" x14ac:dyDescent="0.25">
      <c r="A55" s="376" t="s">
        <v>360</v>
      </c>
      <c r="B55" s="442" t="s">
        <v>361</v>
      </c>
      <c r="C55" s="442" t="s">
        <v>28</v>
      </c>
      <c r="D55" s="443" t="s">
        <v>337</v>
      </c>
      <c r="E55" s="444" t="s">
        <v>355</v>
      </c>
      <c r="F55" s="468"/>
      <c r="G55" s="469"/>
      <c r="H55" s="469"/>
      <c r="I55" s="469"/>
      <c r="J55" s="249">
        <v>1835036</v>
      </c>
      <c r="K55" s="470"/>
    </row>
    <row r="56" spans="1:13" s="199" customFormat="1" ht="45" customHeight="1" thickBot="1" x14ac:dyDescent="0.3">
      <c r="A56" s="471" t="s">
        <v>130</v>
      </c>
      <c r="B56" s="472" t="s">
        <v>27</v>
      </c>
      <c r="C56" s="472" t="s">
        <v>28</v>
      </c>
      <c r="D56" s="443" t="s">
        <v>29</v>
      </c>
      <c r="E56" s="444" t="s">
        <v>355</v>
      </c>
      <c r="F56" s="473"/>
      <c r="G56" s="474"/>
      <c r="H56" s="474"/>
      <c r="I56" s="474"/>
      <c r="J56" s="475">
        <v>461390</v>
      </c>
      <c r="K56" s="476"/>
    </row>
    <row r="57" spans="1:13" s="483" customFormat="1" ht="64.5" customHeight="1" thickBot="1" x14ac:dyDescent="0.3">
      <c r="A57" s="477" t="s">
        <v>139</v>
      </c>
      <c r="B57" s="478"/>
      <c r="C57" s="478"/>
      <c r="D57" s="516" t="s">
        <v>438</v>
      </c>
      <c r="E57" s="479"/>
      <c r="F57" s="478"/>
      <c r="G57" s="480"/>
      <c r="H57" s="480"/>
      <c r="I57" s="480"/>
      <c r="J57" s="481">
        <f>J58</f>
        <v>36289935</v>
      </c>
      <c r="K57" s="482"/>
    </row>
    <row r="58" spans="1:13" s="199" customFormat="1" ht="57.75" customHeight="1" x14ac:dyDescent="0.25">
      <c r="A58" s="203" t="s">
        <v>140</v>
      </c>
      <c r="B58" s="208"/>
      <c r="C58" s="209"/>
      <c r="D58" s="484" t="s">
        <v>362</v>
      </c>
      <c r="E58" s="210"/>
      <c r="F58" s="211"/>
      <c r="G58" s="212"/>
      <c r="H58" s="212"/>
      <c r="I58" s="212"/>
      <c r="J58" s="212">
        <f>J72+J87+J59+J61+J63+J64+J65+J66+J70+J78+J79+J80+J84+J85+J86</f>
        <v>36289935</v>
      </c>
      <c r="K58" s="213"/>
    </row>
    <row r="59" spans="1:13" s="199" customFormat="1" ht="302.45" customHeight="1" x14ac:dyDescent="0.25">
      <c r="A59" s="793" t="s">
        <v>481</v>
      </c>
      <c r="B59" s="786" t="s">
        <v>49</v>
      </c>
      <c r="C59" s="786" t="s">
        <v>50</v>
      </c>
      <c r="D59" s="788" t="s">
        <v>439</v>
      </c>
      <c r="E59" s="603" t="s">
        <v>482</v>
      </c>
      <c r="F59" s="788" t="s">
        <v>483</v>
      </c>
      <c r="G59" s="604">
        <v>3702670</v>
      </c>
      <c r="H59" s="605">
        <f>'[1]2024'!$I$15+'[1]2024'!$I$18</f>
        <v>1070190.22</v>
      </c>
      <c r="I59" s="606">
        <f>H59/G59</f>
        <v>0.28903202823908153</v>
      </c>
      <c r="J59" s="605">
        <f>2450256+43034+10265</f>
        <v>2503555</v>
      </c>
      <c r="K59" s="606">
        <v>1</v>
      </c>
    </row>
    <row r="60" spans="1:13" s="199" customFormat="1" ht="37.9" customHeight="1" x14ac:dyDescent="0.25">
      <c r="A60" s="794"/>
      <c r="B60" s="787"/>
      <c r="C60" s="787"/>
      <c r="D60" s="789"/>
      <c r="E60" s="607" t="s">
        <v>364</v>
      </c>
      <c r="F60" s="789"/>
      <c r="G60" s="608">
        <v>264411</v>
      </c>
      <c r="H60" s="609">
        <f>234332.96</f>
        <v>234332.96</v>
      </c>
      <c r="I60" s="610">
        <v>1</v>
      </c>
      <c r="J60" s="611"/>
      <c r="K60" s="610">
        <v>1</v>
      </c>
    </row>
    <row r="61" spans="1:13" s="666" customFormat="1" ht="220.15" customHeight="1" x14ac:dyDescent="0.25">
      <c r="A61" s="793" t="s">
        <v>481</v>
      </c>
      <c r="B61" s="786" t="s">
        <v>49</v>
      </c>
      <c r="C61" s="786" t="s">
        <v>50</v>
      </c>
      <c r="D61" s="788" t="s">
        <v>439</v>
      </c>
      <c r="E61" s="612" t="s">
        <v>484</v>
      </c>
      <c r="F61" s="788" t="s">
        <v>485</v>
      </c>
      <c r="G61" s="613">
        <v>23825333</v>
      </c>
      <c r="H61" s="605">
        <f>'[1]2024'!$I$11+'[1]2024'!$I$13+H62</f>
        <v>6575752.0599999996</v>
      </c>
      <c r="I61" s="606">
        <f>H61/G61</f>
        <v>0.27599832749452019</v>
      </c>
      <c r="J61" s="605">
        <f>15048608+194696+62711</f>
        <v>15306015</v>
      </c>
      <c r="K61" s="606">
        <v>1</v>
      </c>
      <c r="L61" s="199"/>
      <c r="M61" s="199"/>
    </row>
    <row r="62" spans="1:13" s="666" customFormat="1" ht="36.75" customHeight="1" x14ac:dyDescent="0.25">
      <c r="A62" s="794"/>
      <c r="B62" s="787"/>
      <c r="C62" s="787"/>
      <c r="D62" s="789"/>
      <c r="E62" s="614" t="s">
        <v>303</v>
      </c>
      <c r="F62" s="789"/>
      <c r="G62" s="615">
        <v>1675846</v>
      </c>
      <c r="H62" s="609">
        <f>274112.37+1201312.3</f>
        <v>1475424.67</v>
      </c>
      <c r="I62" s="610">
        <v>1</v>
      </c>
      <c r="J62" s="616"/>
      <c r="K62" s="610">
        <v>1</v>
      </c>
      <c r="L62" s="199"/>
      <c r="M62" s="199"/>
    </row>
    <row r="63" spans="1:13" s="666" customFormat="1" ht="251.45" customHeight="1" x14ac:dyDescent="0.25">
      <c r="A63" s="617" t="s">
        <v>481</v>
      </c>
      <c r="B63" s="618" t="s">
        <v>49</v>
      </c>
      <c r="C63" s="618" t="s">
        <v>50</v>
      </c>
      <c r="D63" s="619" t="s">
        <v>439</v>
      </c>
      <c r="E63" s="612" t="s">
        <v>486</v>
      </c>
      <c r="F63" s="619" t="s">
        <v>487</v>
      </c>
      <c r="G63" s="613">
        <v>248082</v>
      </c>
      <c r="H63" s="605">
        <v>0</v>
      </c>
      <c r="I63" s="606">
        <v>0</v>
      </c>
      <c r="J63" s="605">
        <v>248082</v>
      </c>
      <c r="K63" s="606">
        <v>1</v>
      </c>
      <c r="L63" s="199"/>
      <c r="M63" s="199"/>
    </row>
    <row r="64" spans="1:13" s="666" customFormat="1" ht="235.9" customHeight="1" x14ac:dyDescent="0.25">
      <c r="A64" s="620" t="s">
        <v>481</v>
      </c>
      <c r="B64" s="621" t="s">
        <v>49</v>
      </c>
      <c r="C64" s="621" t="s">
        <v>50</v>
      </c>
      <c r="D64" s="616" t="s">
        <v>439</v>
      </c>
      <c r="E64" s="622" t="s">
        <v>488</v>
      </c>
      <c r="F64" s="616" t="s">
        <v>487</v>
      </c>
      <c r="G64" s="623">
        <v>1486740</v>
      </c>
      <c r="H64" s="605">
        <v>0</v>
      </c>
      <c r="I64" s="606">
        <f>H64/G64</f>
        <v>0</v>
      </c>
      <c r="J64" s="605">
        <v>1486740</v>
      </c>
      <c r="K64" s="606">
        <v>1</v>
      </c>
      <c r="L64" s="199"/>
      <c r="M64" s="199"/>
    </row>
    <row r="65" spans="1:24" s="671" customFormat="1" ht="131.25" customHeight="1" x14ac:dyDescent="0.3">
      <c r="A65" s="624" t="s">
        <v>464</v>
      </c>
      <c r="B65" s="624" t="s">
        <v>465</v>
      </c>
      <c r="C65" s="624" t="s">
        <v>282</v>
      </c>
      <c r="D65" s="625" t="s">
        <v>489</v>
      </c>
      <c r="E65" s="626" t="s">
        <v>490</v>
      </c>
      <c r="F65" s="627" t="s">
        <v>487</v>
      </c>
      <c r="G65" s="605">
        <v>173444</v>
      </c>
      <c r="H65" s="605">
        <v>0</v>
      </c>
      <c r="I65" s="606">
        <v>0</v>
      </c>
      <c r="J65" s="628">
        <v>173444</v>
      </c>
      <c r="K65" s="606">
        <v>1</v>
      </c>
      <c r="L65" s="483"/>
      <c r="M65" s="667"/>
      <c r="N65" s="668"/>
      <c r="O65" s="668"/>
      <c r="P65" s="668"/>
      <c r="Q65" s="668"/>
      <c r="R65" s="668"/>
      <c r="S65" s="668"/>
      <c r="T65" s="669"/>
      <c r="U65" s="669"/>
      <c r="V65" s="670"/>
      <c r="W65" s="669"/>
      <c r="X65" s="669"/>
    </row>
    <row r="66" spans="1:24" s="666" customFormat="1" ht="177" customHeight="1" x14ac:dyDescent="0.25">
      <c r="A66" s="795">
        <v>1516012</v>
      </c>
      <c r="B66" s="795">
        <v>6012</v>
      </c>
      <c r="C66" s="786" t="s">
        <v>28</v>
      </c>
      <c r="D66" s="799" t="s">
        <v>287</v>
      </c>
      <c r="E66" s="629" t="s">
        <v>491</v>
      </c>
      <c r="F66" s="795" t="s">
        <v>492</v>
      </c>
      <c r="G66" s="628">
        <v>14745012</v>
      </c>
      <c r="H66" s="605">
        <v>14166274.949999999</v>
      </c>
      <c r="I66" s="606">
        <v>0.99</v>
      </c>
      <c r="J66" s="630">
        <v>45000</v>
      </c>
      <c r="K66" s="631">
        <v>1</v>
      </c>
      <c r="L66" s="483"/>
      <c r="M66" s="199"/>
      <c r="N66" s="199"/>
      <c r="O66" s="672"/>
      <c r="P66" s="672"/>
      <c r="Q66" s="672"/>
      <c r="R66" s="672"/>
      <c r="S66" s="672"/>
      <c r="T66" s="672"/>
      <c r="U66" s="672"/>
      <c r="V66" s="672"/>
    </row>
    <row r="67" spans="1:24" s="666" customFormat="1" ht="33" customHeight="1" x14ac:dyDescent="0.25">
      <c r="A67" s="796"/>
      <c r="B67" s="796"/>
      <c r="C67" s="798"/>
      <c r="D67" s="800"/>
      <c r="E67" s="607" t="s">
        <v>493</v>
      </c>
      <c r="F67" s="796"/>
      <c r="G67" s="632">
        <f>280375.62</f>
        <v>280375.62</v>
      </c>
      <c r="H67" s="632">
        <f>280375.62</f>
        <v>280375.62</v>
      </c>
      <c r="I67" s="610">
        <v>1</v>
      </c>
      <c r="J67" s="634"/>
      <c r="K67" s="635">
        <v>1</v>
      </c>
      <c r="L67" s="483"/>
      <c r="M67" s="506"/>
      <c r="N67" s="199"/>
      <c r="O67" s="672"/>
      <c r="P67" s="672"/>
      <c r="Q67" s="672"/>
      <c r="R67" s="672"/>
      <c r="S67" s="672"/>
      <c r="T67" s="672"/>
      <c r="U67" s="672"/>
      <c r="V67" s="672"/>
    </row>
    <row r="68" spans="1:24" s="666" customFormat="1" ht="33" customHeight="1" x14ac:dyDescent="0.25">
      <c r="A68" s="796"/>
      <c r="B68" s="796"/>
      <c r="C68" s="798"/>
      <c r="D68" s="800"/>
      <c r="E68" s="607" t="s">
        <v>494</v>
      </c>
      <c r="F68" s="796"/>
      <c r="G68" s="632">
        <v>269445</v>
      </c>
      <c r="H68" s="632">
        <v>269445</v>
      </c>
      <c r="I68" s="610">
        <v>1</v>
      </c>
      <c r="J68" s="634"/>
      <c r="K68" s="635">
        <v>1</v>
      </c>
      <c r="L68" s="186"/>
      <c r="M68" s="483"/>
      <c r="N68" s="199"/>
      <c r="O68" s="672"/>
      <c r="P68" s="672"/>
      <c r="Q68" s="672"/>
      <c r="R68" s="672"/>
      <c r="S68" s="672"/>
      <c r="T68" s="672"/>
      <c r="U68" s="672"/>
      <c r="V68" s="672"/>
    </row>
    <row r="69" spans="1:24" s="666" customFormat="1" ht="103.9" customHeight="1" x14ac:dyDescent="0.25">
      <c r="A69" s="797"/>
      <c r="B69" s="797"/>
      <c r="C69" s="787"/>
      <c r="D69" s="801"/>
      <c r="E69" s="607" t="s">
        <v>495</v>
      </c>
      <c r="F69" s="797"/>
      <c r="G69" s="632">
        <v>45000</v>
      </c>
      <c r="H69" s="632"/>
      <c r="I69" s="633"/>
      <c r="J69" s="634">
        <v>45000</v>
      </c>
      <c r="K69" s="635">
        <v>1</v>
      </c>
      <c r="L69" s="186"/>
      <c r="M69" s="483"/>
      <c r="N69" s="199"/>
      <c r="O69" s="672"/>
      <c r="P69" s="672"/>
      <c r="Q69" s="672"/>
      <c r="R69" s="672"/>
      <c r="S69" s="672"/>
      <c r="T69" s="672"/>
      <c r="U69" s="672"/>
      <c r="V69" s="672"/>
    </row>
    <row r="70" spans="1:24" s="666" customFormat="1" ht="90" customHeight="1" x14ac:dyDescent="0.25">
      <c r="A70" s="793" t="s">
        <v>300</v>
      </c>
      <c r="B70" s="786" t="s">
        <v>301</v>
      </c>
      <c r="C70" s="786" t="s">
        <v>28</v>
      </c>
      <c r="D70" s="804" t="s">
        <v>287</v>
      </c>
      <c r="E70" s="636" t="s">
        <v>496</v>
      </c>
      <c r="F70" s="788" t="s">
        <v>497</v>
      </c>
      <c r="G70" s="623">
        <v>2880888</v>
      </c>
      <c r="H70" s="605">
        <f>'[1]2024'!$I$42+'[1]2024'!$I$43+'[1]2024'!$I$44</f>
        <v>2463355.75</v>
      </c>
      <c r="I70" s="606">
        <f>H70/G70</f>
        <v>0.85506821160697677</v>
      </c>
      <c r="J70" s="605">
        <f>326029+8644+4370+42000</f>
        <v>381043</v>
      </c>
      <c r="K70" s="606">
        <v>1</v>
      </c>
      <c r="L70" s="124"/>
      <c r="M70" s="483"/>
      <c r="N70" s="199"/>
    </row>
    <row r="71" spans="1:24" s="666" customFormat="1" ht="32.25" customHeight="1" x14ac:dyDescent="0.25">
      <c r="A71" s="794"/>
      <c r="B71" s="787"/>
      <c r="C71" s="787"/>
      <c r="D71" s="789"/>
      <c r="E71" s="637" t="s">
        <v>364</v>
      </c>
      <c r="F71" s="789"/>
      <c r="G71" s="638">
        <v>60271</v>
      </c>
      <c r="H71" s="609">
        <v>49062.16</v>
      </c>
      <c r="I71" s="610">
        <v>1</v>
      </c>
      <c r="J71" s="611"/>
      <c r="K71" s="610">
        <v>1</v>
      </c>
      <c r="L71" s="186"/>
      <c r="M71" s="483"/>
      <c r="N71" s="483"/>
    </row>
    <row r="72" spans="1:24" s="199" customFormat="1" ht="120.6" customHeight="1" x14ac:dyDescent="0.3">
      <c r="A72" s="805">
        <v>1516012</v>
      </c>
      <c r="B72" s="807">
        <v>6012</v>
      </c>
      <c r="C72" s="809" t="s">
        <v>28</v>
      </c>
      <c r="D72" s="811" t="s">
        <v>287</v>
      </c>
      <c r="E72" s="214" t="s">
        <v>363</v>
      </c>
      <c r="F72" s="802" t="s">
        <v>483</v>
      </c>
      <c r="G72" s="215">
        <v>18595843</v>
      </c>
      <c r="H72" s="485">
        <f>1497526+4000000+10000000-15497526+3505666.5</f>
        <v>3505666.5</v>
      </c>
      <c r="I72" s="676">
        <f>H72/G72*100%</f>
        <v>0.1885188264925661</v>
      </c>
      <c r="J72" s="486">
        <f>3098317-1031901-2066416+10004392</f>
        <v>10004392</v>
      </c>
      <c r="K72" s="678">
        <f>(J72+H72)/G72</f>
        <v>0.72650960217291571</v>
      </c>
      <c r="L72" s="62"/>
      <c r="M72" s="483"/>
      <c r="N72" s="483"/>
    </row>
    <row r="73" spans="1:24" s="199" customFormat="1" ht="21" customHeight="1" x14ac:dyDescent="0.35">
      <c r="A73" s="806"/>
      <c r="B73" s="808"/>
      <c r="C73" s="810"/>
      <c r="D73" s="812"/>
      <c r="E73" s="373" t="s">
        <v>364</v>
      </c>
      <c r="F73" s="803"/>
      <c r="G73" s="386">
        <v>1497526</v>
      </c>
      <c r="H73" s="243">
        <f>1497526-1497526+1478212.98</f>
        <v>1478212.98</v>
      </c>
      <c r="I73" s="677">
        <v>1</v>
      </c>
      <c r="J73" s="487"/>
      <c r="K73" s="679">
        <v>1</v>
      </c>
      <c r="L73" s="130"/>
      <c r="M73" s="483"/>
      <c r="N73" s="483"/>
    </row>
    <row r="74" spans="1:24" s="199" customFormat="1" ht="22.5" customHeight="1" x14ac:dyDescent="0.3">
      <c r="A74" s="489" t="s">
        <v>365</v>
      </c>
      <c r="B74" s="490"/>
      <c r="C74" s="571"/>
      <c r="D74" s="491" t="s">
        <v>366</v>
      </c>
      <c r="E74" s="492"/>
      <c r="F74" s="493"/>
      <c r="G74" s="494"/>
      <c r="H74" s="495"/>
      <c r="I74" s="496"/>
      <c r="J74" s="487"/>
      <c r="K74" s="488"/>
      <c r="L74" s="226"/>
      <c r="M74" s="374"/>
      <c r="N74" s="483"/>
    </row>
    <row r="75" spans="1:24" s="199" customFormat="1" ht="34.5" customHeight="1" x14ac:dyDescent="0.25">
      <c r="A75" s="497"/>
      <c r="B75" s="384"/>
      <c r="C75" s="385"/>
      <c r="D75" s="498" t="s">
        <v>415</v>
      </c>
      <c r="E75" s="487"/>
      <c r="F75" s="436"/>
      <c r="G75" s="386"/>
      <c r="H75" s="243">
        <v>2002023.6</v>
      </c>
      <c r="I75" s="387"/>
      <c r="J75" s="243">
        <f>10000000-H75</f>
        <v>7997976.4000000004</v>
      </c>
      <c r="K75" s="488"/>
      <c r="L75" s="186"/>
      <c r="M75" s="186"/>
      <c r="N75" s="483"/>
    </row>
    <row r="76" spans="1:24" s="199" customFormat="1" ht="67.5" hidden="1" customHeight="1" x14ac:dyDescent="0.25">
      <c r="A76" s="499" t="s">
        <v>367</v>
      </c>
      <c r="B76" s="570" t="s">
        <v>368</v>
      </c>
      <c r="C76" s="570" t="s">
        <v>369</v>
      </c>
      <c r="D76" s="500" t="s">
        <v>370</v>
      </c>
      <c r="E76" s="468" t="s">
        <v>371</v>
      </c>
      <c r="F76" s="385" t="s">
        <v>372</v>
      </c>
      <c r="G76" s="501">
        <f>J76</f>
        <v>0</v>
      </c>
      <c r="H76" s="501">
        <v>0</v>
      </c>
      <c r="I76" s="502">
        <v>0</v>
      </c>
      <c r="J76" s="501">
        <v>0</v>
      </c>
      <c r="K76" s="503">
        <v>1</v>
      </c>
      <c r="L76" s="186"/>
      <c r="M76" s="566"/>
      <c r="N76" s="483"/>
    </row>
    <row r="77" spans="1:24" s="199" customFormat="1" ht="11.45" hidden="1" customHeight="1" x14ac:dyDescent="0.25">
      <c r="A77" s="382" t="s">
        <v>373</v>
      </c>
      <c r="B77" s="383" t="s">
        <v>374</v>
      </c>
      <c r="C77" s="383" t="s">
        <v>227</v>
      </c>
      <c r="D77" s="443" t="s">
        <v>330</v>
      </c>
      <c r="E77" s="504" t="s">
        <v>375</v>
      </c>
      <c r="F77" s="385" t="s">
        <v>372</v>
      </c>
      <c r="G77" s="501">
        <f t="shared" ref="G77" si="0">J77</f>
        <v>0</v>
      </c>
      <c r="H77" s="485">
        <v>0</v>
      </c>
      <c r="I77" s="502">
        <v>0</v>
      </c>
      <c r="J77" s="485">
        <v>0</v>
      </c>
      <c r="K77" s="505">
        <v>1</v>
      </c>
      <c r="L77" s="186"/>
      <c r="M77" s="186"/>
      <c r="N77" s="483"/>
    </row>
    <row r="78" spans="1:24" s="671" customFormat="1" ht="132.75" customHeight="1" x14ac:dyDescent="0.3">
      <c r="A78" s="639">
        <v>1516013</v>
      </c>
      <c r="B78" s="639">
        <v>6013</v>
      </c>
      <c r="C78" s="640" t="s">
        <v>28</v>
      </c>
      <c r="D78" s="641" t="s">
        <v>129</v>
      </c>
      <c r="E78" s="642" t="s">
        <v>498</v>
      </c>
      <c r="F78" s="641" t="s">
        <v>497</v>
      </c>
      <c r="G78" s="605">
        <v>60000</v>
      </c>
      <c r="H78" s="605">
        <v>0</v>
      </c>
      <c r="I78" s="606">
        <v>0</v>
      </c>
      <c r="J78" s="605">
        <v>60000</v>
      </c>
      <c r="K78" s="606">
        <v>1</v>
      </c>
      <c r="L78" s="667"/>
      <c r="M78" s="673"/>
      <c r="N78" s="674"/>
      <c r="O78" s="674"/>
      <c r="P78" s="674"/>
      <c r="Q78" s="674"/>
      <c r="R78" s="674"/>
      <c r="S78" s="669"/>
      <c r="T78" s="669"/>
      <c r="U78" s="670"/>
      <c r="V78" s="669"/>
      <c r="W78" s="669"/>
    </row>
    <row r="79" spans="1:24" s="671" customFormat="1" ht="132.75" customHeight="1" x14ac:dyDescent="0.3">
      <c r="A79" s="639">
        <v>1516013</v>
      </c>
      <c r="B79" s="639">
        <v>6013</v>
      </c>
      <c r="C79" s="640" t="s">
        <v>28</v>
      </c>
      <c r="D79" s="641" t="s">
        <v>129</v>
      </c>
      <c r="E79" s="642" t="s">
        <v>499</v>
      </c>
      <c r="F79" s="641" t="s">
        <v>497</v>
      </c>
      <c r="G79" s="605">
        <v>226222</v>
      </c>
      <c r="H79" s="605">
        <v>0</v>
      </c>
      <c r="I79" s="606">
        <v>0</v>
      </c>
      <c r="J79" s="643">
        <v>198440</v>
      </c>
      <c r="K79" s="606">
        <v>1</v>
      </c>
      <c r="L79" s="667"/>
      <c r="M79" s="673"/>
      <c r="N79" s="674"/>
      <c r="O79" s="674"/>
      <c r="P79" s="674"/>
      <c r="Q79" s="674"/>
      <c r="R79" s="674"/>
      <c r="S79" s="669"/>
      <c r="T79" s="669"/>
      <c r="U79" s="670"/>
      <c r="V79" s="669"/>
      <c r="W79" s="669"/>
    </row>
    <row r="80" spans="1:24" s="671" customFormat="1" ht="97.5" customHeight="1" x14ac:dyDescent="0.3">
      <c r="A80" s="820">
        <v>1516030</v>
      </c>
      <c r="B80" s="820">
        <v>6030</v>
      </c>
      <c r="C80" s="793" t="s">
        <v>28</v>
      </c>
      <c r="D80" s="795" t="s">
        <v>29</v>
      </c>
      <c r="E80" s="636" t="s">
        <v>500</v>
      </c>
      <c r="F80" s="786" t="s">
        <v>501</v>
      </c>
      <c r="G80" s="644">
        <v>4741092</v>
      </c>
      <c r="H80" s="645">
        <v>3946243</v>
      </c>
      <c r="I80" s="631">
        <v>0.99</v>
      </c>
      <c r="J80" s="628">
        <v>45000</v>
      </c>
      <c r="K80" s="631">
        <v>1</v>
      </c>
      <c r="L80" s="675"/>
      <c r="M80" s="668"/>
      <c r="N80" s="668"/>
      <c r="O80" s="668"/>
      <c r="P80" s="668"/>
      <c r="Q80" s="668"/>
      <c r="R80" s="668"/>
      <c r="S80" s="668"/>
      <c r="T80" s="669"/>
      <c r="U80" s="669"/>
      <c r="V80" s="670"/>
      <c r="W80" s="669"/>
      <c r="X80" s="669"/>
    </row>
    <row r="81" spans="1:24" s="671" customFormat="1" ht="39" customHeight="1" x14ac:dyDescent="0.3">
      <c r="A81" s="821"/>
      <c r="B81" s="821"/>
      <c r="C81" s="823"/>
      <c r="D81" s="796"/>
      <c r="E81" s="637" t="s">
        <v>502</v>
      </c>
      <c r="F81" s="798"/>
      <c r="G81" s="634">
        <v>49800</v>
      </c>
      <c r="H81" s="632">
        <v>49763</v>
      </c>
      <c r="I81" s="635">
        <v>1</v>
      </c>
      <c r="J81" s="628"/>
      <c r="K81" s="635">
        <v>1</v>
      </c>
      <c r="L81" s="675"/>
      <c r="M81" s="668"/>
      <c r="N81" s="668"/>
      <c r="O81" s="668"/>
      <c r="P81" s="668"/>
      <c r="Q81" s="668"/>
      <c r="R81" s="668"/>
      <c r="S81" s="668"/>
      <c r="T81" s="669"/>
      <c r="U81" s="669"/>
      <c r="V81" s="670"/>
      <c r="W81" s="669"/>
      <c r="X81" s="669"/>
    </row>
    <row r="82" spans="1:24" s="671" customFormat="1" ht="48.75" customHeight="1" x14ac:dyDescent="0.3">
      <c r="A82" s="821"/>
      <c r="B82" s="821"/>
      <c r="C82" s="823"/>
      <c r="D82" s="796"/>
      <c r="E82" s="646" t="s">
        <v>379</v>
      </c>
      <c r="F82" s="798"/>
      <c r="G82" s="647">
        <v>140204</v>
      </c>
      <c r="H82" s="647">
        <v>123810.91</v>
      </c>
      <c r="I82" s="635">
        <v>1</v>
      </c>
      <c r="J82" s="647"/>
      <c r="K82" s="635">
        <v>1</v>
      </c>
      <c r="L82" s="675"/>
      <c r="M82" s="668"/>
      <c r="N82" s="668"/>
      <c r="O82" s="668"/>
      <c r="P82" s="668"/>
      <c r="Q82" s="668"/>
      <c r="R82" s="668"/>
      <c r="S82" s="668"/>
      <c r="T82" s="669"/>
      <c r="U82" s="669"/>
      <c r="V82" s="670"/>
      <c r="W82" s="669"/>
      <c r="X82" s="669"/>
    </row>
    <row r="83" spans="1:24" s="671" customFormat="1" ht="81" x14ac:dyDescent="0.3">
      <c r="A83" s="822"/>
      <c r="B83" s="822"/>
      <c r="C83" s="794"/>
      <c r="D83" s="797"/>
      <c r="E83" s="646" t="s">
        <v>495</v>
      </c>
      <c r="F83" s="787"/>
      <c r="G83" s="647">
        <v>45000</v>
      </c>
      <c r="H83" s="647"/>
      <c r="I83" s="648"/>
      <c r="J83" s="647">
        <v>45000</v>
      </c>
      <c r="K83" s="635">
        <v>1</v>
      </c>
      <c r="L83" s="668"/>
      <c r="M83" s="668"/>
      <c r="N83" s="668"/>
      <c r="O83" s="668"/>
      <c r="P83" s="668"/>
      <c r="Q83" s="668"/>
      <c r="R83" s="668"/>
      <c r="S83" s="669"/>
      <c r="T83" s="669"/>
      <c r="U83" s="670"/>
      <c r="V83" s="669"/>
      <c r="W83" s="669"/>
    </row>
    <row r="84" spans="1:24" s="671" customFormat="1" ht="180" customHeight="1" x14ac:dyDescent="0.3">
      <c r="A84" s="649">
        <v>1516030</v>
      </c>
      <c r="B84" s="649">
        <v>6030</v>
      </c>
      <c r="C84" s="620" t="s">
        <v>28</v>
      </c>
      <c r="D84" s="650" t="s">
        <v>29</v>
      </c>
      <c r="E84" s="651" t="s">
        <v>503</v>
      </c>
      <c r="F84" s="652" t="s">
        <v>497</v>
      </c>
      <c r="G84" s="605">
        <v>406558</v>
      </c>
      <c r="H84" s="605">
        <f>105518.95</f>
        <v>105518.95</v>
      </c>
      <c r="I84" s="606">
        <f>H84/G84</f>
        <v>0.2595421809434324</v>
      </c>
      <c r="J84" s="645">
        <v>251111</v>
      </c>
      <c r="K84" s="606">
        <v>1</v>
      </c>
      <c r="L84" s="667"/>
      <c r="M84" s="673"/>
      <c r="N84" s="674"/>
      <c r="O84" s="674"/>
      <c r="P84" s="674"/>
      <c r="Q84" s="674"/>
      <c r="R84" s="674"/>
      <c r="S84" s="669"/>
      <c r="T84" s="669"/>
      <c r="U84" s="670"/>
      <c r="V84" s="669"/>
      <c r="W84" s="669"/>
    </row>
    <row r="85" spans="1:24" s="671" customFormat="1" ht="135" customHeight="1" x14ac:dyDescent="0.3">
      <c r="A85" s="649">
        <v>1516030</v>
      </c>
      <c r="B85" s="649">
        <v>6030</v>
      </c>
      <c r="C85" s="620" t="s">
        <v>28</v>
      </c>
      <c r="D85" s="650" t="s">
        <v>29</v>
      </c>
      <c r="E85" s="651" t="s">
        <v>504</v>
      </c>
      <c r="F85" s="652" t="s">
        <v>487</v>
      </c>
      <c r="G85" s="605">
        <v>55031</v>
      </c>
      <c r="H85" s="605">
        <v>0</v>
      </c>
      <c r="I85" s="606">
        <v>0</v>
      </c>
      <c r="J85" s="645">
        <v>55031</v>
      </c>
      <c r="K85" s="606">
        <v>1</v>
      </c>
      <c r="L85" s="667"/>
      <c r="M85" s="673"/>
      <c r="N85" s="674"/>
      <c r="O85" s="674"/>
      <c r="P85" s="674"/>
      <c r="Q85" s="674"/>
      <c r="R85" s="674"/>
      <c r="S85" s="669"/>
      <c r="T85" s="669"/>
      <c r="U85" s="670"/>
      <c r="V85" s="669"/>
      <c r="W85" s="669"/>
    </row>
    <row r="86" spans="1:24" s="671" customFormat="1" ht="122.25" customHeight="1" x14ac:dyDescent="0.3">
      <c r="A86" s="653">
        <v>1516030</v>
      </c>
      <c r="B86" s="653">
        <v>6030</v>
      </c>
      <c r="C86" s="654" t="s">
        <v>28</v>
      </c>
      <c r="D86" s="655" t="s">
        <v>29</v>
      </c>
      <c r="E86" s="656" t="s">
        <v>505</v>
      </c>
      <c r="F86" s="657" t="s">
        <v>487</v>
      </c>
      <c r="G86" s="604">
        <v>49800</v>
      </c>
      <c r="H86" s="604">
        <v>0</v>
      </c>
      <c r="I86" s="658">
        <v>0</v>
      </c>
      <c r="J86" s="659">
        <v>49800</v>
      </c>
      <c r="K86" s="658">
        <v>1</v>
      </c>
      <c r="L86" s="667"/>
      <c r="M86" s="673"/>
      <c r="N86" s="674"/>
      <c r="O86" s="674"/>
      <c r="P86" s="674"/>
      <c r="Q86" s="674"/>
      <c r="R86" s="674"/>
      <c r="S86" s="669"/>
      <c r="T86" s="669"/>
      <c r="U86" s="670"/>
      <c r="V86" s="669"/>
      <c r="W86" s="669"/>
    </row>
    <row r="87" spans="1:24" s="483" customFormat="1" ht="109.9" customHeight="1" x14ac:dyDescent="0.3">
      <c r="A87" s="813" t="s">
        <v>376</v>
      </c>
      <c r="B87" s="815" t="s">
        <v>132</v>
      </c>
      <c r="C87" s="815" t="s">
        <v>133</v>
      </c>
      <c r="D87" s="817" t="s">
        <v>134</v>
      </c>
      <c r="E87" s="444" t="s">
        <v>377</v>
      </c>
      <c r="F87" s="809" t="s">
        <v>378</v>
      </c>
      <c r="G87" s="501">
        <f>45050824-45050824+41614646</f>
        <v>41614646</v>
      </c>
      <c r="H87" s="485">
        <f>2753824+7531097-2799508-7485413+2902210</f>
        <v>2902210</v>
      </c>
      <c r="I87" s="660">
        <f>H87/G87*100%</f>
        <v>6.9740110248685039E-2</v>
      </c>
      <c r="J87" s="485">
        <f>2799508-2799508+4991926+490356</f>
        <v>5482282</v>
      </c>
      <c r="K87" s="661">
        <f>(J87+H87)/G87</f>
        <v>0.20147935416776103</v>
      </c>
      <c r="L87" s="186"/>
      <c r="M87" s="62"/>
      <c r="N87" s="186"/>
    </row>
    <row r="88" spans="1:24" s="483" customFormat="1" ht="111" customHeight="1" thickBot="1" x14ac:dyDescent="0.3">
      <c r="A88" s="814"/>
      <c r="B88" s="816"/>
      <c r="C88" s="816"/>
      <c r="D88" s="818"/>
      <c r="E88" s="509" t="s">
        <v>380</v>
      </c>
      <c r="F88" s="819"/>
      <c r="G88" s="507">
        <f>10458431-10458431+10463759</f>
        <v>10463759</v>
      </c>
      <c r="H88" s="508">
        <f>7531097-2799508-4731589+2902210</f>
        <v>2902210</v>
      </c>
      <c r="I88" s="662">
        <f>H88/G88*100%</f>
        <v>0.27735826102264016</v>
      </c>
      <c r="J88" s="508">
        <f>2799508-2799508+4991926+490356</f>
        <v>5482282</v>
      </c>
      <c r="K88" s="663">
        <f>(J88+H88)/G88</f>
        <v>0.80128871469612406</v>
      </c>
      <c r="L88" s="186"/>
      <c r="M88" s="186"/>
      <c r="N88" s="186"/>
    </row>
    <row r="89" spans="1:24" s="483" customFormat="1" ht="97.5" customHeight="1" thickBot="1" x14ac:dyDescent="0.35">
      <c r="A89" s="535" t="s">
        <v>254</v>
      </c>
      <c r="B89" s="536" t="s">
        <v>16</v>
      </c>
      <c r="C89" s="536" t="s">
        <v>16</v>
      </c>
      <c r="D89" s="537" t="s">
        <v>255</v>
      </c>
      <c r="E89" s="538"/>
      <c r="F89" s="539"/>
      <c r="G89" s="540"/>
      <c r="H89" s="541"/>
      <c r="I89" s="542"/>
      <c r="J89" s="555">
        <f>J90</f>
        <v>1238282</v>
      </c>
      <c r="K89" s="543"/>
      <c r="L89" s="186"/>
      <c r="M89" s="186"/>
      <c r="N89" s="62"/>
    </row>
    <row r="90" spans="1:24" s="483" customFormat="1" ht="111" customHeight="1" x14ac:dyDescent="0.35">
      <c r="A90" s="531" t="s">
        <v>256</v>
      </c>
      <c r="B90" s="532" t="s">
        <v>16</v>
      </c>
      <c r="C90" s="532" t="s">
        <v>16</v>
      </c>
      <c r="D90" s="533" t="s">
        <v>255</v>
      </c>
      <c r="E90" s="534"/>
      <c r="F90" s="548"/>
      <c r="G90" s="549"/>
      <c r="H90" s="550"/>
      <c r="I90" s="551"/>
      <c r="J90" s="552">
        <f>J91</f>
        <v>1238282</v>
      </c>
      <c r="K90" s="553"/>
      <c r="L90" s="186"/>
      <c r="M90" s="186"/>
      <c r="N90" s="130"/>
    </row>
    <row r="91" spans="1:24" s="483" customFormat="1" ht="111" customHeight="1" thickBot="1" x14ac:dyDescent="0.35">
      <c r="A91" s="544" t="s">
        <v>385</v>
      </c>
      <c r="B91" s="545" t="s">
        <v>386</v>
      </c>
      <c r="C91" s="545" t="s">
        <v>369</v>
      </c>
      <c r="D91" s="546" t="s">
        <v>384</v>
      </c>
      <c r="E91" s="547" t="s">
        <v>387</v>
      </c>
      <c r="F91" s="571"/>
      <c r="G91" s="527"/>
      <c r="H91" s="528"/>
      <c r="I91" s="529"/>
      <c r="J91" s="554">
        <f>1031901+206381</f>
        <v>1238282</v>
      </c>
      <c r="K91" s="530"/>
      <c r="L91" s="186"/>
      <c r="M91" s="186"/>
      <c r="N91" s="226"/>
    </row>
    <row r="92" spans="1:24" ht="21" thickBot="1" x14ac:dyDescent="0.3">
      <c r="A92" s="217" t="s">
        <v>185</v>
      </c>
      <c r="B92" s="101" t="s">
        <v>185</v>
      </c>
      <c r="C92" s="101" t="s">
        <v>185</v>
      </c>
      <c r="D92" s="100" t="s">
        <v>141</v>
      </c>
      <c r="E92" s="118" t="s">
        <v>185</v>
      </c>
      <c r="F92" s="119" t="s">
        <v>185</v>
      </c>
      <c r="G92" s="120" t="s">
        <v>185</v>
      </c>
      <c r="H92" s="120" t="s">
        <v>185</v>
      </c>
      <c r="I92" s="120" t="s">
        <v>185</v>
      </c>
      <c r="J92" s="510">
        <f>J23+J40+J49+J53+J57+J30+J45+J89+J36</f>
        <v>49350951</v>
      </c>
      <c r="K92" s="121" t="s">
        <v>185</v>
      </c>
    </row>
    <row r="93" spans="1:24" ht="20.25" x14ac:dyDescent="0.25">
      <c r="A93" s="218"/>
      <c r="B93" s="219"/>
      <c r="C93" s="219"/>
      <c r="D93" s="220"/>
      <c r="E93" s="221"/>
      <c r="F93" s="222"/>
      <c r="G93" s="223"/>
      <c r="H93" s="223"/>
      <c r="I93" s="223"/>
      <c r="J93" s="122"/>
      <c r="K93" s="224"/>
    </row>
    <row r="94" spans="1:24" s="127" customFormat="1" ht="49.9" customHeight="1" x14ac:dyDescent="0.3">
      <c r="A94" s="824" t="s">
        <v>394</v>
      </c>
      <c r="B94" s="824"/>
      <c r="C94" s="824"/>
      <c r="D94" s="824"/>
      <c r="E94" s="824"/>
      <c r="F94" s="824"/>
      <c r="G94" s="824"/>
      <c r="H94" s="824"/>
      <c r="I94" s="824"/>
      <c r="J94" s="824"/>
      <c r="K94" s="566"/>
      <c r="L94" s="186"/>
      <c r="M94" s="186"/>
      <c r="N94" s="186"/>
      <c r="O94" s="125"/>
      <c r="P94" s="126"/>
    </row>
    <row r="95" spans="1:24" s="127" customFormat="1" ht="49.9" customHeight="1" x14ac:dyDescent="0.3">
      <c r="A95" s="824"/>
      <c r="B95" s="824"/>
      <c r="C95" s="824"/>
      <c r="D95" s="824"/>
      <c r="E95" s="824"/>
      <c r="F95" s="824"/>
      <c r="G95" s="824"/>
      <c r="H95" s="824"/>
      <c r="I95" s="824"/>
      <c r="J95" s="824"/>
      <c r="K95" s="566"/>
      <c r="L95" s="186"/>
      <c r="M95" s="186"/>
      <c r="N95" s="186"/>
      <c r="O95" s="125"/>
      <c r="P95" s="126"/>
    </row>
    <row r="97" spans="1:14" s="62" customFormat="1" ht="20.25" x14ac:dyDescent="0.3">
      <c r="A97" s="128"/>
      <c r="B97" s="128"/>
      <c r="G97" s="225"/>
      <c r="J97" s="371"/>
      <c r="L97" s="186"/>
      <c r="M97" s="186"/>
      <c r="N97" s="186"/>
    </row>
    <row r="98" spans="1:14" s="130" customFormat="1" ht="21" x14ac:dyDescent="0.35">
      <c r="A98" s="129"/>
      <c r="B98" s="129"/>
      <c r="L98" s="186"/>
      <c r="M98" s="186"/>
      <c r="N98" s="186"/>
    </row>
    <row r="99" spans="1:14" s="226" customFormat="1" ht="20.25" x14ac:dyDescent="0.3">
      <c r="B99" s="227"/>
      <c r="C99" s="228"/>
      <c r="E99" s="229"/>
      <c r="F99" s="228"/>
      <c r="G99" s="225"/>
      <c r="H99" s="225"/>
      <c r="I99" s="225"/>
      <c r="J99" s="511"/>
      <c r="K99" s="230"/>
      <c r="L99" s="186"/>
      <c r="M99" s="186"/>
      <c r="N99" s="186"/>
    </row>
    <row r="100" spans="1:14" x14ac:dyDescent="0.25">
      <c r="B100" s="186"/>
      <c r="C100" s="186"/>
      <c r="D100" s="186"/>
      <c r="E100" s="186"/>
      <c r="F100" s="186"/>
      <c r="G100" s="186"/>
      <c r="H100" s="186"/>
      <c r="I100" s="186"/>
      <c r="J100" s="186"/>
      <c r="K100" s="186"/>
    </row>
    <row r="101" spans="1:14" x14ac:dyDescent="0.25">
      <c r="B101" s="186"/>
      <c r="C101" s="186"/>
      <c r="D101" s="186"/>
      <c r="E101" s="186"/>
      <c r="F101" s="186"/>
      <c r="G101" s="186"/>
      <c r="H101" s="186"/>
      <c r="I101" s="186"/>
      <c r="J101" s="186"/>
      <c r="K101" s="186"/>
    </row>
  </sheetData>
  <mergeCells count="56">
    <mergeCell ref="A94:J94"/>
    <mergeCell ref="I5:J5"/>
    <mergeCell ref="A95:J95"/>
    <mergeCell ref="A17:K17"/>
    <mergeCell ref="A18:C18"/>
    <mergeCell ref="D18:K18"/>
    <mergeCell ref="A20:A21"/>
    <mergeCell ref="B20:B21"/>
    <mergeCell ref="C20:C21"/>
    <mergeCell ref="D20:D21"/>
    <mergeCell ref="E20:E21"/>
    <mergeCell ref="F20:F21"/>
    <mergeCell ref="G20:G21"/>
    <mergeCell ref="H20:H21"/>
    <mergeCell ref="I20:I21"/>
    <mergeCell ref="J20:J21"/>
    <mergeCell ref="A80:A83"/>
    <mergeCell ref="B80:B83"/>
    <mergeCell ref="C80:C83"/>
    <mergeCell ref="D80:D83"/>
    <mergeCell ref="F80:F83"/>
    <mergeCell ref="A87:A88"/>
    <mergeCell ref="B87:B88"/>
    <mergeCell ref="C87:C88"/>
    <mergeCell ref="D87:D88"/>
    <mergeCell ref="F87:F88"/>
    <mergeCell ref="F72:F73"/>
    <mergeCell ref="A70:A71"/>
    <mergeCell ref="B70:B71"/>
    <mergeCell ref="C70:C71"/>
    <mergeCell ref="D70:D71"/>
    <mergeCell ref="F70:F71"/>
    <mergeCell ref="A72:A73"/>
    <mergeCell ref="B72:B73"/>
    <mergeCell ref="C72:C73"/>
    <mergeCell ref="D72:D73"/>
    <mergeCell ref="A66:A69"/>
    <mergeCell ref="B66:B69"/>
    <mergeCell ref="C66:C69"/>
    <mergeCell ref="D66:D69"/>
    <mergeCell ref="F66:F69"/>
    <mergeCell ref="A61:A62"/>
    <mergeCell ref="B61:B62"/>
    <mergeCell ref="C61:C62"/>
    <mergeCell ref="D61:D62"/>
    <mergeCell ref="F61:F62"/>
    <mergeCell ref="B59:B60"/>
    <mergeCell ref="C59:C60"/>
    <mergeCell ref="D59:D60"/>
    <mergeCell ref="F59:F60"/>
    <mergeCell ref="I9:K9"/>
    <mergeCell ref="I10:K10"/>
    <mergeCell ref="A19:C19"/>
    <mergeCell ref="I13:J13"/>
    <mergeCell ref="K20:K21"/>
    <mergeCell ref="A59:A60"/>
  </mergeCells>
  <hyperlinks>
    <hyperlink ref="D38" r:id="rId1" location="n8" display="https://zakon.rada.gov.ua/rada/show/988-2016-%D1%80 - n8"/>
    <hyperlink ref="D39"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3" manualBreakCount="3">
    <brk id="29" max="10" man="1"/>
    <brk id="43" max="10" man="1"/>
    <brk id="8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8</vt:i4>
      </vt:variant>
    </vt:vector>
  </HeadingPairs>
  <TitlesOfParts>
    <vt:vector size="13" baseType="lpstr">
      <vt:lpstr>дод 1 Джерела</vt:lpstr>
      <vt:lpstr>дод 2 Видатки</vt:lpstr>
      <vt:lpstr>дод 3 Трансферти</vt:lpstr>
      <vt:lpstr>дод 4 Програми</vt:lpstr>
      <vt:lpstr>дод 5 Бюдж розвитку</vt:lpstr>
      <vt:lpstr>'дод 2 Видатки'!Заголовки_для_друку</vt:lpstr>
      <vt:lpstr>'дод 4 Програми'!Заголовки_для_друку</vt:lpstr>
      <vt:lpstr>'дод 5 Бюдж розвитку'!Заголовки_для_друку</vt:lpstr>
      <vt:lpstr>'дод 1 Джерела'!Область_друку</vt:lpstr>
      <vt:lpstr>'дод 2 Видатки'!Область_друку</vt:lpstr>
      <vt:lpstr>'дод 3 Трансферти'!Область_друку</vt:lpstr>
      <vt:lpstr>'дод 4 Програми'!Область_друку</vt:lpstr>
      <vt:lpstr>'дод 5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2025-03-31T08:08:25Z</cp:lastPrinted>
  <dcterms:created xsi:type="dcterms:W3CDTF">2021-12-17T13:26:15Z</dcterms:created>
  <dcterms:modified xsi:type="dcterms:W3CDTF">2025-03-31T08:09:11Z</dcterms:modified>
</cp:coreProperties>
</file>