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ЭтаКнига"/>
  <mc:AlternateContent xmlns:mc="http://schemas.openxmlformats.org/markup-compatibility/2006">
    <mc:Choice Requires="x15">
      <x15ac:absPath xmlns:x15ac="http://schemas.microsoft.com/office/spreadsheetml/2010/11/ac" url="D:\Users\User\Desktop\тарифи  нова редакція\"/>
    </mc:Choice>
  </mc:AlternateContent>
  <xr:revisionPtr revIDLastSave="0" documentId="13_ncr:1_{5E57EAD4-3AD0-435F-B87E-C1C8E46B1918}" xr6:coauthVersionLast="47" xr6:coauthVersionMax="47" xr10:uidLastSave="{00000000-0000-0000-0000-000000000000}"/>
  <bookViews>
    <workbookView xWindow="-120" yWindow="-120" windowWidth="29040" windowHeight="15840" tabRatio="903" firstSheet="9" activeTab="10" xr2:uid="{00000000-000D-0000-FFFF-FFFF00000000}"/>
  </bookViews>
  <sheets>
    <sheet name="К16_ВоенніЗима" sheetId="108" r:id="rId1"/>
    <sheet name="Роз16ВЗима" sheetId="107" r:id="rId2"/>
    <sheet name="К15_ВоенніЛіто" sheetId="106" r:id="rId3"/>
    <sheet name="Роз15_ВЛіто" sheetId="105" r:id="rId4"/>
    <sheet name="Вит_війскових_опізнаних" sheetId="104" r:id="rId5"/>
    <sheet name="К14_ВоєнніНеопізнанніЗима" sheetId="103" r:id="rId6"/>
    <sheet name="Роз14НеопізнанніЗима" sheetId="102" r:id="rId7"/>
    <sheet name="К13_ВоєнніНеопізнанніЛіто" sheetId="81" r:id="rId8"/>
    <sheet name="Роз13_НеопізнаніЛіто" sheetId="101" r:id="rId9"/>
    <sheet name="ВитНеопізниніх" sheetId="86" r:id="rId10"/>
    <sheet name="порівняльна" sheetId="109" r:id="rId11"/>
    <sheet name="СВОДНАЯ" sheetId="30" r:id="rId12"/>
    <sheet name="к12екОз" sheetId="91" r:id="rId13"/>
    <sheet name="Роз12єкОз" sheetId="93" r:id="rId14"/>
    <sheet name="к11екОл" sheetId="90" r:id="rId15"/>
    <sheet name="Роз11єкОл" sheetId="92" r:id="rId16"/>
    <sheet name="ВитратиОГ" sheetId="87" r:id="rId17"/>
    <sheet name="К10урнаЗ" sheetId="78" r:id="rId18"/>
    <sheet name="Роз10" sheetId="77" r:id="rId19"/>
    <sheet name="К9урнаЛ" sheetId="76" r:id="rId20"/>
    <sheet name="Роз9" sheetId="75" r:id="rId21"/>
    <sheet name="к8броньЗ" sheetId="27" r:id="rId22"/>
    <sheet name="Роз8" sheetId="74" r:id="rId23"/>
    <sheet name="к7броньЛ" sheetId="15" r:id="rId24"/>
    <sheet name="Роз7" sheetId="73" r:id="rId25"/>
    <sheet name="к6ручЗ" sheetId="10" r:id="rId26"/>
    <sheet name="Роз6" sheetId="69" r:id="rId27"/>
    <sheet name="к5ручЛ" sheetId="26" r:id="rId28"/>
    <sheet name="Роз5 " sheetId="63" r:id="rId29"/>
    <sheet name="к4екскЗ" sheetId="25" r:id="rId30"/>
    <sheet name="Роз4" sheetId="70" r:id="rId31"/>
    <sheet name="к3екскЛ" sheetId="85" r:id="rId32"/>
    <sheet name="Роз3" sheetId="72" r:id="rId33"/>
    <sheet name="К2свид-во" sheetId="3" r:id="rId34"/>
    <sheet name="кал2дод1" sheetId="4" r:id="rId35"/>
    <sheet name="К1договор" sheetId="1" r:id="rId36"/>
    <sheet name="кал1дод1" sheetId="2" r:id="rId37"/>
    <sheet name="СПР_ШТ" sheetId="47" r:id="rId38"/>
    <sheet name="ШТАТ" sheetId="48" r:id="rId39"/>
    <sheet name="похов" sheetId="51" r:id="rId40"/>
    <sheet name="ОпВитратиРоз3" sheetId="50" r:id="rId41"/>
    <sheet name="МатВит" sheetId="53" r:id="rId42"/>
    <sheet name="Аркуш10" sheetId="62" r:id="rId43"/>
    <sheet name="Аркуш9" sheetId="61" r:id="rId44"/>
  </sheets>
  <externalReferences>
    <externalReference r:id="rId45"/>
    <externalReference r:id="rId46"/>
    <externalReference r:id="rId47"/>
  </externalReferences>
  <definedNames>
    <definedName name="_xlnm.Print_Area" localSheetId="7">К13_ВоєнніНеопізнанніЛіто!$A$1:$C$33</definedName>
    <definedName name="_xlnm.Print_Area" localSheetId="5">К14_ВоєнніНеопізнанніЗима!$A$1:$D$33</definedName>
    <definedName name="_xlnm.Print_Area" localSheetId="2">К15_ВоенніЛіто!$A$1:$C$33</definedName>
    <definedName name="_xlnm.Print_Area" localSheetId="0">К16_ВоенніЗима!$A$1:$D$33</definedName>
    <definedName name="_xlnm.Print_Area" localSheetId="21">к8броньЗ!$A$1:$D$31</definedName>
    <definedName name="_xlnm.Print_Area" localSheetId="34">кал2дод1!$A$1:$I$36</definedName>
  </definedNames>
  <calcPr calcId="191029"/>
</workbook>
</file>

<file path=xl/calcChain.xml><?xml version="1.0" encoding="utf-8"?>
<calcChain xmlns="http://schemas.openxmlformats.org/spreadsheetml/2006/main">
  <c r="E13" i="109" l="1"/>
  <c r="G13" i="109" s="1"/>
  <c r="E12" i="109"/>
  <c r="G12" i="109" s="1"/>
  <c r="G11" i="109"/>
  <c r="F11" i="109"/>
  <c r="E11" i="109"/>
  <c r="F10" i="109"/>
  <c r="E10" i="109"/>
  <c r="G10" i="109" s="1"/>
  <c r="E9" i="109"/>
  <c r="G9" i="109" s="1"/>
  <c r="G8" i="109"/>
  <c r="F8" i="109"/>
  <c r="E8" i="109"/>
  <c r="G7" i="109"/>
  <c r="F7" i="109"/>
  <c r="E7" i="109"/>
  <c r="F6" i="109"/>
  <c r="E6" i="109"/>
  <c r="G6" i="109" s="1"/>
  <c r="E5" i="109"/>
  <c r="G5" i="109" s="1"/>
  <c r="E4" i="109"/>
  <c r="G4" i="109" s="1"/>
  <c r="F11" i="87"/>
  <c r="F12" i="87"/>
  <c r="C8" i="47"/>
  <c r="H22" i="2" s="1"/>
  <c r="D26" i="2"/>
  <c r="D21" i="4"/>
  <c r="C22" i="4" s="1"/>
  <c r="F24" i="4" s="1"/>
  <c r="D27" i="4"/>
  <c r="H27" i="4" s="1"/>
  <c r="F28" i="4" s="1"/>
  <c r="D8" i="47"/>
  <c r="E20" i="93"/>
  <c r="E20" i="92"/>
  <c r="C1" i="107"/>
  <c r="C1" i="105"/>
  <c r="F8" i="104"/>
  <c r="E20" i="107"/>
  <c r="E20" i="105"/>
  <c r="C24" i="103"/>
  <c r="C24" i="81"/>
  <c r="E20" i="70"/>
  <c r="E20" i="72"/>
  <c r="E20" i="102"/>
  <c r="E20" i="101"/>
  <c r="F10" i="104"/>
  <c r="F10" i="86"/>
  <c r="E26" i="107"/>
  <c r="E28" i="107"/>
  <c r="E16" i="107"/>
  <c r="E9" i="107"/>
  <c r="E12" i="107" s="1"/>
  <c r="E30" i="107"/>
  <c r="E32" i="107"/>
  <c r="E33" i="107" s="1"/>
  <c r="A2" i="107"/>
  <c r="E26" i="105"/>
  <c r="E16" i="105"/>
  <c r="E9" i="105"/>
  <c r="E30" i="105"/>
  <c r="A2" i="105"/>
  <c r="F16" i="104"/>
  <c r="F15" i="104"/>
  <c r="F14" i="104"/>
  <c r="F13" i="104"/>
  <c r="F9" i="104"/>
  <c r="F7" i="104"/>
  <c r="F6" i="104"/>
  <c r="F5" i="104"/>
  <c r="F11" i="104"/>
  <c r="E32" i="105"/>
  <c r="E33" i="105" s="1"/>
  <c r="E12" i="105"/>
  <c r="E15" i="105"/>
  <c r="E14" i="105" s="1"/>
  <c r="H26" i="4"/>
  <c r="H25" i="2"/>
  <c r="F15" i="86"/>
  <c r="A2" i="101"/>
  <c r="A2" i="102"/>
  <c r="C1" i="102"/>
  <c r="E26" i="102"/>
  <c r="E28" i="102"/>
  <c r="E16" i="102"/>
  <c r="E9" i="102"/>
  <c r="E30" i="102" s="1"/>
  <c r="E32" i="102" s="1"/>
  <c r="E33" i="102" s="1"/>
  <c r="C1" i="101"/>
  <c r="E26" i="101"/>
  <c r="E16" i="101"/>
  <c r="E9" i="101"/>
  <c r="E30" i="101" s="1"/>
  <c r="E32" i="101" s="1"/>
  <c r="E33" i="101" s="1"/>
  <c r="E12" i="102"/>
  <c r="E19" i="102"/>
  <c r="E12" i="101"/>
  <c r="E19" i="101"/>
  <c r="E18" i="101" s="1"/>
  <c r="C1" i="93"/>
  <c r="C1" i="92"/>
  <c r="A2" i="93"/>
  <c r="E26" i="93"/>
  <c r="E28" i="93"/>
  <c r="E16" i="93"/>
  <c r="E9" i="93"/>
  <c r="A2" i="92"/>
  <c r="E26" i="92"/>
  <c r="E16" i="92"/>
  <c r="E9" i="92"/>
  <c r="E12" i="92"/>
  <c r="E19" i="92"/>
  <c r="E18" i="92"/>
  <c r="E6" i="87"/>
  <c r="F6" i="87" s="1"/>
  <c r="F9" i="87" s="1"/>
  <c r="A2" i="72"/>
  <c r="C1" i="72"/>
  <c r="F8" i="87"/>
  <c r="F7" i="87"/>
  <c r="F5" i="87"/>
  <c r="E7" i="53"/>
  <c r="F7" i="53"/>
  <c r="H7" i="53" s="1"/>
  <c r="F8" i="53"/>
  <c r="H8" i="53" s="1"/>
  <c r="H29" i="53" s="1"/>
  <c r="C33" i="53" s="1"/>
  <c r="G33" i="53" s="1"/>
  <c r="F9" i="53"/>
  <c r="H9" i="53"/>
  <c r="F10" i="53"/>
  <c r="H10" i="53"/>
  <c r="F11" i="53"/>
  <c r="H11" i="53" s="1"/>
  <c r="E12" i="53"/>
  <c r="F12" i="53" s="1"/>
  <c r="H12" i="53" s="1"/>
  <c r="E13" i="53"/>
  <c r="F13" i="53"/>
  <c r="H13" i="53"/>
  <c r="F14" i="53"/>
  <c r="H14" i="53" s="1"/>
  <c r="F15" i="53"/>
  <c r="H15" i="53" s="1"/>
  <c r="F16" i="53"/>
  <c r="H16" i="53"/>
  <c r="F17" i="53"/>
  <c r="H17" i="53"/>
  <c r="F18" i="53"/>
  <c r="H18" i="53" s="1"/>
  <c r="F19" i="53"/>
  <c r="H19" i="53" s="1"/>
  <c r="F20" i="53"/>
  <c r="H20" i="53" s="1"/>
  <c r="E21" i="53"/>
  <c r="F21" i="53"/>
  <c r="H21" i="53"/>
  <c r="F22" i="53"/>
  <c r="H22" i="53" s="1"/>
  <c r="F23" i="53"/>
  <c r="H23" i="53"/>
  <c r="F24" i="53"/>
  <c r="H24" i="53"/>
  <c r="F25" i="53"/>
  <c r="H25" i="53"/>
  <c r="F26" i="53"/>
  <c r="H26" i="53" s="1"/>
  <c r="F27" i="53"/>
  <c r="H27" i="53"/>
  <c r="F28" i="53"/>
  <c r="H28" i="53"/>
  <c r="D4" i="50"/>
  <c r="E4" i="50"/>
  <c r="D5" i="50"/>
  <c r="E5" i="50" s="1"/>
  <c r="E11" i="50" s="1"/>
  <c r="E7" i="50"/>
  <c r="E8" i="50"/>
  <c r="E10" i="50"/>
  <c r="C4" i="51"/>
  <c r="D4" i="51"/>
  <c r="C7" i="48"/>
  <c r="E14" i="48"/>
  <c r="J14" i="48"/>
  <c r="L14" i="48"/>
  <c r="M14" i="48" s="1"/>
  <c r="E15" i="48"/>
  <c r="G15" i="48" s="1"/>
  <c r="L15" i="48"/>
  <c r="E16" i="48"/>
  <c r="G16" i="48" s="1"/>
  <c r="H16" i="48" s="1"/>
  <c r="J16" i="48" s="1"/>
  <c r="L16" i="48"/>
  <c r="M16" i="48" s="1"/>
  <c r="C17" i="48"/>
  <c r="I17" i="48"/>
  <c r="K17" i="48"/>
  <c r="K24" i="48" s="1"/>
  <c r="E19" i="48"/>
  <c r="E22" i="48" s="1"/>
  <c r="L19" i="48"/>
  <c r="E20" i="48"/>
  <c r="G20" i="48" s="1"/>
  <c r="D10" i="47" s="1"/>
  <c r="D12" i="47" s="1"/>
  <c r="D14" i="47" s="1"/>
  <c r="L20" i="48"/>
  <c r="E21" i="48"/>
  <c r="G21" i="48"/>
  <c r="H21" i="48"/>
  <c r="J21" i="48" s="1"/>
  <c r="M21" i="48" s="1"/>
  <c r="L21" i="48"/>
  <c r="C22" i="48"/>
  <c r="I22" i="48"/>
  <c r="K22" i="48"/>
  <c r="B7" i="47"/>
  <c r="C7" i="47"/>
  <c r="D7" i="47"/>
  <c r="E7" i="47"/>
  <c r="B8" i="47"/>
  <c r="B11" i="47"/>
  <c r="B13" i="47"/>
  <c r="E8" i="47"/>
  <c r="E11" i="47"/>
  <c r="E13" i="47"/>
  <c r="C13" i="47"/>
  <c r="D13" i="47"/>
  <c r="F16" i="2"/>
  <c r="F18" i="2"/>
  <c r="D20" i="2"/>
  <c r="H26" i="2" s="1"/>
  <c r="F27" i="2" s="1"/>
  <c r="F17" i="4"/>
  <c r="F18" i="4"/>
  <c r="F19" i="4"/>
  <c r="E9" i="72"/>
  <c r="E12" i="72"/>
  <c r="E19" i="72" s="1"/>
  <c r="E18" i="72" s="1"/>
  <c r="E16" i="72"/>
  <c r="E26" i="72"/>
  <c r="E30" i="72"/>
  <c r="E32" i="72" s="1"/>
  <c r="E33" i="72" s="1"/>
  <c r="C1" i="70"/>
  <c r="A2" i="70"/>
  <c r="E9" i="70"/>
  <c r="E16" i="70"/>
  <c r="E26" i="70"/>
  <c r="E28" i="70"/>
  <c r="C1" i="63"/>
  <c r="A2" i="63"/>
  <c r="E8" i="63"/>
  <c r="E14" i="63" s="1"/>
  <c r="E18" i="63" s="1"/>
  <c r="E19" i="63" s="1"/>
  <c r="E16" i="63"/>
  <c r="F7" i="61"/>
  <c r="F8" i="61" s="1"/>
  <c r="H8" i="61" s="1"/>
  <c r="C1" i="69"/>
  <c r="A2" i="69"/>
  <c r="E8" i="69"/>
  <c r="E25" i="69"/>
  <c r="E10" i="69"/>
  <c r="E21" i="69"/>
  <c r="E12" i="69"/>
  <c r="E23" i="69"/>
  <c r="F5" i="62"/>
  <c r="F9" i="62" s="1"/>
  <c r="H9" i="62" s="1"/>
  <c r="H11" i="62" s="1"/>
  <c r="H5" i="62"/>
  <c r="F8" i="62"/>
  <c r="F10" i="62"/>
  <c r="H10" i="62"/>
  <c r="I15" i="62"/>
  <c r="C1" i="73"/>
  <c r="A2" i="73"/>
  <c r="E7" i="73"/>
  <c r="E15" i="73" s="1"/>
  <c r="E19" i="73" s="1"/>
  <c r="E17" i="73"/>
  <c r="C1" i="74"/>
  <c r="A2" i="74"/>
  <c r="E8" i="74"/>
  <c r="E25" i="74"/>
  <c r="E10" i="74"/>
  <c r="E21" i="74"/>
  <c r="E12" i="74"/>
  <c r="E23" i="74"/>
  <c r="E19" i="74" s="1"/>
  <c r="C1" i="75"/>
  <c r="A2" i="75"/>
  <c r="E8" i="75"/>
  <c r="E16" i="75" s="1"/>
  <c r="E14" i="75"/>
  <c r="C1" i="77"/>
  <c r="A2" i="77"/>
  <c r="E8" i="77"/>
  <c r="E25" i="77"/>
  <c r="E10" i="77"/>
  <c r="E12" i="77"/>
  <c r="E23" i="77"/>
  <c r="E21" i="77"/>
  <c r="E19" i="77" s="1"/>
  <c r="E27" i="77" s="1"/>
  <c r="E28" i="77" s="1"/>
  <c r="F5" i="86"/>
  <c r="F8" i="86"/>
  <c r="F9" i="86"/>
  <c r="F11" i="86" s="1"/>
  <c r="F13" i="86"/>
  <c r="F14" i="86"/>
  <c r="E30" i="92"/>
  <c r="E32" i="92"/>
  <c r="E33" i="92"/>
  <c r="I23" i="48"/>
  <c r="C23" i="48"/>
  <c r="C24" i="48" s="1"/>
  <c r="F19" i="2"/>
  <c r="C12" i="1" s="1"/>
  <c r="E12" i="47"/>
  <c r="E14" i="47" s="1"/>
  <c r="E15" i="47" s="1"/>
  <c r="E16" i="47" s="1"/>
  <c r="L22" i="48"/>
  <c r="B12" i="47"/>
  <c r="D11" i="50"/>
  <c r="D34" i="2" s="1"/>
  <c r="G34" i="2" s="1"/>
  <c r="C18" i="1" s="1"/>
  <c r="E18" i="102"/>
  <c r="E15" i="101"/>
  <c r="E14" i="101" s="1"/>
  <c r="E21" i="101" s="1"/>
  <c r="F27" i="4"/>
  <c r="A22" i="4"/>
  <c r="C23" i="2"/>
  <c r="C20" i="106"/>
  <c r="C20" i="81"/>
  <c r="E15" i="92"/>
  <c r="E14" i="92"/>
  <c r="E21" i="92"/>
  <c r="E20" i="73"/>
  <c r="E12" i="70"/>
  <c r="E30" i="70"/>
  <c r="E32" i="70"/>
  <c r="E33" i="70" s="1"/>
  <c r="B14" i="47"/>
  <c r="B15" i="47" s="1"/>
  <c r="B16" i="47" s="1"/>
  <c r="C21" i="2"/>
  <c r="E12" i="93"/>
  <c r="E19" i="93" s="1"/>
  <c r="E18" i="93" s="1"/>
  <c r="E30" i="93"/>
  <c r="E32" i="93" s="1"/>
  <c r="E33" i="93" s="1"/>
  <c r="E15" i="72"/>
  <c r="E14" i="72" s="1"/>
  <c r="E21" i="72" s="1"/>
  <c r="E19" i="105"/>
  <c r="E18" i="105" s="1"/>
  <c r="E15" i="102"/>
  <c r="E14" i="102"/>
  <c r="E21" i="102"/>
  <c r="H20" i="48"/>
  <c r="E15" i="93"/>
  <c r="E14" i="93"/>
  <c r="E21" i="93" s="1"/>
  <c r="E19" i="70"/>
  <c r="E18" i="70"/>
  <c r="E15" i="70"/>
  <c r="E14" i="70"/>
  <c r="E21" i="70" s="1"/>
  <c r="E29" i="77"/>
  <c r="E17" i="77"/>
  <c r="F9" i="109" l="1"/>
  <c r="F4" i="109"/>
  <c r="F12" i="109"/>
  <c r="F5" i="109"/>
  <c r="F13" i="109"/>
  <c r="E38" i="92"/>
  <c r="E38" i="93"/>
  <c r="E33" i="69"/>
  <c r="E33" i="77"/>
  <c r="E24" i="75"/>
  <c r="E38" i="102"/>
  <c r="C14" i="26"/>
  <c r="E38" i="107"/>
  <c r="E24" i="63"/>
  <c r="C14" i="108"/>
  <c r="C14" i="10"/>
  <c r="I15" i="61"/>
  <c r="E38" i="70"/>
  <c r="C14" i="15"/>
  <c r="E38" i="101"/>
  <c r="E38" i="105"/>
  <c r="E33" i="74"/>
  <c r="C14" i="78"/>
  <c r="E25" i="73"/>
  <c r="C14" i="103"/>
  <c r="E38" i="72"/>
  <c r="C14" i="76"/>
  <c r="C14" i="106"/>
  <c r="C14" i="25"/>
  <c r="C14" i="91"/>
  <c r="C14" i="27"/>
  <c r="C14" i="81"/>
  <c r="H10" i="61"/>
  <c r="G12" i="61"/>
  <c r="E34" i="101"/>
  <c r="E34" i="105"/>
  <c r="E34" i="107"/>
  <c r="E34" i="102"/>
  <c r="E34" i="93"/>
  <c r="G12" i="62"/>
  <c r="I13" i="62" s="1"/>
  <c r="E34" i="70"/>
  <c r="E21" i="73"/>
  <c r="E29" i="69"/>
  <c r="E34" i="72"/>
  <c r="E29" i="74"/>
  <c r="E21" i="105"/>
  <c r="E18" i="75"/>
  <c r="E19" i="75" s="1"/>
  <c r="G17" i="48"/>
  <c r="H15" i="48"/>
  <c r="C14" i="85"/>
  <c r="C14" i="90"/>
  <c r="E19" i="107"/>
  <c r="E18" i="107" s="1"/>
  <c r="E15" i="107"/>
  <c r="E14" i="107" s="1"/>
  <c r="E21" i="107" s="1"/>
  <c r="E30" i="77"/>
  <c r="E15" i="77"/>
  <c r="F9" i="61"/>
  <c r="H9" i="61" s="1"/>
  <c r="H11" i="61" s="1"/>
  <c r="H23" i="2"/>
  <c r="D27" i="2" s="1"/>
  <c r="H27" i="2" s="1"/>
  <c r="F23" i="2"/>
  <c r="D12" i="50"/>
  <c r="F26" i="2"/>
  <c r="H23" i="4"/>
  <c r="E27" i="74"/>
  <c r="E28" i="74" s="1"/>
  <c r="J20" i="48"/>
  <c r="M20" i="48" s="1"/>
  <c r="A21" i="2"/>
  <c r="L17" i="48"/>
  <c r="L24" i="48" s="1"/>
  <c r="E19" i="69"/>
  <c r="E27" i="69" s="1"/>
  <c r="E28" i="69" s="1"/>
  <c r="E17" i="48"/>
  <c r="E23" i="48" s="1"/>
  <c r="E24" i="48" s="1"/>
  <c r="G19" i="48"/>
  <c r="F20" i="4"/>
  <c r="C12" i="3" s="1"/>
  <c r="E34" i="92"/>
  <c r="E20" i="75"/>
  <c r="D15" i="47"/>
  <c r="D16" i="47" s="1"/>
  <c r="E20" i="63"/>
  <c r="D35" i="4"/>
  <c r="G35" i="4" s="1"/>
  <c r="C18" i="3" s="1"/>
  <c r="E22" i="72" l="1"/>
  <c r="E35" i="72"/>
  <c r="E24" i="72"/>
  <c r="E30" i="69"/>
  <c r="E17" i="69"/>
  <c r="E15" i="69"/>
  <c r="E24" i="101"/>
  <c r="E22" i="101"/>
  <c r="E35" i="101"/>
  <c r="C13" i="1"/>
  <c r="H28" i="2"/>
  <c r="H29" i="2" s="1"/>
  <c r="H30" i="2" s="1"/>
  <c r="L23" i="48"/>
  <c r="E22" i="73"/>
  <c r="E11" i="73"/>
  <c r="E13" i="73"/>
  <c r="I13" i="61"/>
  <c r="J15" i="48"/>
  <c r="H17" i="48"/>
  <c r="E35" i="70"/>
  <c r="E24" i="70"/>
  <c r="E22" i="70"/>
  <c r="F14" i="62"/>
  <c r="I14" i="62" s="1"/>
  <c r="F16" i="62"/>
  <c r="E24" i="105"/>
  <c r="E22" i="105"/>
  <c r="E35" i="105"/>
  <c r="E36" i="105" s="1"/>
  <c r="E37" i="105" s="1"/>
  <c r="E39" i="105" s="1"/>
  <c r="E31" i="77"/>
  <c r="E35" i="93"/>
  <c r="E22" i="93"/>
  <c r="E24" i="93"/>
  <c r="E35" i="102"/>
  <c r="E36" i="102" s="1"/>
  <c r="E22" i="102"/>
  <c r="E24" i="102"/>
  <c r="E42" i="92"/>
  <c r="C21" i="27"/>
  <c r="E37" i="69"/>
  <c r="C21" i="85"/>
  <c r="C21" i="76"/>
  <c r="E37" i="74"/>
  <c r="E42" i="105"/>
  <c r="C21" i="91"/>
  <c r="C21" i="108"/>
  <c r="E42" i="70"/>
  <c r="C21" i="10"/>
  <c r="E28" i="75"/>
  <c r="E42" i="107"/>
  <c r="E42" i="101"/>
  <c r="C21" i="103"/>
  <c r="E37" i="77"/>
  <c r="E42" i="102"/>
  <c r="E28" i="63"/>
  <c r="C21" i="90"/>
  <c r="E29" i="73"/>
  <c r="E42" i="93"/>
  <c r="E42" i="72"/>
  <c r="C21" i="15"/>
  <c r="C21" i="26"/>
  <c r="I16" i="61" s="1"/>
  <c r="I16" i="62" s="1"/>
  <c r="I17" i="62" s="1"/>
  <c r="C21" i="78"/>
  <c r="C21" i="25"/>
  <c r="H24" i="4"/>
  <c r="D28" i="4" s="1"/>
  <c r="H28" i="4" s="1"/>
  <c r="C24" i="4"/>
  <c r="G22" i="48"/>
  <c r="G23" i="48" s="1"/>
  <c r="G24" i="48" s="1"/>
  <c r="H19" i="48"/>
  <c r="C10" i="47"/>
  <c r="C12" i="47" s="1"/>
  <c r="C14" i="47" s="1"/>
  <c r="C15" i="47" s="1"/>
  <c r="C16" i="47" s="1"/>
  <c r="E30" i="74"/>
  <c r="E15" i="74"/>
  <c r="E17" i="74"/>
  <c r="E35" i="107"/>
  <c r="E36" i="107" s="1"/>
  <c r="E37" i="107" s="1"/>
  <c r="E39" i="107" s="1"/>
  <c r="E22" i="107"/>
  <c r="E24" i="107"/>
  <c r="E12" i="63"/>
  <c r="E21" i="63"/>
  <c r="E10" i="63"/>
  <c r="E10" i="75"/>
  <c r="E12" i="75"/>
  <c r="E21" i="75"/>
  <c r="E22" i="75" s="1"/>
  <c r="E35" i="92"/>
  <c r="E24" i="92"/>
  <c r="E22" i="92"/>
  <c r="F18" i="62" l="1"/>
  <c r="I18" i="62" s="1"/>
  <c r="I19" i="62"/>
  <c r="E36" i="70"/>
  <c r="E23" i="73"/>
  <c r="C13" i="3"/>
  <c r="H29" i="4"/>
  <c r="H30" i="4" s="1"/>
  <c r="H31" i="4" s="1"/>
  <c r="E31" i="74"/>
  <c r="E31" i="69"/>
  <c r="C15" i="103"/>
  <c r="E37" i="102"/>
  <c r="E39" i="102" s="1"/>
  <c r="C15" i="108"/>
  <c r="M15" i="48"/>
  <c r="M17" i="48" s="1"/>
  <c r="J17" i="48"/>
  <c r="E40" i="105"/>
  <c r="E41" i="105"/>
  <c r="E43" i="105" s="1"/>
  <c r="E44" i="105" s="1"/>
  <c r="E45" i="105" s="1"/>
  <c r="E19" i="104" s="1"/>
  <c r="F19" i="104" s="1"/>
  <c r="J19" i="48"/>
  <c r="H22" i="48"/>
  <c r="H23" i="48" s="1"/>
  <c r="H24" i="48" s="1"/>
  <c r="C21" i="106"/>
  <c r="C21" i="81"/>
  <c r="C14" i="1"/>
  <c r="C11" i="1"/>
  <c r="E41" i="107"/>
  <c r="E40" i="107"/>
  <c r="E43" i="107" s="1"/>
  <c r="E44" i="107" s="1"/>
  <c r="E45" i="107" s="1"/>
  <c r="E20" i="104" s="1"/>
  <c r="F20" i="104" s="1"/>
  <c r="E36" i="93"/>
  <c r="E37" i="93" s="1"/>
  <c r="E39" i="93" s="1"/>
  <c r="E36" i="101"/>
  <c r="E36" i="72"/>
  <c r="C15" i="78"/>
  <c r="E32" i="77"/>
  <c r="E34" i="77" s="1"/>
  <c r="F14" i="61"/>
  <c r="I14" i="61" s="1"/>
  <c r="F16" i="61"/>
  <c r="I17" i="61"/>
  <c r="E36" i="92"/>
  <c r="E37" i="92" s="1"/>
  <c r="E39" i="92" s="1"/>
  <c r="E23" i="75"/>
  <c r="E25" i="75" s="1"/>
  <c r="C15" i="76"/>
  <c r="E22" i="63"/>
  <c r="E36" i="77" l="1"/>
  <c r="E35" i="77"/>
  <c r="E38" i="77"/>
  <c r="E39" i="77" s="1"/>
  <c r="E40" i="77" s="1"/>
  <c r="C16" i="108"/>
  <c r="C13" i="108" s="1"/>
  <c r="C16" i="78"/>
  <c r="C13" i="78"/>
  <c r="C10" i="1"/>
  <c r="C17" i="1"/>
  <c r="C16" i="1" s="1"/>
  <c r="C19" i="1"/>
  <c r="C16" i="103"/>
  <c r="C13" i="103"/>
  <c r="C15" i="91"/>
  <c r="C15" i="25"/>
  <c r="E37" i="70"/>
  <c r="E39" i="70" s="1"/>
  <c r="E24" i="73"/>
  <c r="E26" i="73" s="1"/>
  <c r="C15" i="15"/>
  <c r="E32" i="69"/>
  <c r="E34" i="69" s="1"/>
  <c r="C15" i="10"/>
  <c r="C14" i="3"/>
  <c r="C11" i="3" s="1"/>
  <c r="C15" i="90"/>
  <c r="E37" i="72"/>
  <c r="E39" i="72" s="1"/>
  <c r="C15" i="85"/>
  <c r="F18" i="61"/>
  <c r="I18" i="61" s="1"/>
  <c r="I19" i="61"/>
  <c r="C15" i="81"/>
  <c r="E37" i="101"/>
  <c r="C15" i="106"/>
  <c r="C15" i="27"/>
  <c r="E32" i="74"/>
  <c r="E34" i="74" s="1"/>
  <c r="E41" i="93"/>
  <c r="E40" i="93"/>
  <c r="E43" i="93" s="1"/>
  <c r="E45" i="93" s="1"/>
  <c r="E16" i="87" s="1"/>
  <c r="F16" i="87" s="1"/>
  <c r="F20" i="62"/>
  <c r="I20" i="62" s="1"/>
  <c r="I21" i="62"/>
  <c r="E41" i="102"/>
  <c r="E40" i="102"/>
  <c r="C19" i="103" s="1"/>
  <c r="M19" i="48"/>
  <c r="M22" i="48" s="1"/>
  <c r="M23" i="48" s="1"/>
  <c r="J22" i="48"/>
  <c r="J23" i="48" s="1"/>
  <c r="J24" i="48" s="1"/>
  <c r="E23" i="63"/>
  <c r="E25" i="63" s="1"/>
  <c r="C15" i="26"/>
  <c r="C16" i="76"/>
  <c r="C13" i="76"/>
  <c r="E27" i="75"/>
  <c r="E26" i="75"/>
  <c r="E29" i="75"/>
  <c r="E30" i="75" s="1"/>
  <c r="E31" i="75" s="1"/>
  <c r="E40" i="92"/>
  <c r="E43" i="92" s="1"/>
  <c r="E44" i="92" s="1"/>
  <c r="E45" i="92" s="1"/>
  <c r="E15" i="87" s="1"/>
  <c r="F15" i="87" s="1"/>
  <c r="C19" i="108" l="1"/>
  <c r="C17" i="3"/>
  <c r="C16" i="3" s="1"/>
  <c r="C19" i="3" s="1"/>
  <c r="C20" i="78"/>
  <c r="C19" i="78"/>
  <c r="E39" i="101"/>
  <c r="C16" i="81"/>
  <c r="C16" i="106"/>
  <c r="C16" i="90"/>
  <c r="C13" i="90"/>
  <c r="C16" i="25"/>
  <c r="C13" i="25" s="1"/>
  <c r="E27" i="73"/>
  <c r="E28" i="73"/>
  <c r="E30" i="73" s="1"/>
  <c r="E31" i="73" s="1"/>
  <c r="E32" i="73" s="1"/>
  <c r="C13" i="81"/>
  <c r="C16" i="91"/>
  <c r="C13" i="91"/>
  <c r="C13" i="106"/>
  <c r="F20" i="61"/>
  <c r="I20" i="61" s="1"/>
  <c r="I21" i="61"/>
  <c r="E41" i="70"/>
  <c r="E40" i="70"/>
  <c r="E43" i="70" s="1"/>
  <c r="E44" i="70" s="1"/>
  <c r="E45" i="70" s="1"/>
  <c r="E8" i="30" s="1"/>
  <c r="C16" i="10"/>
  <c r="C13" i="10" s="1"/>
  <c r="C16" i="85"/>
  <c r="C13" i="85"/>
  <c r="E36" i="74"/>
  <c r="E35" i="74"/>
  <c r="E38" i="74" s="1"/>
  <c r="E39" i="74" s="1"/>
  <c r="E40" i="74" s="1"/>
  <c r="M24" i="48"/>
  <c r="E38" i="69"/>
  <c r="E39" i="69" s="1"/>
  <c r="E40" i="69" s="1"/>
  <c r="E35" i="69"/>
  <c r="E36" i="69"/>
  <c r="C20" i="1"/>
  <c r="C21" i="1" s="1"/>
  <c r="C20" i="108"/>
  <c r="C18" i="108" s="1"/>
  <c r="C20" i="103"/>
  <c r="C18" i="103" s="1"/>
  <c r="C23" i="103" s="1"/>
  <c r="C25" i="103" s="1"/>
  <c r="C27" i="103" s="1"/>
  <c r="E40" i="72"/>
  <c r="E43" i="72" s="1"/>
  <c r="E44" i="72" s="1"/>
  <c r="E45" i="72" s="1"/>
  <c r="E7" i="30" s="1"/>
  <c r="E41" i="72"/>
  <c r="E43" i="102"/>
  <c r="E45" i="102" s="1"/>
  <c r="E19" i="86" s="1"/>
  <c r="F19" i="86" s="1"/>
  <c r="C16" i="27"/>
  <c r="C13" i="27"/>
  <c r="C16" i="15"/>
  <c r="C13" i="15"/>
  <c r="C20" i="76"/>
  <c r="C19" i="76"/>
  <c r="C16" i="26"/>
  <c r="C13" i="26"/>
  <c r="E26" i="63"/>
  <c r="E27" i="63"/>
  <c r="E29" i="63" s="1"/>
  <c r="E30" i="63" s="1"/>
  <c r="E31" i="63" s="1"/>
  <c r="E9" i="30" s="1"/>
  <c r="E5" i="30" l="1"/>
  <c r="C23" i="1"/>
  <c r="C19" i="10"/>
  <c r="C20" i="10"/>
  <c r="C18" i="10" s="1"/>
  <c r="C12" i="10" s="1"/>
  <c r="F8" i="30"/>
  <c r="G8" i="30"/>
  <c r="C19" i="25"/>
  <c r="C20" i="25"/>
  <c r="C18" i="25" s="1"/>
  <c r="C23" i="25" s="1"/>
  <c r="C20" i="3"/>
  <c r="C21" i="3" s="1"/>
  <c r="G7" i="30"/>
  <c r="F7" i="30"/>
  <c r="C19" i="15"/>
  <c r="C20" i="15"/>
  <c r="C18" i="15" s="1"/>
  <c r="C12" i="15" s="1"/>
  <c r="C23" i="15"/>
  <c r="C10" i="3"/>
  <c r="C19" i="91"/>
  <c r="C18" i="91" s="1"/>
  <c r="C23" i="91" s="1"/>
  <c r="C25" i="91" s="1"/>
  <c r="C19" i="27"/>
  <c r="C20" i="27"/>
  <c r="C12" i="103"/>
  <c r="C19" i="90"/>
  <c r="C18" i="90" s="1"/>
  <c r="C23" i="90" s="1"/>
  <c r="C25" i="90" s="1"/>
  <c r="C12" i="90"/>
  <c r="C19" i="85"/>
  <c r="C20" i="85"/>
  <c r="C18" i="85" s="1"/>
  <c r="C12" i="85" s="1"/>
  <c r="C23" i="85"/>
  <c r="E40" i="101"/>
  <c r="C23" i="108"/>
  <c r="C18" i="78"/>
  <c r="G9" i="30"/>
  <c r="F9" i="30"/>
  <c r="C20" i="26"/>
  <c r="C19" i="26"/>
  <c r="C18" i="76"/>
  <c r="C24" i="25" l="1"/>
  <c r="C25" i="25" s="1"/>
  <c r="C27" i="25" s="1"/>
  <c r="C23" i="3"/>
  <c r="E6" i="30"/>
  <c r="C24" i="85"/>
  <c r="C25" i="85" s="1"/>
  <c r="C27" i="85" s="1"/>
  <c r="C12" i="91"/>
  <c r="C18" i="27"/>
  <c r="C24" i="15"/>
  <c r="C25" i="15" s="1"/>
  <c r="C27" i="15" s="1"/>
  <c r="E11" i="30" s="1"/>
  <c r="C19" i="106"/>
  <c r="C18" i="106" s="1"/>
  <c r="C19" i="81"/>
  <c r="C18" i="81" s="1"/>
  <c r="C23" i="10"/>
  <c r="C23" i="78"/>
  <c r="C12" i="78"/>
  <c r="C12" i="25"/>
  <c r="C24" i="108"/>
  <c r="C12" i="108" s="1"/>
  <c r="E16" i="86"/>
  <c r="F16" i="86" s="1"/>
  <c r="E17" i="104"/>
  <c r="F17" i="104" s="1"/>
  <c r="E13" i="87"/>
  <c r="F13" i="87" s="1"/>
  <c r="E43" i="101"/>
  <c r="E45" i="101" s="1"/>
  <c r="E18" i="86" s="1"/>
  <c r="F18" i="86" s="1"/>
  <c r="F5" i="30"/>
  <c r="G5" i="30"/>
  <c r="C12" i="76"/>
  <c r="C23" i="76"/>
  <c r="C18" i="26"/>
  <c r="F11" i="30" l="1"/>
  <c r="G11" i="30"/>
  <c r="C24" i="78"/>
  <c r="C25" i="78" s="1"/>
  <c r="C27" i="78" s="1"/>
  <c r="E14" i="30" s="1"/>
  <c r="C24" i="10"/>
  <c r="C25" i="10" s="1"/>
  <c r="C27" i="10" s="1"/>
  <c r="E10" i="30" s="1"/>
  <c r="C23" i="27"/>
  <c r="C12" i="27"/>
  <c r="F22" i="104"/>
  <c r="C28" i="108"/>
  <c r="C29" i="108" s="1"/>
  <c r="D31" i="108" s="1"/>
  <c r="C12" i="81"/>
  <c r="C23" i="81"/>
  <c r="C25" i="81" s="1"/>
  <c r="C27" i="81" s="1"/>
  <c r="G6" i="30"/>
  <c r="F6" i="30"/>
  <c r="C23" i="106"/>
  <c r="E14" i="87"/>
  <c r="F14" i="87" s="1"/>
  <c r="F19" i="87" s="1"/>
  <c r="E15" i="30" s="1"/>
  <c r="E17" i="86"/>
  <c r="F17" i="86" s="1"/>
  <c r="F20" i="86" s="1"/>
  <c r="E18" i="104"/>
  <c r="F18" i="104" s="1"/>
  <c r="C28" i="106" s="1"/>
  <c r="C25" i="108"/>
  <c r="C27" i="108" s="1"/>
  <c r="C12" i="26"/>
  <c r="C23" i="26"/>
  <c r="C24" i="76"/>
  <c r="C25" i="76" s="1"/>
  <c r="C27" i="76" s="1"/>
  <c r="E13" i="30" s="1"/>
  <c r="G15" i="30" l="1"/>
  <c r="F15" i="30"/>
  <c r="G10" i="30"/>
  <c r="F10" i="30"/>
  <c r="F14" i="30"/>
  <c r="G14" i="30"/>
  <c r="C27" i="91"/>
  <c r="C28" i="91" s="1"/>
  <c r="C25" i="27"/>
  <c r="C27" i="27" s="1"/>
  <c r="E12" i="30" s="1"/>
  <c r="C24" i="27"/>
  <c r="F18" i="87"/>
  <c r="F20" i="87"/>
  <c r="E16" i="30" s="1"/>
  <c r="C24" i="106"/>
  <c r="C12" i="106" s="1"/>
  <c r="F22" i="86"/>
  <c r="F17" i="87"/>
  <c r="C28" i="103"/>
  <c r="C29" i="103" s="1"/>
  <c r="D31" i="103" s="1"/>
  <c r="E18" i="30" s="1"/>
  <c r="G18" i="30" s="1"/>
  <c r="F23" i="86"/>
  <c r="F21" i="86"/>
  <c r="F21" i="104"/>
  <c r="C27" i="90"/>
  <c r="C28" i="90" s="1"/>
  <c r="C28" i="81"/>
  <c r="C29" i="81" s="1"/>
  <c r="C31" i="81" s="1"/>
  <c r="E17" i="30" s="1"/>
  <c r="G17" i="30" s="1"/>
  <c r="G13" i="30"/>
  <c r="F13" i="30"/>
  <c r="C24" i="26"/>
  <c r="C25" i="26" s="1"/>
  <c r="C27" i="26" s="1"/>
  <c r="C25" i="106" l="1"/>
  <c r="C27" i="106" s="1"/>
  <c r="C29" i="106" s="1"/>
  <c r="C31" i="106" s="1"/>
  <c r="F16" i="30"/>
  <c r="G16" i="30"/>
  <c r="F12" i="30"/>
  <c r="G12" i="30"/>
</calcChain>
</file>

<file path=xl/sharedStrings.xml><?xml version="1.0" encoding="utf-8"?>
<sst xmlns="http://schemas.openxmlformats.org/spreadsheetml/2006/main" count="2652" uniqueCount="633">
  <si>
    <t>№</t>
  </si>
  <si>
    <t>Складові тарифу</t>
  </si>
  <si>
    <t>Витрати на обсяг послуг планового періоду</t>
  </si>
  <si>
    <t>Витрати операційної діяльності</t>
  </si>
  <si>
    <t>Виробнича собівартість</t>
  </si>
  <si>
    <t>Інші прямі витрати в т.ч. :</t>
  </si>
  <si>
    <t>відрахування на загальнообов’язкове державне соціальне страхування- 22%</t>
  </si>
  <si>
    <t>Операційні витрати У т.ч.:</t>
  </si>
  <si>
    <t>Повна собівартість (1.1+1.2)</t>
  </si>
  <si>
    <t>Чистий плановий прибуток (12%  від повної собівартості)</t>
  </si>
  <si>
    <t>Усього вартість (2+3)</t>
  </si>
  <si>
    <t>Обсяг наданих послуг у натуральному вираженні</t>
  </si>
  <si>
    <t>Тариф (ціна) одиниці послуги (4/5)</t>
  </si>
  <si>
    <t>1.1</t>
  </si>
  <si>
    <t>1.1.1</t>
  </si>
  <si>
    <t>Найменування</t>
  </si>
  <si>
    <t>Од.вим.</t>
  </si>
  <si>
    <t>к-ть</t>
  </si>
  <si>
    <t>Ціна</t>
  </si>
  <si>
    <t>Сума</t>
  </si>
  <si>
    <t>бланк</t>
  </si>
  <si>
    <t>шт</t>
  </si>
  <si>
    <t>1.1.2</t>
  </si>
  <si>
    <t>1.1.3</t>
  </si>
  <si>
    <t>1.2</t>
  </si>
  <si>
    <t xml:space="preserve">Прямі матеріальні витрати у т.ч.:   сировина та матеріали інші матеріальні витрати
</t>
  </si>
  <si>
    <t>Прямі матеріальні витрати:</t>
  </si>
  <si>
    <t>Прямі витрати на оплату праці</t>
  </si>
  <si>
    <t>Інші операційні витрати</t>
  </si>
  <si>
    <t>Фінансові витрати</t>
  </si>
  <si>
    <t>Повна собівартість (1.1+1.2+2)</t>
  </si>
  <si>
    <t>Усього вартість (3+4)</t>
  </si>
  <si>
    <t>Тариф (ціна) одиниці послуги (5/6)</t>
  </si>
  <si>
    <t>№   з/п</t>
  </si>
  <si>
    <t>Додаток</t>
  </si>
  <si>
    <t>до п.10 Єдиної методики визначення вартості</t>
  </si>
  <si>
    <t>надання громадянам необхідного мінімального</t>
  </si>
  <si>
    <t>переліку окремих видів ритуальних послуг</t>
  </si>
  <si>
    <t>реалізації предметів ритуальної належності</t>
  </si>
  <si>
    <t>КАЛЬКУЛЯЦІЯ №1</t>
  </si>
  <si>
    <t>Оформлення договору-замовлення на організацію та проведення поховання</t>
  </si>
  <si>
    <t>7.1</t>
  </si>
  <si>
    <t>Для розрахунку використовуються норми часу затверджені наказом Міністерства з питань житлово-комунального господарства №52 від 3.03.09  «Про затвердження норм часу на надання ритуальних послуг та виготовлення предметів ритуальної належності»</t>
  </si>
  <si>
    <t>Склад роботи:</t>
  </si>
  <si>
    <t xml:space="preserve">Опрацювання необхідних  реквізитів  у  формі  свідоцтва  в комп'ютерній програмі.
</t>
  </si>
  <si>
    <t xml:space="preserve">Опрацювання договору-замовлення,  друкування,  подання  на підпис замовнику.
</t>
  </si>
  <si>
    <t>1.</t>
  </si>
  <si>
    <t>2.</t>
  </si>
  <si>
    <t>3.</t>
  </si>
  <si>
    <t xml:space="preserve">Опрацювання даних у відповідному журналі-обліку. </t>
  </si>
  <si>
    <t>Склад робочих:</t>
  </si>
  <si>
    <t>Норми часу на 1 послугу - 0,13 люд.-год.</t>
  </si>
  <si>
    <t>Додаткова заробітна плата:</t>
  </si>
  <si>
    <t xml:space="preserve">Єдиний соціальний внесок на заробітну плату становить 22% </t>
  </si>
  <si>
    <t>катридж</t>
  </si>
  <si>
    <t>Директор КП "Ритуальні послуги"______________</t>
  </si>
  <si>
    <t>грн</t>
  </si>
  <si>
    <t xml:space="preserve">Додаток №1 </t>
  </si>
  <si>
    <t>до калькуляції №1</t>
  </si>
  <si>
    <t>до калькуляції № 2</t>
  </si>
  <si>
    <t>7.2</t>
  </si>
  <si>
    <t>Реєстрування у базі даних.</t>
  </si>
  <si>
    <t>Роздрукування на пристої.</t>
  </si>
  <si>
    <t>4.</t>
  </si>
  <si>
    <t>Звірення з паспортними даними замовника.</t>
  </si>
  <si>
    <t>Норми часу на 1 послугу - 0,08 люд.-год.</t>
  </si>
  <si>
    <t>КАЛЬКУЛЯЦІЯ №2</t>
  </si>
  <si>
    <t>Разом</t>
  </si>
  <si>
    <t>№ з/п</t>
  </si>
  <si>
    <t>Об'єкт  витрат</t>
  </si>
  <si>
    <t>Ціна (грн.)</t>
  </si>
  <si>
    <t>Одиниця виміру</t>
  </si>
  <si>
    <t>Сума (грн)</t>
  </si>
  <si>
    <t>Лопата штикова</t>
  </si>
  <si>
    <t>Лопата совкова</t>
  </si>
  <si>
    <t>Лом будівельний 1200 мм</t>
  </si>
  <si>
    <t>Рулетка 5м</t>
  </si>
  <si>
    <t>Мітла</t>
  </si>
  <si>
    <t>Молоток</t>
  </si>
  <si>
    <t>Спецодяг літній</t>
  </si>
  <si>
    <t>пар</t>
  </si>
  <si>
    <t>м</t>
  </si>
  <si>
    <t xml:space="preserve">Мотузка </t>
  </si>
  <si>
    <t>грн./поховання</t>
  </si>
  <si>
    <t>адміністративні витрати  (15% від виробничої собівартості)</t>
  </si>
  <si>
    <t>1.2.1</t>
  </si>
  <si>
    <t>Витрати на збут (5% від виробничої собівартості)</t>
  </si>
  <si>
    <t>1.2.2</t>
  </si>
  <si>
    <t>1.2.3</t>
  </si>
  <si>
    <t>3</t>
  </si>
  <si>
    <t>4</t>
  </si>
  <si>
    <t>5</t>
  </si>
  <si>
    <t>6</t>
  </si>
  <si>
    <t>7</t>
  </si>
  <si>
    <t>Граблі з держаком</t>
  </si>
  <si>
    <t>Взутя шкіряне</t>
  </si>
  <si>
    <t>Сапоги гумові</t>
  </si>
  <si>
    <t>кг</t>
  </si>
  <si>
    <t>Плащ водостійкий</t>
  </si>
  <si>
    <t>Кирка</t>
  </si>
  <si>
    <t>Сокира</t>
  </si>
  <si>
    <t>Напилок для заточки лопат </t>
  </si>
  <si>
    <t>Ножовка по дереву</t>
  </si>
  <si>
    <t>2.2</t>
  </si>
  <si>
    <t>Ручка с пастой</t>
  </si>
  <si>
    <t>КАЛЬКУЛЯЦІЯ № 3</t>
  </si>
  <si>
    <t>№ п/п</t>
  </si>
  <si>
    <t>Робітник ритуальних послуг</t>
  </si>
  <si>
    <t>ручка с пастой</t>
  </si>
  <si>
    <t>Відро 12л</t>
  </si>
  <si>
    <t>Драбина 2,7 м</t>
  </si>
  <si>
    <t>Копання могили механізованим способом із застосуванням ексковатора та поховання померлого в літній період</t>
  </si>
  <si>
    <t>Копання могили механізованим способом із застосуванням ексковатора та поховання померлого в зимку</t>
  </si>
  <si>
    <t>Копання могили ручним способом та поховання померлого в літку</t>
  </si>
  <si>
    <t>КАЛЬКУЛЯЦІЯ № 5</t>
  </si>
  <si>
    <t>КАЛЬКУЛЯЦІЯ № 7</t>
  </si>
  <si>
    <t>КАЛЬКУЛЯЦІЯ № 6</t>
  </si>
  <si>
    <t>Копка могили вручну влітку всередині, раніше встановленої огорожі</t>
  </si>
  <si>
    <t>Копка могили вручну взимку всередині, раніше встановленої огорожі</t>
  </si>
  <si>
    <t>КАЛЬКУЛЯЦІЯ № 9</t>
  </si>
  <si>
    <t>КАЛЬКУЛЯЦІЯ № 10</t>
  </si>
  <si>
    <t>Куртка тепла зимова</t>
  </si>
  <si>
    <t>зима</t>
  </si>
  <si>
    <t>Штани бавовняні</t>
  </si>
  <si>
    <t>КАЛЬКУЛЯЦІЯ № 4</t>
  </si>
  <si>
    <t>Потреба на  одно захоронення</t>
  </si>
  <si>
    <t>грн.</t>
  </si>
  <si>
    <t>2.1</t>
  </si>
  <si>
    <t>КАЛЬКУЛЯЦІЯ № 8</t>
  </si>
  <si>
    <t xml:space="preserve">Норма робочого часу </t>
  </si>
  <si>
    <t xml:space="preserve">− премія місячна </t>
  </si>
  <si>
    <t xml:space="preserve">− матеріальна допомога на оздоровління </t>
  </si>
  <si>
    <t>Организатор ритуалу</t>
  </si>
  <si>
    <t xml:space="preserve">Місячний оклад згідно штатного розпису </t>
  </si>
  <si>
    <t>Кількість місяців</t>
  </si>
  <si>
    <t xml:space="preserve">Копка могили вручну в огорожі </t>
  </si>
  <si>
    <t>Копка могили ручним способом</t>
  </si>
  <si>
    <t>Копання могили механізованим способом</t>
  </si>
  <si>
    <t>Поховання та підпоховання урни з прахом</t>
  </si>
  <si>
    <t xml:space="preserve">Всього витрати на оплату праці на 1 годину  </t>
  </si>
  <si>
    <t xml:space="preserve"> год.</t>
  </si>
  <si>
    <t>год/міс.</t>
  </si>
  <si>
    <t xml:space="preserve">год. /  12  місяців  =  </t>
  </si>
  <si>
    <t>/</t>
  </si>
  <si>
    <t>=</t>
  </si>
  <si>
    <t>Основна погодинна ставка :</t>
  </si>
  <si>
    <t>ВСЬОГО</t>
  </si>
  <si>
    <t>Для розрахунку використовуються норми часу затверджені наказом Міністерства з питань житлово-комунального господарства №52 від 3.03.09  «Про затверджен-ня норм часу на надання ритуальних послуг та виготовлення предметів ритуальної належності»</t>
  </si>
  <si>
    <t>Срок використання, рік</t>
  </si>
  <si>
    <t>Рукавиці робочі (1 міс)</t>
  </si>
  <si>
    <t>витарати на рік</t>
  </si>
  <si>
    <t xml:space="preserve">Норма витрат на одиницю поховань:  </t>
  </si>
  <si>
    <t>ВСЬОГО операційних витрат</t>
  </si>
  <si>
    <t>За базу для розрахунку взято запланованих у 2024 році :</t>
  </si>
  <si>
    <t>головного бухгалтера</t>
  </si>
  <si>
    <t>Прибиральник території кладовища</t>
  </si>
  <si>
    <t>№ 
з/п</t>
  </si>
  <si>
    <t xml:space="preserve">Кількість штатних одиниць </t>
  </si>
  <si>
    <t>Директор</t>
  </si>
  <si>
    <t xml:space="preserve">Головний бухгалтер </t>
  </si>
  <si>
    <t>1.3</t>
  </si>
  <si>
    <t>Бухгалтер (з дипломом спеціаліста)</t>
  </si>
  <si>
    <t>Усього за розділом</t>
  </si>
  <si>
    <t>Cтруктурний  підрозділ (робітники)</t>
  </si>
  <si>
    <t>Організатор ритуалу </t>
  </si>
  <si>
    <t>2.3</t>
  </si>
  <si>
    <t>Водій автотранспортного засобу</t>
  </si>
  <si>
    <t>* - відповідно до додатку 1 Галузевої угоди на 2023 - 2027 рр.</t>
  </si>
  <si>
    <t>Головний бухгалтер</t>
  </si>
  <si>
    <t>Наталя ЛЕОНОВА</t>
  </si>
  <si>
    <t xml:space="preserve">Додаткова заробітна плата погодина ставка </t>
  </si>
  <si>
    <t xml:space="preserve">Витрати на оплату праці на 1 годину </t>
  </si>
  <si>
    <t>Основна погодина ставка</t>
  </si>
  <si>
    <t>Фонд робочого часу</t>
  </si>
  <si>
    <t>Приймальник замовлень (организатор ритуалу)</t>
  </si>
  <si>
    <t>Місячний оклад организатора ритуалу згідно штатного розпису:</t>
  </si>
  <si>
    <t>Прямі витрати на оплату праці  (организатор ритуалу)</t>
  </si>
  <si>
    <t>пара</t>
  </si>
  <si>
    <t>Обсяги</t>
  </si>
  <si>
    <t>Тариф</t>
  </si>
  <si>
    <t>Оплата за місяць</t>
  </si>
  <si>
    <t>СУМА за РІК</t>
  </si>
  <si>
    <t>− Експлуатаційні витрати приміщення (договір з ОСББ «Світанок 21» ) , м²</t>
  </si>
  <si>
    <t>− Електроенергія , кВт</t>
  </si>
  <si>
    <t xml:space="preserve">− оплата за воду: </t>
  </si>
  <si>
    <t xml:space="preserve">Офіс </t>
  </si>
  <si>
    <t>Южненськое кладовище</t>
  </si>
  <si>
    <t xml:space="preserve">− Комунальні платежи (опалення) </t>
  </si>
  <si>
    <t xml:space="preserve">− Інші платежи (інтернет) </t>
  </si>
  <si>
    <t>За базу для розрахунку взято фактичний обсяг померлих у 2023 році та 8 міс 2024 році</t>
  </si>
  <si>
    <t>Усього</t>
  </si>
  <si>
    <t>середній показник в місяць</t>
  </si>
  <si>
    <t>За базу для розрахунку взято фактичний обсяг померлих у 2023 році та 8 міс 2024 році - 325 поховання +194 поховання =   519 похованнь/ 20 місяців =  26  похованнь - середній показник в місяць</t>
  </si>
  <si>
    <t>Од.виміру</t>
  </si>
  <si>
    <t xml:space="preserve">Дані  для розрахунку тарифів на ритуальні послуги,  що надаються  
КП „Ритуальні послуги” </t>
  </si>
  <si>
    <t>Од. виміру</t>
  </si>
  <si>
    <t xml:space="preserve">На 1 поховання </t>
  </si>
  <si>
    <t>до п.10 Єдиної методики визначення вартості надання громадянам необхідного мінімального переліку окремих видів ритуальних послуг реалізації предметів ритуальної належності</t>
  </si>
  <si>
    <t>Додаток 1</t>
  </si>
  <si>
    <t>+</t>
  </si>
  <si>
    <t>Норма робочого часу на 2025 рік   =</t>
  </si>
  <si>
    <r>
      <t xml:space="preserve">Операційні витрати на одну послугу  </t>
    </r>
    <r>
      <rPr>
        <b/>
        <sz val="11"/>
        <rFont val="Times New Roman"/>
        <family val="1"/>
        <charset val="204"/>
      </rPr>
      <t>:</t>
    </r>
  </si>
  <si>
    <t>Прямі матеріальні витрати у т.ч.:   сировина та матеріали інші матеріальні витрати</t>
  </si>
  <si>
    <t>/26*0,13</t>
  </si>
  <si>
    <t>/26*0,08</t>
  </si>
  <si>
    <t>Зимовий період</t>
  </si>
  <si>
    <t xml:space="preserve">Найменування робіт </t>
  </si>
  <si>
    <t>Обгрунтування</t>
  </si>
  <si>
    <t>Норми</t>
  </si>
  <si>
    <t>Кількість</t>
  </si>
  <si>
    <t>Тарифна ставка</t>
  </si>
  <si>
    <t>Нормо години</t>
  </si>
  <si>
    <t>Витрати, грн.</t>
  </si>
  <si>
    <t>Норми часу на копку могили, група ґрунту ІІ</t>
  </si>
  <si>
    <t>Наказ № 193 від 19.11.2003р. та наказ № 52 від 03.03.2009р.</t>
  </si>
  <si>
    <t>для мерзлих ґрунтів глибиною промерзання до 0,5 м.</t>
  </si>
  <si>
    <t>Наказ № 52 від 03.03.2009 р.  Розділ ІІ п.3</t>
  </si>
  <si>
    <t>люд.-год</t>
  </si>
  <si>
    <t>9,4*1,1</t>
  </si>
  <si>
    <t xml:space="preserve">для не мерзлих ґрунтів </t>
  </si>
  <si>
    <t>Наказ № 52 від 03.03.2009 р.  Розділ ІІ п.1 п.п.1.1.</t>
  </si>
  <si>
    <t>на закопування могили</t>
  </si>
  <si>
    <t>Наказ № 52 від 03.03.2009 р.  Розділ ІІ п.1 п.п.1.2.</t>
  </si>
  <si>
    <t>Наказ № 193 від 19.11.2003 р.  та наказ № 52 від 03.03.2009 р.</t>
  </si>
  <si>
    <t>м³</t>
  </si>
  <si>
    <t xml:space="preserve">Наказ № 52 від 03.03.2009 р.  </t>
  </si>
  <si>
    <t>Єдиний соціальний внесок 22%</t>
  </si>
  <si>
    <t>Інші прямі витрати (матеріальні витрати)</t>
  </si>
  <si>
    <t>Розрахунок №3</t>
  </si>
  <si>
    <t>Загальновиробничі витрати 27,10%</t>
  </si>
  <si>
    <t>Розрахунок №4</t>
  </si>
  <si>
    <t xml:space="preserve">Планова виробнича собівартість </t>
  </si>
  <si>
    <t>Адміністративні витрати 15%</t>
  </si>
  <si>
    <t>Повна собівартість</t>
  </si>
  <si>
    <t>Рентабельність  12%</t>
  </si>
  <si>
    <t xml:space="preserve">Вартість одиниці послуги </t>
  </si>
  <si>
    <t>Літній  період</t>
  </si>
  <si>
    <t xml:space="preserve">збільшення норм часу до 30%  для ґрунтів IІ групи при роботі в  сильно  налипаючих ґрунтах  </t>
  </si>
  <si>
    <t xml:space="preserve">Наказ № 52 від 03.03.2009 р.  Розділ ІІ п.2 </t>
  </si>
  <si>
    <t>Об'єм ґрунту розміром 2,2 х 1 х 1,9</t>
  </si>
  <si>
    <t xml:space="preserve">Розмір могили: 2,2 м.(довжина)*1,0м (ширина)*1,9 м (глибина) </t>
  </si>
  <si>
    <t>для не мерзлих ґрунтів 2,2 х 1 х 1,9</t>
  </si>
  <si>
    <t>на закопування могили 2,2 х 1 х 1,9</t>
  </si>
  <si>
    <t>Норма часу на копання та закопування могили 4,18 м³</t>
  </si>
  <si>
    <t xml:space="preserve">Витяг з розрахунку фонду оплати праці  комунального підприємства "Ритуальні послуги"  </t>
  </si>
  <si>
    <t>Період</t>
  </si>
  <si>
    <t xml:space="preserve">Мінімальна заробітна плата </t>
  </si>
  <si>
    <t xml:space="preserve">Прожитковий мінімум    </t>
  </si>
  <si>
    <t>Назва структурного  
підрозділу 
та посад</t>
  </si>
  <si>
    <t>Посадовий оклад (тарифна ставка)</t>
  </si>
  <si>
    <t>Сума за посадовими окладами (основна з/пл)</t>
  </si>
  <si>
    <t xml:space="preserve">Премія місячна </t>
  </si>
  <si>
    <t>Фонд додаткової з/п</t>
  </si>
  <si>
    <t>Доплата до МЗ</t>
  </si>
  <si>
    <t>Фонд оплати праці  на місяць</t>
  </si>
  <si>
    <t>Матеріальна допомога на оздоровлення (до відпустки)</t>
  </si>
  <si>
    <t>Фонд оплати праці за період</t>
  </si>
  <si>
    <t>%</t>
  </si>
  <si>
    <t>сума (грн)</t>
  </si>
  <si>
    <t>Cтруктурний  підрозділ (Адміністрація)</t>
  </si>
  <si>
    <t xml:space="preserve">Усього по підприємству: </t>
  </si>
  <si>
    <t>Усього за період</t>
  </si>
  <si>
    <t xml:space="preserve"> за рахунок господарської діяльності на   2025   рік.</t>
  </si>
  <si>
    <t>з 01.01.24 по 31.12.2024 р.</t>
  </si>
  <si>
    <t>Тарифна ставка робітника ритуальних послуг (годинна)</t>
  </si>
  <si>
    <t>(викопування  могили  ручним  способом,  опускання  труни  з  тілом  померлого  в могилу, закопування могили,  формування  намогильного  насипу  та одноразове прибирання території біля могили).</t>
  </si>
  <si>
    <t>Розрахунок</t>
  </si>
  <si>
    <t>Сума (грн.)</t>
  </si>
  <si>
    <t xml:space="preserve">Могила розміром                            </t>
  </si>
  <si>
    <t>(наказ №52 р.2,п.1,під.п.1.1)</t>
  </si>
  <si>
    <t xml:space="preserve">Планування площ по рейці </t>
  </si>
  <si>
    <t>(наказ №52 р.2,п.1,під п.1.4)</t>
  </si>
  <si>
    <t xml:space="preserve">Закопування могили та формування намогильного насипу норма часу    </t>
  </si>
  <si>
    <t>(наказ №52 р.2,п.1,під п.1.2)</t>
  </si>
  <si>
    <t>К 30%</t>
  </si>
  <si>
    <t>(наказ №52 р.2,п.1,2)</t>
  </si>
  <si>
    <t>Разом заробітна плата робітника ритуальних послуг:</t>
  </si>
  <si>
    <t>Нарахування на заробітну плату</t>
  </si>
  <si>
    <t>Разом прямі витрати</t>
  </si>
  <si>
    <t xml:space="preserve">Адміністративні витрати </t>
  </si>
  <si>
    <t xml:space="preserve">Загальновиробничі витрати </t>
  </si>
  <si>
    <t xml:space="preserve">Рентабельність </t>
  </si>
  <si>
    <t xml:space="preserve">Вартість одиниці послуги  </t>
  </si>
  <si>
    <t>м3</t>
  </si>
  <si>
    <t xml:space="preserve">2,2м*1,9м*1,0м </t>
  </si>
  <si>
    <t>л/год.</t>
  </si>
  <si>
    <t>2,2м х1,0м</t>
  </si>
  <si>
    <r>
      <t>2,6л/год.*4,18м</t>
    </r>
    <r>
      <rPr>
        <vertAlign val="superscript"/>
        <sz val="12"/>
        <color indexed="8"/>
        <rFont val="Times New Roman"/>
        <family val="1"/>
        <charset val="204"/>
      </rPr>
      <t xml:space="preserve">3  </t>
    </r>
  </si>
  <si>
    <t>Розрахунок №1</t>
  </si>
  <si>
    <t>Штатний розпис, Розрахунок №1</t>
  </si>
  <si>
    <t>розрахунок №2</t>
  </si>
  <si>
    <t>Розрахунок №2</t>
  </si>
  <si>
    <t>Відведення ділянок для поховання</t>
  </si>
  <si>
    <t>0,1люд/год.</t>
  </si>
  <si>
    <t>2,6люд/год.</t>
  </si>
  <si>
    <t>0,13люд/год.</t>
  </si>
  <si>
    <t>0,58люд/год.</t>
  </si>
  <si>
    <t>розрахунок №3</t>
  </si>
  <si>
    <t>Витрати на збут</t>
  </si>
  <si>
    <t xml:space="preserve">Розрахунок до </t>
  </si>
  <si>
    <t xml:space="preserve">Копання могили ручним способом на 1м3 ґрунту ІІ гр. </t>
  </si>
  <si>
    <t>Збільшення Норм часу для ґрунту ІІ гр.  при роботі з ґрунтами сильно налипаючих на інструмент</t>
  </si>
  <si>
    <t xml:space="preserve">Копання і закопування могили ручним способом та формування намогильного насипу могили </t>
  </si>
  <si>
    <t>(наказ №52 р.2,п.1,під.п.1.1,під п.1.2)</t>
  </si>
  <si>
    <t>10,87+2,42</t>
  </si>
  <si>
    <t>77,87грн.*17,28л/год.</t>
  </si>
  <si>
    <t>2,2*0,5*1</t>
  </si>
  <si>
    <t>2,2*1,4*1</t>
  </si>
  <si>
    <t>Наказ № 193 від 19.11.2003 р.  та наказ № 52    від 03.03.2009 р.</t>
  </si>
  <si>
    <t>9,4люд/год.</t>
  </si>
  <si>
    <t>3,08м3*2,6люд/год.</t>
  </si>
  <si>
    <t>(13,44+3,08) грн</t>
  </si>
  <si>
    <t>1,1м3*9,4люд/год+30%</t>
  </si>
  <si>
    <t xml:space="preserve">Наказ № 193 від 19.11.2003 р. </t>
  </si>
  <si>
    <t>− у режимі роботи екскаватора</t>
  </si>
  <si>
    <t xml:space="preserve">− у транспортному режимі </t>
  </si>
  <si>
    <t>год</t>
  </si>
  <si>
    <t xml:space="preserve">на дорогу до кладовища і назад в гараж КП "ВІК" </t>
  </si>
  <si>
    <t>Ціна 1 литра палива</t>
  </si>
  <si>
    <t>згідно додатку 1 до наказу №40-08 від 31.05.2019р КП "ВІК"</t>
  </si>
  <si>
    <t>згідно талону замовника</t>
  </si>
  <si>
    <t>(викопування  могили  механізованим способом,  зачищення дна та стінок, опускання  труни  з  тілом  померлого  в могилу,  закопування могили,  формування  намогильного  насипу  та одноразове прибирання території біля могили).</t>
  </si>
  <si>
    <t>Склад робіт: планування площі по рейці;  копання механізованим  способом;  зачищення поверхні  дна та стінок могили; закопування могили ручним способом; закривання труни;  опускання труни з тілом померлого в могилу; формування намогильного насипу;  оформлення могильного насипу вінками та квітами; одноразове прибирання території біля могили.</t>
  </si>
  <si>
    <t>Для розрахунку використовуються норми часу затверджені наказом Міністерства з питань житлово-комунального господарства №52 від 03.03.09  «Про затвердження норм часу на надання ритуальних послуг та виготовлення предметів ритуальної належності», «Порядок утримання кладовищ та інших місць поховань» затверджений наказом Держжитлокомунгоспу №193 від 19.11.2003р., «Ресурсні елементні  кошторисні норми на ремонтно-будівельні роботи» збірник 1 «Земляні роботи» ДСТУ Б Д.2.4-1:2012, «Норми витрат палива і мастильних матеріалів на автомобільному  транспорті» наказ Міністерства транспорту  України  № 43 від  10.02.1998.</t>
  </si>
  <si>
    <t xml:space="preserve">Витрат на ДП для роботи ексковатора-навантажувач JCB 4CX SITEMASTER </t>
  </si>
  <si>
    <t xml:space="preserve">Копання  могили механізованим способом </t>
  </si>
  <si>
    <t>0,14 м./год. на 1м3грунт 2кл.
ДСТУ Б Д.2.4-1:2012</t>
  </si>
  <si>
    <t>0,14 м./год.*4,18м3= 0,59 м/год</t>
  </si>
  <si>
    <t xml:space="preserve">Зачищення дна і стінок після копання могили механізованим способом  ґрунту ІІ гр. </t>
  </si>
  <si>
    <t>0,125л/год.
(наказ №52 р.2,п.1,під п.1.3)</t>
  </si>
  <si>
    <t>0,125л/год.* ((2,2*1,0)+(2,2+1,0 )*2 *1,9) м2</t>
  </si>
  <si>
    <t>1,8люд/год+30%</t>
  </si>
  <si>
    <t>0,79люд/год.</t>
  </si>
  <si>
    <t xml:space="preserve">Зачищення дна і стінок  після копання могили механізованим способом і закопування могили ручним способом та формування намогильного насипу могили </t>
  </si>
  <si>
    <t>Прямі матеріальні витрати у т.ч.:   сировина та матеріали інші матеріальні витрати, в т.ч. за роботу ексковатора</t>
  </si>
  <si>
    <t>Закрутка для труни нефарбована "Метелик"</t>
  </si>
  <si>
    <t>− у транспортному режимі (для викопування 8 могил)</t>
  </si>
  <si>
    <t>(викопування  могили  ручним  способом влітку всередині, раніше встановленої огорожі,  опускання  труни  з  тілом  померлого  в могилу, закопування могили,  формування  намогильного  насипу  та одноразове прибирання території біля могили).</t>
  </si>
  <si>
    <t>Збільшення норм часу при проведенні підпоховання в раніше встановлену огорожу</t>
  </si>
  <si>
    <t>люд/год.</t>
  </si>
  <si>
    <t>Поховання та підпоховання урни з прахом померлих в літку                                                                               у колумбарну нішу, в існуючу могилу, у землю</t>
  </si>
  <si>
    <t>0,8м х0,8м</t>
  </si>
  <si>
    <t xml:space="preserve">0,8м*0,8м*0,8м </t>
  </si>
  <si>
    <t>Поховання та підпоховання урни з прахом померлих в зимку                                                                                                    у колумбарну нішу, в існуючу могилу, у землю могилу, у землю</t>
  </si>
  <si>
    <t>(викопування  могили  ручним  способом,  опускання  урни з прахом померлих  в могилу, закопування могили,  формування  намогильного  насипу  та одноразове прибирання території біля могили).</t>
  </si>
  <si>
    <t>Склад робіт: планування площі по рейці;  розпушення ґрунту ручним способом;  викидання ґрунту на брівку;  очищення берми; копання ями ручним способом за допомогою лопати розміром 0,8х0,8х0,8 м.; опускання урни з прахом померлого в могилу; підсипання підстеляючих шарів піску; закопування могили та формування намогильного насипу;  оформлення могильного насипу вінками та квітами; одноразове прибирання території біля могили.</t>
  </si>
  <si>
    <t xml:space="preserve">0,8м*0,5м*0,8м </t>
  </si>
  <si>
    <t xml:space="preserve">0,8м*0,3м*0,8м </t>
  </si>
  <si>
    <t>0,32м3*9,4люд/год+30%</t>
  </si>
  <si>
    <t>0,192м3*2,6люд/год.</t>
  </si>
  <si>
    <t>8</t>
  </si>
  <si>
    <t>9</t>
  </si>
  <si>
    <t>Копання могил ручним способом та поховання померлого в зимку</t>
  </si>
  <si>
    <r>
      <t>77,87грн.* 0,1л/год.*2,2м</t>
    </r>
    <r>
      <rPr>
        <vertAlign val="superscript"/>
        <sz val="12"/>
        <rFont val="Times New Roman"/>
        <family val="1"/>
        <charset val="204"/>
      </rPr>
      <t>2</t>
    </r>
    <r>
      <rPr>
        <sz val="12"/>
        <rFont val="Times New Roman"/>
        <family val="1"/>
        <charset val="204"/>
      </rPr>
      <t>+0,9%</t>
    </r>
  </si>
  <si>
    <r>
      <t>77,87грн.* 0,13л/год.*2,2м</t>
    </r>
    <r>
      <rPr>
        <vertAlign val="superscript"/>
        <sz val="12"/>
        <rFont val="Times New Roman"/>
        <family val="1"/>
        <charset val="204"/>
      </rPr>
      <t>2</t>
    </r>
    <r>
      <rPr>
        <sz val="12"/>
        <rFont val="Times New Roman"/>
        <family val="1"/>
        <charset val="204"/>
      </rPr>
      <t>+0,9%</t>
    </r>
  </si>
  <si>
    <t>(13,44+8,01) +0,9%</t>
  </si>
  <si>
    <t xml:space="preserve">Витрати на оплату праці 1 години складає  </t>
  </si>
  <si>
    <t>Оформлення свідоцтва про поховання</t>
  </si>
  <si>
    <t>5,0л/год*0,59год* 58,99грн</t>
  </si>
  <si>
    <r>
      <t>77,87грн.* 0,1л/год.*2,2м</t>
    </r>
    <r>
      <rPr>
        <vertAlign val="superscript"/>
        <sz val="12"/>
        <rFont val="Times New Roman"/>
        <family val="1"/>
        <charset val="204"/>
      </rPr>
      <t>2</t>
    </r>
  </si>
  <si>
    <r>
      <t>77,87грн.* 0,13л/год.*2,2м</t>
    </r>
    <r>
      <rPr>
        <vertAlign val="superscript"/>
        <sz val="12"/>
        <rFont val="Times New Roman"/>
        <family val="1"/>
        <charset val="204"/>
      </rPr>
      <t>2</t>
    </r>
  </si>
  <si>
    <r>
      <t xml:space="preserve"> 0,79л/год.*4,18м</t>
    </r>
    <r>
      <rPr>
        <vertAlign val="superscript"/>
        <sz val="12"/>
        <rFont val="Times New Roman"/>
        <family val="1"/>
        <charset val="204"/>
      </rPr>
      <t>3</t>
    </r>
  </si>
  <si>
    <t>− у транспортному режимі (для викопування 10 могил)</t>
  </si>
  <si>
    <t xml:space="preserve">Норми часу на 1 посл.  0,13* на оплату праці за 1 год 87,96 грн </t>
  </si>
  <si>
    <t xml:space="preserve">Норми часу на 1 посл.  0,08* на оплату праці за 1 год 87,96 грн </t>
  </si>
  <si>
    <t>10,0 л/год*1год *58,99грн/10</t>
  </si>
  <si>
    <t>5,0л/год*1,08 *0,5год*58,99грн</t>
  </si>
  <si>
    <t>0,14 м./год. на 1м3 грунт 2кл.
ДСТУ Б Д.2.4-1:2012</t>
  </si>
  <si>
    <t>2,34+3,3</t>
  </si>
  <si>
    <t>5,64+30%</t>
  </si>
  <si>
    <t>77,87грн.*7,33л/год.</t>
  </si>
  <si>
    <t>17,13+22,27+570,79</t>
  </si>
  <si>
    <t>610,19*22%</t>
  </si>
  <si>
    <t>10,0 л/год* 1,08* 1год*58,99грн/8</t>
  </si>
  <si>
    <r>
      <t xml:space="preserve"> 0,58л/год.*4,18м</t>
    </r>
    <r>
      <rPr>
        <vertAlign val="superscript"/>
        <sz val="12"/>
        <rFont val="Times New Roman"/>
        <family val="1"/>
        <charset val="204"/>
      </rPr>
      <t>3</t>
    </r>
  </si>
  <si>
    <t>13,29+30%</t>
  </si>
  <si>
    <t>17,13+22,27+  1345,59</t>
  </si>
  <si>
    <t>1384,99*22%</t>
  </si>
  <si>
    <t>1384,99+307,70+   75,74</t>
  </si>
  <si>
    <t>1765,43*15%</t>
  </si>
  <si>
    <t>1765,43*5%</t>
  </si>
  <si>
    <t>1765,43+264,81+88,27+67,49</t>
  </si>
  <si>
    <t>2186,00*12%</t>
  </si>
  <si>
    <t>2186,00+262,32</t>
  </si>
  <si>
    <t>13,44+8,01</t>
  </si>
  <si>
    <r>
      <t xml:space="preserve"> 0,58л/год.*4,18м</t>
    </r>
    <r>
      <rPr>
        <vertAlign val="superscript"/>
        <sz val="12"/>
        <rFont val="Times New Roman"/>
        <family val="1"/>
        <charset val="204"/>
      </rPr>
      <t>3</t>
    </r>
    <r>
      <rPr>
        <sz val="12"/>
        <rFont val="Times New Roman"/>
        <family val="1"/>
        <charset val="204"/>
      </rPr>
      <t>+0,9%</t>
    </r>
  </si>
  <si>
    <t>77,87грн.*17,45л/год.</t>
  </si>
  <si>
    <t>10,97люд/год.+2,45люд/год.</t>
  </si>
  <si>
    <t>13,42люд/год.+30%</t>
  </si>
  <si>
    <t>17,29+22,47+1358,83</t>
  </si>
  <si>
    <t>1398,59*22%</t>
  </si>
  <si>
    <t>1398,59+307,69+75,74</t>
  </si>
  <si>
    <t>1782,02*15%</t>
  </si>
  <si>
    <t>1782,02*5%</t>
  </si>
  <si>
    <t>1782,02+267,30+89,10   +67,49</t>
  </si>
  <si>
    <t>2205,91*12%</t>
  </si>
  <si>
    <t>2205,91+264,71</t>
  </si>
  <si>
    <t>1,8+2,42</t>
  </si>
  <si>
    <t>21,45+3,30</t>
  </si>
  <si>
    <t>24,75+30%</t>
  </si>
  <si>
    <t>77,87грн.*32,18л/год.</t>
  </si>
  <si>
    <t>17,13+22,27+2505,86</t>
  </si>
  <si>
    <t>2545,26*22%</t>
  </si>
  <si>
    <t>2545,26+559,96+75,74</t>
  </si>
  <si>
    <t>3180,96*15%</t>
  </si>
  <si>
    <t>3180,96*5%</t>
  </si>
  <si>
    <t>3884,64*12%</t>
  </si>
  <si>
    <t>3884,64+466,16</t>
  </si>
  <si>
    <t>21,64+3,33</t>
  </si>
  <si>
    <t>24,97+30%</t>
  </si>
  <si>
    <t>77,87грн.*32,46л/год.</t>
  </si>
  <si>
    <t>17,29+22,47+2527,66</t>
  </si>
  <si>
    <t>2567,42*22%</t>
  </si>
  <si>
    <t>2567,42+564,83+75,74</t>
  </si>
  <si>
    <t>3207,99*15%</t>
  </si>
  <si>
    <t>3207,99*5%</t>
  </si>
  <si>
    <t>3207,99+481,20+160,40  +67,49</t>
  </si>
  <si>
    <t>3917,08*12%</t>
  </si>
  <si>
    <t>3917,08+470,05</t>
  </si>
  <si>
    <t>1,33+0,30</t>
  </si>
  <si>
    <t>1,63+30%</t>
  </si>
  <si>
    <t>77,87грн.*2,12л/год.</t>
  </si>
  <si>
    <t>3,99+5,18+165,08</t>
  </si>
  <si>
    <t>174,25*22%</t>
  </si>
  <si>
    <t>174,25+38,34+75,74</t>
  </si>
  <si>
    <t>288,33*15%</t>
  </si>
  <si>
    <t>288,33*5%</t>
  </si>
  <si>
    <t>413,49*12%</t>
  </si>
  <si>
    <t>413,49+49,62</t>
  </si>
  <si>
    <t>4,22+30%</t>
  </si>
  <si>
    <t>77,87грн.*5,49л/год.</t>
  </si>
  <si>
    <t>17,13+22,27+427,51</t>
  </si>
  <si>
    <t>466,91*22%</t>
  </si>
  <si>
    <r>
      <t xml:space="preserve"> 0,79л/год.*4,18м</t>
    </r>
    <r>
      <rPr>
        <vertAlign val="superscript"/>
        <sz val="12"/>
        <rFont val="Times New Roman"/>
        <family val="1"/>
        <charset val="204"/>
      </rPr>
      <t>3</t>
    </r>
    <r>
      <rPr>
        <sz val="12"/>
        <rFont val="Times New Roman"/>
        <family val="1"/>
        <charset val="204"/>
      </rPr>
      <t xml:space="preserve"> +0,9%</t>
    </r>
  </si>
  <si>
    <r>
      <t>77,87грн.* 0,1л/год.*0,512м</t>
    </r>
    <r>
      <rPr>
        <vertAlign val="superscript"/>
        <sz val="12"/>
        <rFont val="Times New Roman"/>
        <family val="1"/>
        <charset val="204"/>
      </rPr>
      <t>2</t>
    </r>
  </si>
  <si>
    <r>
      <t>77,87грн.* 0,13л/год.*0,512м</t>
    </r>
    <r>
      <rPr>
        <vertAlign val="superscript"/>
        <sz val="12"/>
        <rFont val="Times New Roman"/>
        <family val="1"/>
        <charset val="204"/>
      </rPr>
      <t>2</t>
    </r>
  </si>
  <si>
    <r>
      <t>2,6л/год.*0,512м</t>
    </r>
    <r>
      <rPr>
        <vertAlign val="superscript"/>
        <sz val="12"/>
        <rFont val="Times New Roman"/>
        <family val="1"/>
        <charset val="204"/>
      </rPr>
      <t xml:space="preserve">3  </t>
    </r>
  </si>
  <si>
    <r>
      <t xml:space="preserve"> 0,58л/год.*0,512м</t>
    </r>
    <r>
      <rPr>
        <vertAlign val="superscript"/>
        <sz val="12"/>
        <rFont val="Times New Roman"/>
        <family val="1"/>
        <charset val="204"/>
      </rPr>
      <t>3</t>
    </r>
  </si>
  <si>
    <t>4,41+0,4</t>
  </si>
  <si>
    <t>4,81+30%</t>
  </si>
  <si>
    <t>77,87грн.*6,25л/год.</t>
  </si>
  <si>
    <t>4,98+6,48+486,69</t>
  </si>
  <si>
    <t>498,15*22%</t>
  </si>
  <si>
    <t>498,15+109,59+75,74</t>
  </si>
  <si>
    <t>683,48*15%</t>
  </si>
  <si>
    <t>683,48*5%</t>
  </si>
  <si>
    <t>887,66*12%</t>
  </si>
  <si>
    <t>887,66+106,52</t>
  </si>
  <si>
    <r>
      <t>77,87грн* 0,1л/год.*0,64м</t>
    </r>
    <r>
      <rPr>
        <vertAlign val="superscript"/>
        <sz val="12"/>
        <rFont val="Times New Roman"/>
        <family val="1"/>
        <charset val="204"/>
      </rPr>
      <t>2</t>
    </r>
  </si>
  <si>
    <r>
      <t>77,87грн* 0,13л/год.*0,64м</t>
    </r>
    <r>
      <rPr>
        <vertAlign val="superscript"/>
        <sz val="12"/>
        <rFont val="Times New Roman"/>
        <family val="1"/>
        <charset val="204"/>
      </rPr>
      <t>2</t>
    </r>
  </si>
  <si>
    <r>
      <t xml:space="preserve"> 0,79л/год.*0,512м</t>
    </r>
    <r>
      <rPr>
        <vertAlign val="superscript"/>
        <sz val="12"/>
        <rFont val="Times New Roman"/>
        <family val="1"/>
        <charset val="204"/>
      </rPr>
      <t>3</t>
    </r>
  </si>
  <si>
    <t>Використані матеріали:</t>
  </si>
  <si>
    <t>Мінімальний перелік окремих видів ритуальних послуг та предметів ритуальної належності на одне поховання померлих одиноких громадян, осіб без певного місця проживання, громадян, від поховання яких відмовилися рідні та знайдених невпізнаних трупів на території Южненської міської територіальної громади</t>
  </si>
  <si>
    <t>Вартість (грн.)</t>
  </si>
  <si>
    <t>Предмети ритуальної належності</t>
  </si>
  <si>
    <t>Труна дерев’яна стандартна</t>
  </si>
  <si>
    <t>штук</t>
  </si>
  <si>
    <t>Хрест</t>
  </si>
  <si>
    <t>Табличка на хрест з написом</t>
  </si>
  <si>
    <t>Санітарний пакет для перевезення тіла померлого до моргу, та місця поховання</t>
  </si>
  <si>
    <t>Ритуальні послуги</t>
  </si>
  <si>
    <t xml:space="preserve">Послуги автокатафалку: перевезення тіла померлого до моргу, з двумя санітарами та з моргу до місця поховання на кладовищі </t>
  </si>
  <si>
    <t>послуга</t>
  </si>
  <si>
    <t xml:space="preserve">Завантаження  та розвантаження тіла померлого </t>
  </si>
  <si>
    <t xml:space="preserve">Всього :  вартість 1 поховання влітку </t>
  </si>
  <si>
    <t>Всього:   вартість 1 поховання взимку</t>
  </si>
  <si>
    <t xml:space="preserve">                 </t>
  </si>
  <si>
    <t>Найменування ритуальних послуг, предметів ритуальної належності</t>
  </si>
  <si>
    <t>Ціна  (грн)</t>
  </si>
  <si>
    <t>Кіль-кість</t>
  </si>
  <si>
    <t>Всього предметів:</t>
  </si>
  <si>
    <t xml:space="preserve">Тариф (ціна) на послугу підприемства з організації та проведення поховання померлих одиноких громадян  </t>
  </si>
  <si>
    <t>Послуга з організації та проведення поховання померлих одиноких громадян, осіб без певного місця проживання, громадян, від поховання яких відмовилися рідні та знайдених невпізнаних трупів на кладовищах Южненської міської територіальної громади Одеського району Одеської області в літку</t>
  </si>
  <si>
    <t>Послуга з організації та проведення поховання померлих одиноких громадян, осіб без певного місця проживання, громадян, від поховання яких відмовилися рідні та знайдених невпізнаних трупів на кладовищах Южненської міської територіальної громади</t>
  </si>
  <si>
    <t>літо</t>
  </si>
  <si>
    <t>Найменування рітуальних послуг</t>
  </si>
  <si>
    <t>Зміна  тарифу  за рахунок:</t>
  </si>
  <si>
    <t>1. Збільшення з/пл  штатних рабітників та нарахування на оплату праці</t>
  </si>
  <si>
    <t>2. Збільшення вартості матеріалів, інструментів и спецодежды;</t>
  </si>
  <si>
    <t>Різниця</t>
  </si>
  <si>
    <t xml:space="preserve">Норми витрат часу екскаватора-навантажувача JCB 4CX SITEMASTER </t>
  </si>
  <si>
    <t>Витрат на ДП для роботи екскаватора-навантажувача JCB 4CX SITEMASTER (з урахуванням збільшення витрат пального в зимовий період залежно від температур  до 8 %)</t>
  </si>
  <si>
    <t xml:space="preserve">Витрат на роботу екскаватора-навантажувача JCB 4CX SITEMASTER </t>
  </si>
  <si>
    <t>Витрат на роботу екскаватора-навантажувача JCB 4CX SITEMASTER з урахуванням ДП</t>
  </si>
  <si>
    <r>
      <t xml:space="preserve">1. Згідно з главою 4 «Єдиної методики визначення  вартості надання громадянам необхідного мінімального переліку окремих видів ритуальних послуг, реалізації предметів ритуальної належності» затвердженої наказом Державного комітету України з питань житлово-комунального  господарства від 19.11.2003 №194 зі змінами,  адміністративні витрати  в розрахунки включаються в розмірі, що не перевищує </t>
    </r>
    <r>
      <rPr>
        <b/>
        <sz val="12"/>
        <rFont val="Times New Roman"/>
        <family val="1"/>
        <charset val="204"/>
      </rPr>
      <t>15%.</t>
    </r>
    <r>
      <rPr>
        <sz val="12"/>
        <rFont val="Times New Roman"/>
        <family val="1"/>
        <charset val="204"/>
      </rPr>
      <t xml:space="preserve"> </t>
    </r>
  </si>
  <si>
    <r>
      <t xml:space="preserve">2. Згідно з  пунктом 9.6  глави 9 «Єдиної методики визначення  вартості надання громадянам необхідного мінімального переліку окремих видів ритуальних послуг, реалізації предметів ритуальної належності»  затвердженої наказом Державного комітету України з питань житлово-комунального  господарства від 19.11.2003 №194 зі змінами, рівень рентабельності не повинен перевищувати  в цілому по підприємству  </t>
    </r>
    <r>
      <rPr>
        <b/>
        <sz val="12"/>
        <rFont val="Times New Roman"/>
        <family val="1"/>
        <charset val="204"/>
      </rPr>
      <t>12%.</t>
    </r>
  </si>
  <si>
    <t>Найменування операційних витрат</t>
  </si>
  <si>
    <t xml:space="preserve">Оформлення свидотства про поховання </t>
  </si>
  <si>
    <t xml:space="preserve">Оформлення договору-замовлення на організацію та проведення поховання </t>
  </si>
  <si>
    <t xml:space="preserve">Сума </t>
  </si>
  <si>
    <t>0,14 м./год. на 1м3грунт 2кл.
ДСТУ Б Д.2.4-1:2012, згідно додатку до Рішення виконкому №1283 від 25.10.2023 р.</t>
  </si>
  <si>
    <r>
      <t>для мерзлих ґрунтів глибиною промерзання до 0,5 м.</t>
    </r>
    <r>
      <rPr>
        <sz val="12"/>
        <color indexed="8"/>
        <rFont val="Times New Roman"/>
        <family val="1"/>
        <charset val="204"/>
      </rPr>
      <t>( при розробці грунтів,що намерзли в стані природної вологості Норми часу збільшуються на 30%)</t>
    </r>
  </si>
  <si>
    <t>0,14 м./год. на 1м3грунт 2кл.
ДСТУ Б Д.2.4-1:2012,згідно додатку до Рішення виконкому №1283 від 25.10.2023 р.</t>
  </si>
  <si>
    <r>
      <t>Склад робіт:</t>
    </r>
    <r>
      <rPr>
        <sz val="12"/>
        <color indexed="8"/>
        <rFont val="Times New Roman"/>
        <family val="1"/>
        <charset val="204"/>
      </rPr>
      <t xml:space="preserve"> планування площі по рейці;  розпушення ґрунту ручним способом;  викидання ґрунту на брівку;  очищення берми; зачищення поверхні дна та стінок могили; закривання труни;  опускання труни з тілом померлого в могилу; закопування могили та формування намогильного насипу; оформлення могильного насипу вінками та квітами; одноразове прибирання території біля могили.</t>
    </r>
  </si>
  <si>
    <t>(н. №193 п.2.8. р.2.)</t>
  </si>
  <si>
    <t>(н. №52 р.2,п.1,п.п.1.4)</t>
  </si>
  <si>
    <t>(н.№52 р.2,п.1,пп.1.4)</t>
  </si>
  <si>
    <t>(н.№52 р.2,п.1,п.п.1.1)</t>
  </si>
  <si>
    <t>(н.№52 р.2,п.1,пп.1.2)</t>
  </si>
  <si>
    <r>
      <t xml:space="preserve">Збільшення Норм часу для ґрунту ІІ гр.  </t>
    </r>
    <r>
      <rPr>
        <sz val="12"/>
        <color indexed="8"/>
        <rFont val="Times New Roman"/>
        <family val="1"/>
        <charset val="204"/>
      </rPr>
      <t>при роботі з ґрунтами сильно налипаючих на інструмент</t>
    </r>
  </si>
  <si>
    <t>Наказ № 193 від 19.11.2003 р.  та Н. № 52  від 03.03.2009 р.</t>
  </si>
  <si>
    <t>(н №52 р.2,п.1,пп.1.4)</t>
  </si>
  <si>
    <t>(н.№52 р.2,п.1,пп.1.1)</t>
  </si>
  <si>
    <t>(наказ №52 р.2,п.1,пп.1.1,пп.1.2)</t>
  </si>
  <si>
    <t>3180,96+477,14+ 159,05+67,49</t>
  </si>
  <si>
    <r>
      <t>Склад робіт:</t>
    </r>
    <r>
      <rPr>
        <sz val="12"/>
        <color indexed="8"/>
        <rFont val="Times New Roman"/>
        <family val="1"/>
        <charset val="204"/>
      </rPr>
      <t xml:space="preserve"> планування площі по рейці;  розпушення ґрунту ручним способом;  викидання ґрунту на брівку;  очищення берми; зачищення поверхні дна та стінок могили; закривання труни;  опускання труни з тілом померлого в могилу; закопування могили та формування намогильного насипу; встановлення реєстраційної таблички; оформлення могильного насипу вінками та квітами; одноразове прибирання території біля могили.</t>
    </r>
  </si>
  <si>
    <r>
      <t>2,6л/год.*4,18м</t>
    </r>
    <r>
      <rPr>
        <vertAlign val="superscript"/>
        <sz val="12"/>
        <color indexed="8"/>
        <rFont val="Times New Roman"/>
        <family val="1"/>
        <charset val="204"/>
      </rPr>
      <t xml:space="preserve">3 </t>
    </r>
    <r>
      <rPr>
        <sz val="12"/>
        <color indexed="8"/>
        <rFont val="Times New Roman"/>
        <family val="1"/>
        <charset val="204"/>
      </rPr>
      <t>+0,9%</t>
    </r>
  </si>
  <si>
    <t>(н.№193 п.2.8. р.2.)</t>
  </si>
  <si>
    <t>(н. №52 р.2,п.1,пп.1.1,пп.1.2)</t>
  </si>
  <si>
    <t>288,33+43,25+14,42 +67,49</t>
  </si>
  <si>
    <t>Н № 193 від 19.11.2003 р.  та н. № 52  від 03.03.2009 р.</t>
  </si>
  <si>
    <t>Н. № 193 від 19.11.2003 р.  та н. № 52 від 03.03.2009 р.</t>
  </si>
  <si>
    <t>683,48+102,52+34,17  +67,49</t>
  </si>
  <si>
    <t>Копання могили механізованим способом взимку(із застосуванням екскаватора), зачищення дна та стінок могили вручну, опускання труни з тілом померлого в могилу, закопування могили з формуванням намогильного насипу, встановлення хреста з реєстраційною табличкою, одноразове прибирання території біля могили.</t>
  </si>
  <si>
    <t>Копання могили механізованим способом влітку (із застосуванням екскаватора), зачищення дна та стінок могили вручну, опускання труни з тілом померлого в могилу, закопування могили з формуванням намогильного насипу, встановлення хреста з реєстраційною табличкою, одноразове прибирання території біля могили.</t>
  </si>
  <si>
    <t>Чистий плановий прибуток(12% від повної собівартості)</t>
  </si>
  <si>
    <t>Н.№ 193 від 19.11.2003 р. та н.№ 52 від 03.03.2009 р.</t>
  </si>
  <si>
    <t>0,125л/год.*((2,2*1,0) + (2,2+1,0 )*2 *1,9) м2</t>
  </si>
  <si>
    <t>КАЛЬКУЛЯЦІЯ № 11</t>
  </si>
  <si>
    <t>Послуга з організації та проведення поховання померлих одиноких громадян, осіб без певного місця проживання, громадян, від поховання яких відмовилися рідні та знайдених невпізнаних трупів на кладовищах Южненської міської територіальної громади Одеського району Одеської області взимку</t>
  </si>
  <si>
    <t>КАЛЬКУЛЯЦІЯ № 12</t>
  </si>
  <si>
    <t>адміністративні витрати  (4% від виробничої собівартості)</t>
  </si>
  <si>
    <t>Витрати на збут (0% від виробничої собівартості)</t>
  </si>
  <si>
    <t>Чистий плановий прибуток (0%  від повної собівартості)</t>
  </si>
  <si>
    <t>Розрахунок 4</t>
  </si>
  <si>
    <t>КАЛЬКУЛЯЦІЯ №13</t>
  </si>
  <si>
    <t>Труна дерев’яна лакована</t>
  </si>
  <si>
    <t>Хрест деревянний лакованний (з табличкою, портрет)</t>
  </si>
  <si>
    <t>Сергій ДАРОВСЬКИЙ</t>
  </si>
  <si>
    <t>КАЛЬКУЛЯЦІЯ № 14</t>
  </si>
  <si>
    <t>Послуга обслуговуючого персонала (носії)</t>
  </si>
  <si>
    <t>Організування поховання</t>
  </si>
  <si>
    <t>Ритуальна атрибутика</t>
  </si>
  <si>
    <t>Директор  КП «Ритуальні послуги»                          Сергій ДАРОВСЬКИЙ</t>
  </si>
  <si>
    <t>Вартість заокруглена  згідно  з математичними  правилами :</t>
  </si>
  <si>
    <t>Тариф (ціна) на послугу з організації та проведення на поховання померлих учасників бойових дій у літній період на кладовищах Южненської міської територіальної громади Одеського району Одеської області в літку</t>
  </si>
  <si>
    <t xml:space="preserve">Вартість заокруглена  згідно  з математичними  правилами :  </t>
  </si>
  <si>
    <t>Мінімальний перелік окремих видів ритуальних послуг та предметів ритуальної належності на одне на поховання померлих учасників бойових дій на території Южненської міської територіальної громади</t>
  </si>
  <si>
    <t>Ритуальнний набір (подушка,покривало,поховальний набір, рушник на хрест)</t>
  </si>
  <si>
    <t xml:space="preserve">Послуга з організації та проведення поховання померлих учасників бойових дій у зимовий період на кладовищах Южненської міської територіальної громади Одеського району Одеської області </t>
  </si>
  <si>
    <t xml:space="preserve">Послуга з організації та проведення на поховання невпізнаних тіл (останків) війсковослужбовців, поліцейських та інших осіб, які загинули (померли) внаслідок збройної агресії проти України у літній період на кладовищах Южненської міської територіальної громади Одеського району Одеської області </t>
  </si>
  <si>
    <t xml:space="preserve">Послуга з організації та проведення поховання невпізнаних тіл (останків) війсковослужбовців, поліцейських та інших осіб, які загинули (померли) внаслідок збройної агресії проти України у зимовий період на кладовищах Южненської міської територіальної громади Одеського району Одеської області </t>
  </si>
  <si>
    <t>Ритуальнний набір (подушка,покривало,поховальний набір, рушник на хрест,прапор)</t>
  </si>
  <si>
    <t>Хрест деревянний лакованний</t>
  </si>
  <si>
    <t>Табличка з написом</t>
  </si>
  <si>
    <t>Організування поховання (организатор ритуалу)</t>
  </si>
  <si>
    <t>Використання підставок під труну</t>
  </si>
  <si>
    <t xml:space="preserve">Послуги автокатафалку: транспортування тіла  з моргу до місця поховання на кладовище </t>
  </si>
  <si>
    <t>Вінок жовто-блакитний з стрічкою з написом</t>
  </si>
  <si>
    <r>
      <t>0,59год*</t>
    </r>
    <r>
      <rPr>
        <sz val="12"/>
        <color indexed="10"/>
        <rFont val="Times New Roman"/>
        <family val="1"/>
        <charset val="204"/>
      </rPr>
      <t>1838,51</t>
    </r>
    <r>
      <rPr>
        <sz val="12"/>
        <color indexed="8"/>
        <rFont val="Times New Roman"/>
        <family val="1"/>
        <charset val="204"/>
      </rPr>
      <t>грн</t>
    </r>
  </si>
  <si>
    <r>
      <t>1год*</t>
    </r>
    <r>
      <rPr>
        <sz val="12"/>
        <color indexed="10"/>
        <rFont val="Times New Roman"/>
        <family val="1"/>
        <charset val="204"/>
      </rPr>
      <t>1838,51</t>
    </r>
    <r>
      <rPr>
        <sz val="12"/>
        <color indexed="8"/>
        <rFont val="Times New Roman"/>
        <family val="1"/>
        <charset val="204"/>
      </rPr>
      <t>грн/10</t>
    </r>
  </si>
  <si>
    <t>0,59 год*1838,51грн</t>
  </si>
  <si>
    <t>1год*1838,51грн/8</t>
  </si>
  <si>
    <r>
      <t>0,59 год*</t>
    </r>
    <r>
      <rPr>
        <sz val="12"/>
        <color indexed="10"/>
        <rFont val="Times New Roman"/>
        <family val="1"/>
        <charset val="204"/>
      </rPr>
      <t>1838,51</t>
    </r>
    <r>
      <rPr>
        <sz val="12"/>
        <color indexed="8"/>
        <rFont val="Times New Roman"/>
        <family val="1"/>
        <charset val="204"/>
      </rPr>
      <t>грн</t>
    </r>
  </si>
  <si>
    <r>
      <t>1год*</t>
    </r>
    <r>
      <rPr>
        <sz val="12"/>
        <color indexed="10"/>
        <rFont val="Times New Roman"/>
        <family val="1"/>
        <charset val="204"/>
      </rPr>
      <t>1838,51</t>
    </r>
    <r>
      <rPr>
        <sz val="12"/>
        <color indexed="8"/>
        <rFont val="Times New Roman"/>
        <family val="1"/>
        <charset val="204"/>
      </rPr>
      <t>грн/8</t>
    </r>
  </si>
  <si>
    <t>0,59год*1838,51грн</t>
  </si>
  <si>
    <t xml:space="preserve">Витрат на роботу екскаватора-навантажувача JCB 4CX SITEMASTER: </t>
  </si>
  <si>
    <t>1501,58+466,91+102,72 +75,74</t>
  </si>
  <si>
    <t>2146,95*15%</t>
  </si>
  <si>
    <t>2146,95*5%</t>
  </si>
  <si>
    <t>2146,95+322,04+107,35+ 67,49</t>
  </si>
  <si>
    <t>2643,83*12%</t>
  </si>
  <si>
    <t>2643,83+317,26</t>
  </si>
  <si>
    <r>
      <t>Вартість заокруглена  згідно  з математичними  правилами  :  2961,00 грн</t>
    </r>
    <r>
      <rPr>
        <sz val="12"/>
        <rFont val="Times New Roman"/>
        <family val="1"/>
        <charset val="204"/>
      </rPr>
      <t>.</t>
    </r>
  </si>
  <si>
    <t>1582,11+610,19+ 134,24+75,74</t>
  </si>
  <si>
    <r>
      <rPr>
        <sz val="12"/>
        <color indexed="10"/>
        <rFont val="Times New Roman"/>
        <family val="1"/>
        <charset val="204"/>
      </rPr>
      <t>1582,11</t>
    </r>
    <r>
      <rPr>
        <sz val="12"/>
        <rFont val="Times New Roman"/>
        <family val="1"/>
        <charset val="204"/>
      </rPr>
      <t>+610,19+ 134,24+75,74</t>
    </r>
  </si>
  <si>
    <t>2402,28*15%</t>
  </si>
  <si>
    <t>2402,28*5%</t>
  </si>
  <si>
    <t>2402,28+360,34 +120,11+67,49</t>
  </si>
  <si>
    <t>2950,22*12%</t>
  </si>
  <si>
    <t>2950,22+354,03</t>
  </si>
  <si>
    <r>
      <t>Вартість заокруглена  згідно  з математичними  правилами :  3304,00 грн</t>
    </r>
    <r>
      <rPr>
        <sz val="12"/>
        <rFont val="Times New Roman"/>
        <family val="1"/>
        <charset val="204"/>
      </rPr>
      <t>.</t>
    </r>
  </si>
  <si>
    <t>До розрахунку включаються, згідно додатку до Рішення виконкому №2325 від 20.05.2025 р:
- витрати на оплату 1 години роботи екскаватора-навантажувача JCB 4CX SITEMASTER -  1838,51 грн./год.;
- вартість дизельного палива згідно з документами про оплату складає 58,99 грн./л.(станом на 17.09.24 р);
- норма витрат дизельного палива в транспортному режимі на 1 м./год. складає 10 л.;
- норма витрат дизельного палива в робочому режимі екскаватора на 1 м./год. складає 5 л.;</t>
  </si>
  <si>
    <t>Витрати на послуги підприемства з організації та проведення поховання померлих участників бойових дій</t>
  </si>
  <si>
    <t>Тариф (ціна) на послугу з організації та проведення на одне на поховання невпізнаних тіл (останків) війсковослужбовців, поліцейських та інших осіб, які загинули (померли) внаслідок збройної агресії проти України на території Южненської міської територіальної громади в літку (7+8)</t>
  </si>
  <si>
    <t>До розрахунку включаються, згідно додатку до Рішення виконкому №2325 від 20.05.2025 р:
- витрати на оплату 1 год. роботи екскаватора-навантажувача JCB 4CX SITEMASTER - 1838,51 грн./год.;
- вартість ДП, згідно з документами про оплату складає 58,99 грн./л.(станом на 17.09.24 р);
- норма витрат дизельного палива в транспортному режимі на 1 м./год. складає 10 л.;
- норма витрат дизельного палива в робочому режимі екскаватора на 1 м./год. складає 5 л.;</t>
  </si>
  <si>
    <t>Тариф (ціна) на послугу з організації та проведення на одне на поховання невпізнаних тіл (останків) війсковослужбовців, поліцейських та інших осіб, які загинули (померли) внаслідок збройної агресії проти України на території Південівської міської територіальної громади в літку (7+8)</t>
  </si>
  <si>
    <t>Вінок з стрічкою та підписом</t>
  </si>
  <si>
    <t>1год*1838,51грн/10</t>
  </si>
  <si>
    <t>Витрат на роботу екскаватора-навантажувача JCB 4CX SITEMASTER :</t>
  </si>
  <si>
    <t>Табличка с написом</t>
  </si>
  <si>
    <t>Тариф (ціна) на послугу з організації та проведення на поховання померлих учасників бойових дій на кладовищах Південівської міської територіальної громади Одеського району Одеської області в літку</t>
  </si>
  <si>
    <t>КАЛЬКУЛЯЦІЯ №15</t>
  </si>
  <si>
    <t>КАЛЬКУЛЯЦІЯ № 16</t>
  </si>
  <si>
    <t xml:space="preserve">Послуга з організації та проведення на поховання померлих учасників бойових дій у літній період на кладовищах Південівської міської територіальної громади Одеського району Одеської області </t>
  </si>
  <si>
    <t>2402,28*4%</t>
  </si>
  <si>
    <t xml:space="preserve"> Порівняльна таблиця </t>
  </si>
  <si>
    <t>1. Збільшення вартості  послуг екскаватора.</t>
  </si>
  <si>
    <t>2024 рік зг. Рішення №1959 від 29.10.2024 р.</t>
  </si>
  <si>
    <t>2025 рік Проєкт</t>
  </si>
  <si>
    <t>Бухгалтер</t>
  </si>
  <si>
    <t>Світлана КОСАРЄВА</t>
  </si>
  <si>
    <t>дод.1 п.3</t>
  </si>
  <si>
    <t>дод.1 п.4</t>
  </si>
  <si>
    <t>дод.2п.1</t>
  </si>
  <si>
    <t>дод.2п.2</t>
  </si>
  <si>
    <t>Ритуальнаі рушники для опускання труни</t>
  </si>
  <si>
    <t>компл</t>
  </si>
  <si>
    <t>Оренда катафалка</t>
  </si>
  <si>
    <t>Разом:</t>
  </si>
  <si>
    <t>2146,95+322,04+ 67,49</t>
  </si>
  <si>
    <t>2402,28+96,09 +67,49</t>
  </si>
  <si>
    <t>Всього ритуальних послуг в літку:</t>
  </si>
  <si>
    <t>Всього ритуальних послуг в зимку:</t>
  </si>
  <si>
    <r>
      <t>Вартість заокруглена  згідно  з математичними  правилами :  27,00 грн</t>
    </r>
    <r>
      <rPr>
        <sz val="12"/>
        <rFont val="Times New Roman"/>
        <family val="1"/>
        <charset val="204"/>
      </rPr>
      <t>.</t>
    </r>
  </si>
  <si>
    <t>2402,28+96,09+67,49</t>
  </si>
  <si>
    <r>
      <t>Вартість заокруглена  згідно  з математичними  правилами :  18,00 грн</t>
    </r>
    <r>
      <rPr>
        <sz val="12"/>
        <rFont val="Times New Roman"/>
        <family val="1"/>
        <charset val="204"/>
      </rPr>
      <t>.</t>
    </r>
  </si>
  <si>
    <r>
      <t>Вартість заокруглена  згідно  з математичними  правилами :  2448,00 грн</t>
    </r>
    <r>
      <rPr>
        <sz val="12"/>
        <color indexed="8"/>
        <rFont val="Times New Roman"/>
        <family val="1"/>
        <charset val="204"/>
      </rPr>
      <t>.</t>
    </r>
  </si>
  <si>
    <r>
      <t>Вартість заокруглена  згідно  з математичними  правилами :  4351,00 грн</t>
    </r>
    <r>
      <rPr>
        <sz val="12"/>
        <color indexed="8"/>
        <rFont val="Times New Roman"/>
        <family val="1"/>
        <charset val="204"/>
      </rPr>
      <t>.</t>
    </r>
  </si>
  <si>
    <r>
      <t>Вартість заокруглена  згідно  з математичними  правилами :  2471,00 грн</t>
    </r>
    <r>
      <rPr>
        <sz val="12"/>
        <color indexed="8"/>
        <rFont val="Times New Roman"/>
        <family val="1"/>
        <charset val="204"/>
      </rPr>
      <t>.</t>
    </r>
  </si>
  <si>
    <r>
      <t>Вартість заокруглена  згідно  з математичними  правилами : 4387,00 грн</t>
    </r>
    <r>
      <rPr>
        <sz val="12"/>
        <color indexed="8"/>
        <rFont val="Times New Roman"/>
        <family val="1"/>
        <charset val="204"/>
      </rPr>
      <t>.</t>
    </r>
  </si>
  <si>
    <r>
      <t>Вартість заокруглена  згідно  з математичними  правилами : 463,00 грн</t>
    </r>
    <r>
      <rPr>
        <sz val="12"/>
        <color indexed="8"/>
        <rFont val="Times New Roman"/>
        <family val="1"/>
        <charset val="204"/>
      </rPr>
      <t>.</t>
    </r>
  </si>
  <si>
    <r>
      <t>Вартість заокруглена  згідно  з математичними  правилами : 994,00 грн</t>
    </r>
    <r>
      <rPr>
        <sz val="12"/>
        <color indexed="8"/>
        <rFont val="Times New Roman"/>
        <family val="1"/>
        <charset val="204"/>
      </rPr>
      <t>.</t>
    </r>
  </si>
  <si>
    <t>дод.1 п.1</t>
  </si>
  <si>
    <t>дод.1 п.2</t>
  </si>
  <si>
    <t>дод.1 п.5</t>
  </si>
  <si>
    <t>дод.1 п.6</t>
  </si>
  <si>
    <t>дод.1 п.7</t>
  </si>
  <si>
    <t>дод.1 п.8</t>
  </si>
  <si>
    <t>дод.1 п.9</t>
  </si>
  <si>
    <t>дод.1 п.10</t>
  </si>
  <si>
    <t>Мінімальний перелік окремих видів ритуальних послуг та предметів ритуальної належності на одне на поховання невпізнаних тіл (останків) війсковослужбовців, поліцейських та інших осіб, які загинули (померли) внаслідок збройної агресії проти України на території Південівської міської територіальної громади</t>
  </si>
  <si>
    <t>Послуга обслуговуючого персонала (носії 6 чол.)</t>
  </si>
  <si>
    <r>
      <t>Вартість заокруглена  згідно  з математичними  правилами  :  12231,00 грн</t>
    </r>
    <r>
      <rPr>
        <sz val="12"/>
        <rFont val="Times New Roman"/>
        <family val="1"/>
        <charset val="204"/>
      </rPr>
      <t>.</t>
    </r>
  </si>
  <si>
    <r>
      <t>Вартість заокруглена  згідно  з математичними  правилами :  12261,00 грн</t>
    </r>
    <r>
      <rPr>
        <sz val="12"/>
        <rFont val="Times New Roman"/>
        <family val="1"/>
        <charset val="204"/>
      </rPr>
      <t>.</t>
    </r>
  </si>
  <si>
    <t xml:space="preserve">Копання могили механізованим способом із застосуванням екскаватора та поховання померлого 
</t>
  </si>
  <si>
    <t xml:space="preserve">Копка могили ручним способом та поховання померлого </t>
  </si>
  <si>
    <t>Копка могили вручну всередині, раніше встановленої огорожі</t>
  </si>
  <si>
    <t>Поховання та підпоховання урни з прахом померлих  у колумбарну нішу, в існуючу могилу, у землю</t>
  </si>
  <si>
    <t>Рішення ВК ЮМР №1959 від 29.10.2024 р.</t>
  </si>
  <si>
    <t>Заступник начальника ФЕВ</t>
  </si>
  <si>
    <t>Віра ОСАДЧУК</t>
  </si>
  <si>
    <t xml:space="preserve"> Порівняльна таблиця  внесення змін до ритуальних послуг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</si>
</sst>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
  </numFmts>
  <fonts count="57">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Times New Roman"/>
      <family val="1"/>
      <charset val="204"/>
    </font>
    <font>
      <b/>
      <sz val="11"/>
      <color indexed="8"/>
      <name val="Times New Roman"/>
      <family val="1"/>
      <charset val="204"/>
    </font>
    <font>
      <sz val="8"/>
      <name val="Calibri"/>
      <family val="2"/>
      <charset val="204"/>
    </font>
    <font>
      <sz val="8"/>
      <color indexed="8"/>
      <name val="Times New Roman"/>
      <family val="1"/>
      <charset val="204"/>
    </font>
    <font>
      <sz val="11"/>
      <color indexed="8"/>
      <name val="Times New Roman"/>
      <family val="1"/>
      <charset val="204"/>
    </font>
    <font>
      <b/>
      <sz val="11"/>
      <color indexed="8"/>
      <name val="Times New Roman"/>
      <family val="1"/>
      <charset val="204"/>
    </font>
    <font>
      <sz val="11"/>
      <name val="Times New Roman"/>
      <family val="1"/>
      <charset val="204"/>
    </font>
    <font>
      <sz val="10.5"/>
      <name val="Times New Roman"/>
      <family val="1"/>
      <charset val="204"/>
    </font>
    <font>
      <sz val="9"/>
      <color indexed="8"/>
      <name val="Times New Roman"/>
      <family val="1"/>
      <charset val="204"/>
    </font>
    <font>
      <sz val="11"/>
      <color indexed="9"/>
      <name val="Calibri"/>
      <family val="2"/>
      <charset val="204"/>
    </font>
    <font>
      <sz val="12"/>
      <name val="Times New Roman"/>
      <family val="1"/>
      <charset val="204"/>
    </font>
    <font>
      <sz val="10"/>
      <name val="Times New Roman"/>
      <family val="1"/>
      <charset val="204"/>
    </font>
    <font>
      <b/>
      <sz val="14"/>
      <name val="Times New Roman"/>
      <family val="1"/>
      <charset val="204"/>
    </font>
    <font>
      <b/>
      <sz val="12"/>
      <name val="Times New Roman"/>
      <family val="1"/>
      <charset val="204"/>
    </font>
    <font>
      <sz val="14"/>
      <name val="Times New Roman"/>
      <family val="1"/>
      <charset val="204"/>
    </font>
    <font>
      <sz val="10"/>
      <color indexed="8"/>
      <name val="Arial Cyr"/>
      <charset val="134"/>
    </font>
    <font>
      <b/>
      <sz val="11"/>
      <name val="Times New Roman"/>
      <family val="1"/>
      <charset val="204"/>
    </font>
    <font>
      <b/>
      <i/>
      <sz val="12"/>
      <name val="Times New Roman"/>
      <family val="1"/>
      <charset val="204"/>
    </font>
    <font>
      <u/>
      <sz val="12"/>
      <name val="Times New Roman"/>
      <family val="1"/>
      <charset val="204"/>
    </font>
    <font>
      <sz val="12"/>
      <color indexed="8"/>
      <name val="Times New Roman"/>
      <family val="1"/>
      <charset val="204"/>
    </font>
    <font>
      <b/>
      <sz val="12"/>
      <color indexed="8"/>
      <name val="Times New Roman"/>
      <family val="1"/>
      <charset val="204"/>
    </font>
    <font>
      <i/>
      <sz val="12"/>
      <name val="Times New Roman"/>
      <family val="1"/>
      <charset val="204"/>
    </font>
    <font>
      <sz val="10"/>
      <name val="Arial Cyr"/>
      <charset val="204"/>
    </font>
    <font>
      <b/>
      <sz val="8"/>
      <name val="Times New Roman"/>
      <family val="1"/>
      <charset val="204"/>
    </font>
    <font>
      <b/>
      <i/>
      <sz val="10"/>
      <name val="Times New Roman"/>
      <family val="1"/>
      <charset val="204"/>
    </font>
    <font>
      <b/>
      <i/>
      <sz val="11"/>
      <name val="Times New Roman"/>
      <family val="1"/>
      <charset val="204"/>
    </font>
    <font>
      <vertAlign val="superscript"/>
      <sz val="12"/>
      <color indexed="8"/>
      <name val="Times New Roman"/>
      <family val="1"/>
      <charset val="204"/>
    </font>
    <font>
      <vertAlign val="superscript"/>
      <sz val="12"/>
      <name val="Times New Roman"/>
      <family val="1"/>
      <charset val="204"/>
    </font>
    <font>
      <sz val="11"/>
      <name val="Arial"/>
      <family val="2"/>
      <charset val="204"/>
    </font>
    <font>
      <sz val="20"/>
      <name val="Times New Roman"/>
      <family val="1"/>
      <charset val="204"/>
    </font>
    <font>
      <b/>
      <sz val="13"/>
      <name val="Times New Roman"/>
      <family val="1"/>
      <charset val="204"/>
    </font>
    <font>
      <sz val="13"/>
      <name val="Times New Roman"/>
      <family val="1"/>
      <charset val="204"/>
    </font>
    <font>
      <sz val="8"/>
      <name val="Times New Roman"/>
      <family val="1"/>
      <charset val="204"/>
    </font>
    <font>
      <sz val="11"/>
      <color indexed="10"/>
      <name val="Calibri"/>
      <family val="2"/>
      <charset val="204"/>
    </font>
    <font>
      <sz val="11"/>
      <color indexed="8"/>
      <name val="Times New Roman"/>
      <family val="1"/>
      <charset val="204"/>
    </font>
    <font>
      <sz val="11"/>
      <color indexed="10"/>
      <name val="Times New Roman"/>
      <family val="1"/>
      <charset val="204"/>
    </font>
    <font>
      <sz val="11"/>
      <name val="Calibri"/>
      <family val="2"/>
      <charset val="204"/>
    </font>
    <font>
      <b/>
      <sz val="11"/>
      <color indexed="8"/>
      <name val="Times New Roman"/>
      <family val="1"/>
      <charset val="204"/>
    </font>
    <font>
      <sz val="9"/>
      <color indexed="8"/>
      <name val="Times New Roman"/>
      <family val="1"/>
      <charset val="204"/>
    </font>
    <font>
      <b/>
      <sz val="12"/>
      <color indexed="10"/>
      <name val="Times New Roman"/>
      <family val="1"/>
      <charset val="204"/>
    </font>
    <font>
      <sz val="8"/>
      <color indexed="8"/>
      <name val="Times New Roman"/>
      <family val="1"/>
      <charset val="204"/>
    </font>
    <font>
      <b/>
      <sz val="12"/>
      <color indexed="8"/>
      <name val="Times New Roman"/>
      <family val="1"/>
      <charset val="204"/>
    </font>
    <font>
      <b/>
      <sz val="13"/>
      <color indexed="8"/>
      <name val="Times New Roman"/>
      <family val="1"/>
      <charset val="204"/>
    </font>
    <font>
      <sz val="12"/>
      <color indexed="8"/>
      <name val="Times New Roman"/>
      <family val="1"/>
      <charset val="204"/>
    </font>
    <font>
      <sz val="12"/>
      <color indexed="10"/>
      <name val="Times New Roman"/>
      <family val="1"/>
      <charset val="204"/>
    </font>
    <font>
      <sz val="12"/>
      <color indexed="8"/>
      <name val="Calibri"/>
      <family val="2"/>
      <charset val="204"/>
    </font>
    <font>
      <sz val="12"/>
      <name val="Calibri"/>
      <family val="2"/>
      <charset val="204"/>
    </font>
    <font>
      <sz val="13"/>
      <color indexed="10"/>
      <name val="Times New Roman"/>
      <family val="1"/>
      <charset val="204"/>
    </font>
    <font>
      <sz val="10.5"/>
      <color indexed="10"/>
      <name val="Times New Roman"/>
      <family val="1"/>
      <charset val="204"/>
    </font>
    <font>
      <sz val="10"/>
      <color indexed="8"/>
      <name val="Times New Roman"/>
      <family val="1"/>
      <charset val="204"/>
    </font>
    <font>
      <sz val="9"/>
      <name val="Times New Roman"/>
      <family val="1"/>
      <charset val="204"/>
    </font>
    <font>
      <b/>
      <sz val="8"/>
      <color indexed="8"/>
      <name val="Times New Roman"/>
      <family val="1"/>
      <charset val="204"/>
    </font>
    <font>
      <sz val="10"/>
      <color indexed="8"/>
      <name val="Times New Roman"/>
      <family val="1"/>
      <charset val="204"/>
    </font>
    <font>
      <sz val="12"/>
      <color theme="1"/>
      <name val="Times New Roman"/>
      <family val="1"/>
      <charset val="204"/>
    </font>
  </fonts>
  <fills count="2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0"/>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13"/>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8"/>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8"/>
      </left>
      <right style="medium">
        <color indexed="64"/>
      </right>
      <top/>
      <bottom/>
      <diagonal/>
    </border>
    <border>
      <left/>
      <right style="medium">
        <color indexed="64"/>
      </right>
      <top/>
      <bottom style="medium">
        <color indexed="8"/>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64"/>
      </top>
      <bottom style="medium">
        <color indexed="64"/>
      </bottom>
      <diagonal/>
    </border>
    <border>
      <left style="medium">
        <color indexed="8"/>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bottom style="medium">
        <color indexed="64"/>
      </bottom>
      <diagonal/>
    </border>
    <border>
      <left/>
      <right/>
      <top style="medium">
        <color indexed="8"/>
      </top>
      <bottom style="medium">
        <color indexed="64"/>
      </bottom>
      <diagonal/>
    </border>
    <border>
      <left style="medium">
        <color indexed="8"/>
      </left>
      <right/>
      <top/>
      <bottom/>
      <diagonal/>
    </border>
    <border>
      <left style="medium">
        <color indexed="64"/>
      </left>
      <right/>
      <top/>
      <bottom/>
      <diagonal/>
    </border>
    <border>
      <left/>
      <right style="medium">
        <color indexed="8"/>
      </right>
      <top/>
      <bottom/>
      <diagonal/>
    </border>
    <border>
      <left style="medium">
        <color indexed="8"/>
      </left>
      <right style="medium">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8"/>
      </bottom>
      <diagonal/>
    </border>
    <border>
      <left style="medium">
        <color indexed="8"/>
      </left>
      <right/>
      <top/>
      <bottom style="medium">
        <color indexed="8"/>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8"/>
      </left>
      <right style="medium">
        <color indexed="64"/>
      </right>
      <top style="medium">
        <color indexed="8"/>
      </top>
      <bottom/>
      <diagonal/>
    </border>
    <border>
      <left style="medium">
        <color indexed="8"/>
      </left>
      <right style="medium">
        <color indexed="64"/>
      </right>
      <top/>
      <bottom style="medium">
        <color indexed="8"/>
      </bottom>
      <diagonal/>
    </border>
    <border>
      <left style="medium">
        <color indexed="64"/>
      </left>
      <right style="medium">
        <color indexed="8"/>
      </right>
      <top/>
      <bottom/>
      <diagonal/>
    </border>
    <border>
      <left style="medium">
        <color indexed="64"/>
      </left>
      <right style="medium">
        <color indexed="64"/>
      </right>
      <top/>
      <bottom style="medium">
        <color indexed="8"/>
      </bottom>
      <diagonal/>
    </border>
    <border>
      <left/>
      <right style="medium">
        <color indexed="64"/>
      </right>
      <top style="medium">
        <color indexed="64"/>
      </top>
      <bottom/>
      <diagonal/>
    </border>
    <border>
      <left style="medium">
        <color indexed="8"/>
      </left>
      <right style="medium">
        <color indexed="64"/>
      </right>
      <top style="medium">
        <color indexed="8"/>
      </top>
      <bottom style="hair">
        <color indexed="64"/>
      </bottom>
      <diagonal/>
    </border>
    <border>
      <left style="medium">
        <color indexed="64"/>
      </left>
      <right style="medium">
        <color indexed="8"/>
      </right>
      <top style="medium">
        <color indexed="8"/>
      </top>
      <bottom/>
      <diagonal/>
    </border>
    <border>
      <left/>
      <right/>
      <top/>
      <bottom style="medium">
        <color indexed="8"/>
      </bottom>
      <diagonal/>
    </border>
    <border>
      <left style="medium">
        <color indexed="8"/>
      </left>
      <right style="medium">
        <color indexed="64"/>
      </right>
      <top style="medium">
        <color indexed="64"/>
      </top>
      <bottom style="medium">
        <color indexed="64"/>
      </bottom>
      <diagonal/>
    </border>
    <border>
      <left/>
      <right style="medium">
        <color indexed="8"/>
      </right>
      <top style="medium">
        <color indexed="8"/>
      </top>
      <bottom/>
      <diagonal/>
    </border>
    <border>
      <left style="medium">
        <color indexed="64"/>
      </left>
      <right style="medium">
        <color indexed="8"/>
      </right>
      <top/>
      <bottom style="medium">
        <color indexed="8"/>
      </bottom>
      <diagonal/>
    </border>
    <border>
      <left style="medium">
        <color indexed="64"/>
      </left>
      <right/>
      <top style="medium">
        <color indexed="8"/>
      </top>
      <bottom/>
      <diagonal/>
    </border>
    <border>
      <left style="medium">
        <color indexed="8"/>
      </left>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64"/>
      </left>
      <right style="medium">
        <color indexed="8"/>
      </right>
      <top/>
      <bottom style="medium">
        <color indexed="64"/>
      </bottom>
      <diagonal/>
    </border>
    <border>
      <left/>
      <right/>
      <top style="medium">
        <color indexed="8"/>
      </top>
      <bottom/>
      <diagonal/>
    </border>
    <border>
      <left style="medium">
        <color indexed="64"/>
      </left>
      <right style="medium">
        <color indexed="8"/>
      </right>
      <top style="medium">
        <color indexed="64"/>
      </top>
      <bottom/>
      <diagonal/>
    </border>
    <border>
      <left/>
      <right style="medium">
        <color indexed="8"/>
      </right>
      <top style="medium">
        <color indexed="64"/>
      </top>
      <bottom style="medium">
        <color indexed="64"/>
      </bottom>
      <diagonal/>
    </border>
    <border>
      <left style="medium">
        <color indexed="8"/>
      </left>
      <right/>
      <top style="medium">
        <color indexed="8"/>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8"/>
      </left>
      <right style="medium">
        <color indexed="64"/>
      </right>
      <top/>
      <bottom style="medium">
        <color indexed="64"/>
      </bottom>
      <diagonal/>
    </border>
    <border>
      <left style="medium">
        <color indexed="64"/>
      </left>
      <right style="medium">
        <color indexed="64"/>
      </right>
      <top style="medium">
        <color indexed="8"/>
      </top>
      <bottom/>
      <diagonal/>
    </border>
    <border>
      <left/>
      <right style="medium">
        <color indexed="64"/>
      </right>
      <top style="medium">
        <color indexed="8"/>
      </top>
      <bottom/>
      <diagonal/>
    </border>
  </borders>
  <cellStyleXfs count="2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8" fillId="0" borderId="0"/>
    <xf numFmtId="0" fontId="25" fillId="0" borderId="0"/>
    <xf numFmtId="9" fontId="2" fillId="0" borderId="0" applyFont="0" applyFill="0" applyBorder="0" applyAlignment="0" applyProtection="0"/>
  </cellStyleXfs>
  <cellXfs count="618">
    <xf numFmtId="0" fontId="0" fillId="0" borderId="0" xfId="0"/>
    <xf numFmtId="49" fontId="3" fillId="0" borderId="1" xfId="0" applyNumberFormat="1" applyFont="1" applyBorder="1" applyAlignment="1">
      <alignment vertical="center" wrapText="1"/>
    </xf>
    <xf numFmtId="0" fontId="3" fillId="0" borderId="1" xfId="0" applyFont="1" applyBorder="1" applyAlignment="1">
      <alignment vertical="center" wrapText="1"/>
    </xf>
    <xf numFmtId="2" fontId="3"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0" xfId="0" applyFont="1"/>
    <xf numFmtId="0" fontId="6" fillId="0" borderId="0" xfId="0" applyFont="1"/>
    <xf numFmtId="0" fontId="8" fillId="0" borderId="0" xfId="0" applyFont="1" applyAlignment="1">
      <alignment horizontal="center"/>
    </xf>
    <xf numFmtId="0" fontId="7" fillId="0" borderId="0" xfId="0" applyFont="1"/>
    <xf numFmtId="49" fontId="7" fillId="0" borderId="0" xfId="0" applyNumberFormat="1" applyFont="1" applyAlignment="1">
      <alignment vertical="center"/>
    </xf>
    <xf numFmtId="0" fontId="7" fillId="0" borderId="0" xfId="0" applyFont="1" applyAlignment="1">
      <alignment horizontal="left" vertical="top" wrapText="1"/>
    </xf>
    <xf numFmtId="0" fontId="7" fillId="0" borderId="1" xfId="0" applyFont="1" applyBorder="1"/>
    <xf numFmtId="2" fontId="7" fillId="0" borderId="1" xfId="0" applyNumberFormat="1" applyFont="1" applyBorder="1"/>
    <xf numFmtId="0" fontId="9" fillId="0" borderId="0" xfId="0" applyFont="1" applyAlignment="1">
      <alignment horizontal="center" vertical="center" wrapText="1"/>
    </xf>
    <xf numFmtId="49" fontId="7" fillId="0" borderId="0" xfId="0" applyNumberFormat="1" applyFont="1" applyAlignment="1">
      <alignment horizontal="center" vertical="top"/>
    </xf>
    <xf numFmtId="0" fontId="10" fillId="0" borderId="0" xfId="0" applyFont="1" applyAlignment="1">
      <alignment horizontal="left"/>
    </xf>
    <xf numFmtId="0" fontId="3" fillId="0" borderId="1" xfId="0" applyFont="1" applyBorder="1"/>
    <xf numFmtId="0" fontId="3" fillId="0" borderId="1" xfId="0" applyFont="1" applyBorder="1" applyAlignment="1">
      <alignment horizontal="center"/>
    </xf>
    <xf numFmtId="49" fontId="7" fillId="0" borderId="0" xfId="0" applyNumberFormat="1" applyFont="1" applyAlignment="1">
      <alignment vertical="top"/>
    </xf>
    <xf numFmtId="2" fontId="3" fillId="0" borderId="1" xfId="0" applyNumberFormat="1" applyFont="1" applyBorder="1" applyAlignment="1">
      <alignment horizontal="center"/>
    </xf>
    <xf numFmtId="2" fontId="4" fillId="0" borderId="1" xfId="0" applyNumberFormat="1" applyFont="1" applyBorder="1" applyAlignment="1">
      <alignment horizontal="center"/>
    </xf>
    <xf numFmtId="0" fontId="3" fillId="0" borderId="1" xfId="0" applyFont="1" applyBorder="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7" fillId="0" borderId="0" xfId="0" applyFont="1"/>
    <xf numFmtId="49" fontId="3" fillId="0" borderId="1" xfId="0" applyNumberFormat="1" applyFont="1" applyBorder="1" applyAlignment="1">
      <alignment horizontal="left" vertical="center" wrapText="1"/>
    </xf>
    <xf numFmtId="0" fontId="37" fillId="0" borderId="1" xfId="0" applyFont="1" applyBorder="1" applyAlignment="1">
      <alignment horizontal="center" vertical="center"/>
    </xf>
    <xf numFmtId="0" fontId="37" fillId="0" borderId="1" xfId="0" applyFont="1" applyBorder="1" applyAlignment="1">
      <alignment horizontal="center"/>
    </xf>
    <xf numFmtId="0" fontId="4" fillId="0" borderId="0" xfId="0" applyFont="1" applyAlignment="1">
      <alignment horizontal="center"/>
    </xf>
    <xf numFmtId="2" fontId="37" fillId="0" borderId="1" xfId="0" applyNumberFormat="1" applyFont="1" applyBorder="1" applyAlignment="1">
      <alignment horizontal="center"/>
    </xf>
    <xf numFmtId="0" fontId="37" fillId="0" borderId="2" xfId="0" applyFont="1" applyBorder="1" applyAlignment="1">
      <alignment horizontal="center"/>
    </xf>
    <xf numFmtId="0" fontId="0" fillId="0" borderId="0" xfId="0" applyAlignment="1">
      <alignment horizontal="left"/>
    </xf>
    <xf numFmtId="0" fontId="3" fillId="0" borderId="1" xfId="0" applyFont="1" applyBorder="1" applyAlignment="1">
      <alignment vertical="distributed" wrapText="1"/>
    </xf>
    <xf numFmtId="0" fontId="3" fillId="0" borderId="1" xfId="0" applyFont="1" applyBorder="1" applyAlignment="1">
      <alignment wrapText="1"/>
    </xf>
    <xf numFmtId="0" fontId="37" fillId="0" borderId="4" xfId="0" applyFont="1" applyBorder="1" applyAlignment="1">
      <alignment horizontal="left" vertical="center" wrapText="1"/>
    </xf>
    <xf numFmtId="0" fontId="37" fillId="0" borderId="5" xfId="0" applyFont="1" applyBorder="1" applyAlignment="1">
      <alignment vertical="center"/>
    </xf>
    <xf numFmtId="0" fontId="37" fillId="0" borderId="6" xfId="0" applyFont="1" applyBorder="1" applyAlignment="1">
      <alignment horizontal="center" vertical="center"/>
    </xf>
    <xf numFmtId="0" fontId="37" fillId="0" borderId="3" xfId="0" applyFont="1" applyBorder="1" applyAlignment="1">
      <alignment vertical="center"/>
    </xf>
    <xf numFmtId="0" fontId="3" fillId="0" borderId="0" xfId="0" applyFont="1" applyAlignment="1">
      <alignment horizontal="center"/>
    </xf>
    <xf numFmtId="0" fontId="38" fillId="0" borderId="0" xfId="0" applyFont="1"/>
    <xf numFmtId="2" fontId="38" fillId="0" borderId="1" xfId="0" applyNumberFormat="1" applyFont="1" applyBorder="1"/>
    <xf numFmtId="2" fontId="37" fillId="0" borderId="1" xfId="0" applyNumberFormat="1" applyFont="1" applyBorder="1" applyAlignment="1">
      <alignment horizontal="center" vertical="center"/>
    </xf>
    <xf numFmtId="0" fontId="13" fillId="0" borderId="4" xfId="0" applyFont="1" applyBorder="1" applyAlignment="1">
      <alignment horizontal="left" wrapText="1"/>
    </xf>
    <xf numFmtId="0" fontId="14" fillId="0" borderId="0" xfId="0" applyFont="1"/>
    <xf numFmtId="0" fontId="13" fillId="0" borderId="0" xfId="0" applyFont="1"/>
    <xf numFmtId="0" fontId="17" fillId="0" borderId="0" xfId="0" applyFont="1"/>
    <xf numFmtId="0" fontId="13" fillId="0" borderId="0" xfId="0" applyFont="1" applyAlignment="1">
      <alignment horizontal="right" vertical="center"/>
    </xf>
    <xf numFmtId="0" fontId="13" fillId="0" borderId="0" xfId="0" applyFont="1" applyAlignment="1">
      <alignment horizontal="center"/>
    </xf>
    <xf numFmtId="1" fontId="13" fillId="0" borderId="0" xfId="0" applyNumberFormat="1" applyFont="1"/>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xf>
    <xf numFmtId="1" fontId="13" fillId="0" borderId="1" xfId="0" applyNumberFormat="1" applyFont="1" applyBorder="1" applyAlignment="1">
      <alignment horizontal="center" vertical="center"/>
    </xf>
    <xf numFmtId="0" fontId="16" fillId="0" borderId="7" xfId="0" applyFont="1" applyBorder="1" applyAlignment="1">
      <alignment horizontal="center" vertical="center"/>
    </xf>
    <xf numFmtId="0" fontId="13" fillId="0" borderId="7" xfId="0" applyFont="1" applyBorder="1" applyAlignment="1">
      <alignment vertical="center"/>
    </xf>
    <xf numFmtId="2" fontId="20" fillId="0" borderId="0" xfId="0" applyNumberFormat="1" applyFont="1" applyAlignment="1">
      <alignment horizontal="center"/>
    </xf>
    <xf numFmtId="0" fontId="16" fillId="0" borderId="0" xfId="0" applyFont="1" applyAlignment="1">
      <alignment horizontal="center" vertical="center"/>
    </xf>
    <xf numFmtId="0" fontId="16" fillId="0" borderId="0" xfId="0" applyFont="1"/>
    <xf numFmtId="0" fontId="21" fillId="0" borderId="0" xfId="0" applyFont="1"/>
    <xf numFmtId="0" fontId="20" fillId="0" borderId="0" xfId="0" applyFont="1" applyAlignment="1">
      <alignment horizontal="center"/>
    </xf>
    <xf numFmtId="0" fontId="38" fillId="0" borderId="0" xfId="0" applyFont="1" applyAlignment="1">
      <alignment horizontal="left" wrapText="1"/>
    </xf>
    <xf numFmtId="49" fontId="3" fillId="0" borderId="0" xfId="0" applyNumberFormat="1" applyFont="1" applyAlignment="1">
      <alignment vertical="top"/>
    </xf>
    <xf numFmtId="0" fontId="9" fillId="0" borderId="0" xfId="0" applyFont="1" applyAlignment="1">
      <alignment wrapText="1"/>
    </xf>
    <xf numFmtId="0" fontId="38" fillId="0" borderId="0" xfId="0" applyFont="1" applyAlignment="1">
      <alignment wrapText="1"/>
    </xf>
    <xf numFmtId="2" fontId="37" fillId="0" borderId="0" xfId="0" applyNumberFormat="1" applyFont="1" applyAlignment="1">
      <alignment wrapText="1"/>
    </xf>
    <xf numFmtId="164" fontId="37" fillId="0" borderId="0" xfId="0" applyNumberFormat="1" applyFont="1" applyAlignment="1">
      <alignment wrapText="1"/>
    </xf>
    <xf numFmtId="0" fontId="3" fillId="0" borderId="0" xfId="0" applyFont="1" applyAlignment="1">
      <alignment wrapText="1"/>
    </xf>
    <xf numFmtId="2" fontId="4" fillId="0" borderId="0" xfId="0" applyNumberFormat="1" applyFont="1" applyAlignment="1">
      <alignment horizontal="center"/>
    </xf>
    <xf numFmtId="0" fontId="9" fillId="0" borderId="0" xfId="0" applyFont="1"/>
    <xf numFmtId="165" fontId="9" fillId="0" borderId="1" xfId="0" applyNumberFormat="1" applyFont="1" applyBorder="1" applyAlignment="1">
      <alignment horizontal="center"/>
    </xf>
    <xf numFmtId="1" fontId="9" fillId="0" borderId="1" xfId="0" applyNumberFormat="1" applyFont="1" applyBorder="1" applyAlignment="1">
      <alignment horizontal="center"/>
    </xf>
    <xf numFmtId="164" fontId="9" fillId="0" borderId="1" xfId="0" applyNumberFormat="1" applyFont="1" applyBorder="1" applyAlignment="1">
      <alignment horizontal="center"/>
    </xf>
    <xf numFmtId="0" fontId="9" fillId="0" borderId="0" xfId="0" applyFont="1" applyAlignment="1">
      <alignment horizontal="center"/>
    </xf>
    <xf numFmtId="2" fontId="9" fillId="0" borderId="1" xfId="0" applyNumberFormat="1" applyFont="1" applyBorder="1" applyAlignment="1">
      <alignment horizontal="center"/>
    </xf>
    <xf numFmtId="0" fontId="39" fillId="0" borderId="0" xfId="0" applyFont="1"/>
    <xf numFmtId="2" fontId="9" fillId="0" borderId="1" xfId="0" applyNumberFormat="1" applyFont="1" applyBorder="1" applyAlignment="1">
      <alignment wrapText="1"/>
    </xf>
    <xf numFmtId="0" fontId="9" fillId="0" borderId="0" xfId="0" applyFont="1" applyAlignment="1">
      <alignment horizontal="left"/>
    </xf>
    <xf numFmtId="2" fontId="9" fillId="0" borderId="1" xfId="0" applyNumberFormat="1" applyFont="1" applyBorder="1"/>
    <xf numFmtId="0" fontId="6" fillId="0" borderId="0" xfId="0" applyFont="1" applyAlignment="1">
      <alignment horizontal="right"/>
    </xf>
    <xf numFmtId="0" fontId="6" fillId="0" borderId="0" xfId="0" applyFont="1" applyAlignment="1">
      <alignment horizontal="right" wrapText="1"/>
    </xf>
    <xf numFmtId="4" fontId="9" fillId="0" borderId="0" xfId="0" applyNumberFormat="1" applyFont="1" applyAlignment="1">
      <alignment horizontal="center"/>
    </xf>
    <xf numFmtId="0" fontId="37" fillId="16" borderId="1" xfId="0" applyFont="1" applyFill="1" applyBorder="1"/>
    <xf numFmtId="0" fontId="40" fillId="0" borderId="1" xfId="0" applyFont="1" applyBorder="1" applyAlignment="1">
      <alignment horizontal="center" wrapText="1"/>
    </xf>
    <xf numFmtId="0" fontId="40" fillId="0" borderId="1" xfId="0" applyFont="1" applyBorder="1" applyAlignment="1">
      <alignment horizontal="center"/>
    </xf>
    <xf numFmtId="0" fontId="37" fillId="0" borderId="1" xfId="0" applyFont="1" applyBorder="1" applyAlignment="1">
      <alignment wrapText="1"/>
    </xf>
    <xf numFmtId="0" fontId="37" fillId="0" borderId="1" xfId="0" applyFont="1" applyBorder="1" applyAlignment="1">
      <alignment vertical="center" wrapText="1"/>
    </xf>
    <xf numFmtId="0" fontId="41" fillId="0" borderId="1" xfId="0" applyFont="1" applyBorder="1" applyAlignment="1">
      <alignment wrapText="1"/>
    </xf>
    <xf numFmtId="0" fontId="37" fillId="0" borderId="1" xfId="0" applyFont="1" applyBorder="1"/>
    <xf numFmtId="0" fontId="37" fillId="0" borderId="1" xfId="0" applyFont="1" applyBorder="1" applyAlignment="1">
      <alignment horizontal="right"/>
    </xf>
    <xf numFmtId="0" fontId="37" fillId="0" borderId="1" xfId="0" applyFont="1" applyBorder="1" applyAlignment="1">
      <alignment vertical="center"/>
    </xf>
    <xf numFmtId="2" fontId="37" fillId="0" borderId="1" xfId="0" applyNumberFormat="1" applyFont="1" applyBorder="1"/>
    <xf numFmtId="0" fontId="9" fillId="17" borderId="1" xfId="0" applyFont="1" applyFill="1" applyBorder="1" applyAlignment="1">
      <alignment wrapText="1"/>
    </xf>
    <xf numFmtId="0" fontId="9" fillId="17" borderId="1" xfId="0" applyFont="1" applyFill="1" applyBorder="1"/>
    <xf numFmtId="2" fontId="9" fillId="17" borderId="1" xfId="0" applyNumberFormat="1" applyFont="1" applyFill="1" applyBorder="1"/>
    <xf numFmtId="0" fontId="38" fillId="0" borderId="1" xfId="0" applyFont="1" applyBorder="1"/>
    <xf numFmtId="0" fontId="40" fillId="0" borderId="1" xfId="0" applyFont="1" applyBorder="1"/>
    <xf numFmtId="2" fontId="40" fillId="0" borderId="1" xfId="0" applyNumberFormat="1" applyFont="1" applyBorder="1"/>
    <xf numFmtId="0" fontId="40" fillId="16" borderId="1" xfId="0" applyFont="1" applyFill="1" applyBorder="1"/>
    <xf numFmtId="9" fontId="37" fillId="0" borderId="1" xfId="21" applyFont="1" applyBorder="1"/>
    <xf numFmtId="0" fontId="19" fillId="0" borderId="0" xfId="0" applyFont="1"/>
    <xf numFmtId="0" fontId="16" fillId="0" borderId="0" xfId="0" applyFont="1" applyAlignment="1">
      <alignment horizontal="center"/>
    </xf>
    <xf numFmtId="0" fontId="24" fillId="0" borderId="0" xfId="0" applyFont="1"/>
    <xf numFmtId="0" fontId="23" fillId="0" borderId="0" xfId="0" applyFont="1"/>
    <xf numFmtId="0" fontId="14" fillId="0" borderId="0" xfId="20" applyFont="1" applyAlignment="1">
      <alignment horizontal="center" vertical="center"/>
    </xf>
    <xf numFmtId="1" fontId="14" fillId="0" borderId="0" xfId="20" applyNumberFormat="1" applyFont="1" applyAlignment="1">
      <alignment horizontal="center" vertical="center"/>
    </xf>
    <xf numFmtId="2" fontId="42" fillId="0" borderId="0" xfId="0" applyNumberFormat="1" applyFont="1" applyAlignment="1">
      <alignment horizontal="left"/>
    </xf>
    <xf numFmtId="0" fontId="14" fillId="0" borderId="8" xfId="0" applyFont="1" applyBorder="1" applyAlignment="1">
      <alignment horizontal="center" vertical="center"/>
    </xf>
    <xf numFmtId="0" fontId="26" fillId="0" borderId="3" xfId="19" applyFont="1" applyBorder="1" applyAlignment="1">
      <alignment horizontal="center" vertical="center" wrapText="1"/>
    </xf>
    <xf numFmtId="0" fontId="13" fillId="0" borderId="1" xfId="0" applyFont="1" applyBorder="1" applyAlignment="1">
      <alignment horizontal="left" vertical="center"/>
    </xf>
    <xf numFmtId="2" fontId="13" fillId="0" borderId="1" xfId="0" applyNumberFormat="1" applyFont="1" applyBorder="1" applyAlignment="1">
      <alignment vertical="center"/>
    </xf>
    <xf numFmtId="49" fontId="9" fillId="0" borderId="1" xfId="0" applyNumberFormat="1" applyFont="1" applyBorder="1" applyAlignment="1">
      <alignment horizontal="center" vertical="center"/>
    </xf>
    <xf numFmtId="0" fontId="9" fillId="0" borderId="4" xfId="0" applyFont="1" applyBorder="1" applyAlignment="1">
      <alignment horizontal="left" vertical="center"/>
    </xf>
    <xf numFmtId="0" fontId="16" fillId="18" borderId="1" xfId="0" applyFont="1" applyFill="1" applyBorder="1" applyAlignment="1">
      <alignment horizontal="center" vertical="center"/>
    </xf>
    <xf numFmtId="2" fontId="13" fillId="18" borderId="1" xfId="0" applyNumberFormat="1" applyFont="1" applyFill="1" applyBorder="1" applyAlignment="1">
      <alignment horizontal="center" vertical="center"/>
    </xf>
    <xf numFmtId="2" fontId="16" fillId="18" borderId="1" xfId="0" applyNumberFormat="1" applyFont="1" applyFill="1" applyBorder="1" applyAlignment="1">
      <alignment horizontal="center" vertical="center"/>
    </xf>
    <xf numFmtId="1" fontId="16" fillId="18" borderId="1" xfId="0" applyNumberFormat="1" applyFont="1" applyFill="1" applyBorder="1" applyAlignment="1">
      <alignment horizontal="center" vertical="center"/>
    </xf>
    <xf numFmtId="2" fontId="16" fillId="18" borderId="1" xfId="0" applyNumberFormat="1" applyFont="1" applyFill="1" applyBorder="1" applyAlignment="1">
      <alignment horizontal="right" vertical="center"/>
    </xf>
    <xf numFmtId="0" fontId="28" fillId="0" borderId="6" xfId="0" applyFont="1" applyBorder="1" applyAlignment="1">
      <alignment horizontal="left" vertical="center"/>
    </xf>
    <xf numFmtId="0" fontId="16" fillId="0" borderId="9" xfId="0" applyFont="1" applyBorder="1" applyAlignment="1">
      <alignment vertical="center"/>
    </xf>
    <xf numFmtId="0" fontId="16" fillId="0" borderId="4" xfId="0" applyFont="1" applyBorder="1" applyAlignment="1">
      <alignment vertical="center"/>
    </xf>
    <xf numFmtId="0" fontId="16" fillId="0" borderId="6" xfId="0" applyFont="1" applyBorder="1" applyAlignment="1">
      <alignment vertical="center"/>
    </xf>
    <xf numFmtId="1" fontId="13" fillId="19" borderId="1" xfId="0" applyNumberFormat="1" applyFont="1" applyFill="1" applyBorder="1" applyAlignment="1">
      <alignment horizontal="center" vertical="center"/>
    </xf>
    <xf numFmtId="2" fontId="13" fillId="19" borderId="1" xfId="0" applyNumberFormat="1" applyFont="1" applyFill="1" applyBorder="1" applyAlignment="1">
      <alignment horizontal="center" vertical="center"/>
    </xf>
    <xf numFmtId="2" fontId="16" fillId="19" borderId="1" xfId="0" applyNumberFormat="1" applyFont="1" applyFill="1" applyBorder="1" applyAlignment="1">
      <alignment horizontal="center" vertical="center"/>
    </xf>
    <xf numFmtId="0" fontId="16" fillId="19" borderId="1" xfId="0" applyFont="1" applyFill="1" applyBorder="1" applyAlignment="1">
      <alignment horizontal="center" vertical="center"/>
    </xf>
    <xf numFmtId="1" fontId="16" fillId="0" borderId="1" xfId="0" applyNumberFormat="1" applyFont="1" applyBorder="1" applyAlignment="1">
      <alignment horizontal="center" vertical="center"/>
    </xf>
    <xf numFmtId="0" fontId="16" fillId="18" borderId="1" xfId="0" applyFont="1" applyFill="1" applyBorder="1"/>
    <xf numFmtId="0" fontId="43" fillId="0" borderId="1" xfId="0" applyFont="1" applyBorder="1" applyAlignment="1">
      <alignment wrapText="1"/>
    </xf>
    <xf numFmtId="0" fontId="44" fillId="0" borderId="0" xfId="0" applyFont="1" applyAlignment="1">
      <alignment vertical="center"/>
    </xf>
    <xf numFmtId="2" fontId="3" fillId="17" borderId="1" xfId="0" applyNumberFormat="1" applyFont="1" applyFill="1" applyBorder="1" applyAlignment="1">
      <alignment horizontal="center" vertical="center" wrapText="1"/>
    </xf>
    <xf numFmtId="1" fontId="3" fillId="17" borderId="1" xfId="0" applyNumberFormat="1" applyFont="1" applyFill="1" applyBorder="1" applyAlignment="1">
      <alignment horizontal="center" vertical="center" wrapText="1"/>
    </xf>
    <xf numFmtId="2" fontId="4" fillId="17" borderId="1" xfId="0" applyNumberFormat="1" applyFont="1" applyFill="1" applyBorder="1" applyAlignment="1">
      <alignment horizontal="center" vertical="center" wrapText="1"/>
    </xf>
    <xf numFmtId="0" fontId="37" fillId="17" borderId="0" xfId="0" applyFont="1" applyFill="1"/>
    <xf numFmtId="0" fontId="6" fillId="17" borderId="0" xfId="0" applyFont="1" applyFill="1" applyAlignment="1">
      <alignment horizontal="right"/>
    </xf>
    <xf numFmtId="0" fontId="0" fillId="17" borderId="0" xfId="0" applyFill="1"/>
    <xf numFmtId="0" fontId="45" fillId="0" borderId="0" xfId="0" applyFont="1" applyAlignment="1">
      <alignment vertical="center"/>
    </xf>
    <xf numFmtId="0" fontId="46" fillId="0" borderId="10"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12" xfId="0" applyFont="1" applyBorder="1" applyAlignment="1">
      <alignment horizontal="center" vertical="center" wrapText="1"/>
    </xf>
    <xf numFmtId="2" fontId="46" fillId="0" borderId="11" xfId="0" applyNumberFormat="1" applyFont="1" applyBorder="1" applyAlignment="1">
      <alignment horizontal="center" vertical="center" wrapText="1"/>
    </xf>
    <xf numFmtId="2" fontId="46" fillId="0" borderId="13" xfId="0" applyNumberFormat="1" applyFont="1" applyBorder="1" applyAlignment="1">
      <alignment horizontal="center" vertical="center" wrapText="1"/>
    </xf>
    <xf numFmtId="2" fontId="44" fillId="0" borderId="14" xfId="0" applyNumberFormat="1" applyFont="1" applyBorder="1" applyAlignment="1">
      <alignment horizontal="center" vertical="center" wrapText="1"/>
    </xf>
    <xf numFmtId="2" fontId="44" fillId="0" borderId="15" xfId="0" applyNumberFormat="1" applyFont="1" applyBorder="1" applyAlignment="1">
      <alignment horizontal="center" vertical="center" wrapText="1"/>
    </xf>
    <xf numFmtId="2" fontId="37" fillId="0" borderId="0" xfId="0" applyNumberFormat="1" applyFont="1"/>
    <xf numFmtId="2" fontId="4" fillId="0" borderId="1" xfId="0" applyNumberFormat="1" applyFont="1" applyBorder="1" applyAlignment="1">
      <alignment horizontal="center" vertical="center"/>
    </xf>
    <xf numFmtId="2" fontId="9" fillId="0" borderId="0" xfId="0" applyNumberFormat="1" applyFont="1"/>
    <xf numFmtId="49" fontId="9" fillId="0" borderId="0" xfId="0" applyNumberFormat="1" applyFont="1" applyAlignment="1">
      <alignment vertical="center"/>
    </xf>
    <xf numFmtId="0" fontId="9" fillId="0" borderId="0" xfId="0" applyFont="1" applyAlignment="1">
      <alignment horizontal="left" vertical="top" wrapText="1"/>
    </xf>
    <xf numFmtId="49" fontId="9" fillId="0" borderId="0" xfId="0" applyNumberFormat="1" applyFont="1" applyAlignment="1">
      <alignment horizontal="center" vertical="top"/>
    </xf>
    <xf numFmtId="49" fontId="9" fillId="0" borderId="0" xfId="0" applyNumberFormat="1" applyFont="1" applyAlignment="1">
      <alignment vertical="top"/>
    </xf>
    <xf numFmtId="0" fontId="9" fillId="0" borderId="1" xfId="0" applyFont="1" applyBorder="1"/>
    <xf numFmtId="2" fontId="19" fillId="0" borderId="1" xfId="0" applyNumberFormat="1" applyFont="1" applyBorder="1"/>
    <xf numFmtId="2" fontId="9" fillId="0" borderId="0" xfId="0" applyNumberFormat="1" applyFont="1" applyAlignment="1">
      <alignment horizontal="right"/>
    </xf>
    <xf numFmtId="2" fontId="9" fillId="0" borderId="0" xfId="0" applyNumberFormat="1" applyFont="1" applyAlignment="1">
      <alignment horizontal="center"/>
    </xf>
    <xf numFmtId="0" fontId="31" fillId="0" borderId="0" xfId="0" applyFont="1" applyAlignment="1">
      <alignment horizontal="center"/>
    </xf>
    <xf numFmtId="2" fontId="9" fillId="0" borderId="0" xfId="0" applyNumberFormat="1" applyFont="1" applyAlignment="1">
      <alignment horizontal="left"/>
    </xf>
    <xf numFmtId="0" fontId="9" fillId="0" borderId="0" xfId="0" applyFont="1" applyAlignment="1">
      <alignment horizontal="center" wrapText="1"/>
    </xf>
    <xf numFmtId="164" fontId="9" fillId="0" borderId="1" xfId="0" applyNumberFormat="1" applyFont="1" applyBorder="1" applyAlignment="1">
      <alignment wrapText="1"/>
    </xf>
    <xf numFmtId="2" fontId="3" fillId="0" borderId="0" xfId="0" applyNumberFormat="1" applyFont="1" applyAlignment="1">
      <alignment wrapText="1"/>
    </xf>
    <xf numFmtId="164" fontId="9" fillId="0" borderId="2" xfId="0" applyNumberFormat="1" applyFont="1" applyBorder="1" applyAlignment="1">
      <alignment wrapText="1"/>
    </xf>
    <xf numFmtId="2" fontId="9" fillId="0" borderId="2" xfId="0" applyNumberFormat="1" applyFont="1" applyBorder="1" applyAlignment="1">
      <alignment wrapText="1"/>
    </xf>
    <xf numFmtId="2" fontId="19" fillId="0" borderId="16" xfId="0" applyNumberFormat="1" applyFont="1" applyBorder="1" applyAlignment="1">
      <alignment wrapText="1"/>
    </xf>
    <xf numFmtId="0" fontId="19" fillId="0" borderId="17" xfId="0" applyFont="1" applyBorder="1" applyAlignment="1">
      <alignment wrapText="1"/>
    </xf>
    <xf numFmtId="164" fontId="19" fillId="0" borderId="16" xfId="0" applyNumberFormat="1" applyFont="1" applyBorder="1" applyAlignment="1">
      <alignment wrapText="1"/>
    </xf>
    <xf numFmtId="2" fontId="9" fillId="0" borderId="18" xfId="0" applyNumberFormat="1" applyFont="1" applyBorder="1" applyAlignment="1">
      <alignment wrapText="1"/>
    </xf>
    <xf numFmtId="0" fontId="9" fillId="0" borderId="18" xfId="0" applyFont="1" applyBorder="1" applyAlignment="1">
      <alignment wrapText="1"/>
    </xf>
    <xf numFmtId="0" fontId="9" fillId="0" borderId="19" xfId="0" applyFont="1" applyBorder="1" applyAlignment="1">
      <alignment wrapText="1"/>
    </xf>
    <xf numFmtId="2" fontId="9" fillId="0" borderId="20" xfId="0" applyNumberFormat="1" applyFont="1" applyBorder="1" applyAlignment="1">
      <alignment wrapText="1"/>
    </xf>
    <xf numFmtId="164" fontId="9" fillId="0" borderId="21" xfId="0" applyNumberFormat="1" applyFont="1" applyBorder="1" applyAlignment="1">
      <alignment wrapText="1"/>
    </xf>
    <xf numFmtId="2" fontId="9" fillId="0" borderId="21" xfId="0" applyNumberFormat="1" applyFont="1" applyBorder="1" applyAlignment="1">
      <alignment wrapText="1"/>
    </xf>
    <xf numFmtId="0" fontId="13" fillId="0" borderId="22" xfId="0" applyFont="1" applyBorder="1" applyAlignment="1">
      <alignment horizontal="center" vertical="center" wrapText="1"/>
    </xf>
    <xf numFmtId="2" fontId="13" fillId="0" borderId="11" xfId="0" applyNumberFormat="1" applyFont="1" applyBorder="1" applyAlignment="1">
      <alignment horizontal="center" vertical="center" wrapText="1"/>
    </xf>
    <xf numFmtId="0" fontId="13" fillId="0" borderId="23" xfId="0" applyFont="1" applyBorder="1" applyAlignment="1">
      <alignment horizontal="center" vertical="center" wrapText="1"/>
    </xf>
    <xf numFmtId="2" fontId="13" fillId="0" borderId="15" xfId="0" applyNumberFormat="1" applyFont="1" applyBorder="1" applyAlignment="1">
      <alignment horizontal="center" vertical="center" wrapText="1"/>
    </xf>
    <xf numFmtId="0" fontId="13" fillId="0" borderId="0" xfId="0" applyFont="1" applyAlignment="1">
      <alignment horizontal="center" vertical="center"/>
    </xf>
    <xf numFmtId="0" fontId="24" fillId="0" borderId="0" xfId="0" applyFont="1" applyAlignment="1">
      <alignment horizontal="center"/>
    </xf>
    <xf numFmtId="2" fontId="24" fillId="0" borderId="0" xfId="0" applyNumberFormat="1" applyFont="1" applyAlignment="1">
      <alignment horizontal="center"/>
    </xf>
    <xf numFmtId="0" fontId="16" fillId="0" borderId="0" xfId="0" applyFont="1" applyAlignment="1">
      <alignment vertical="center"/>
    </xf>
    <xf numFmtId="9" fontId="37" fillId="0" borderId="1" xfId="21" applyFont="1" applyBorder="1" applyAlignment="1">
      <alignment horizontal="center"/>
    </xf>
    <xf numFmtId="9" fontId="37" fillId="0" borderId="1" xfId="21" applyFont="1" applyBorder="1" applyAlignment="1">
      <alignment horizontal="center" vertical="center"/>
    </xf>
    <xf numFmtId="2" fontId="46" fillId="0" borderId="15" xfId="0" applyNumberFormat="1" applyFont="1" applyBorder="1" applyAlignment="1">
      <alignment horizontal="center" vertical="center" wrapText="1"/>
    </xf>
    <xf numFmtId="0" fontId="46" fillId="0" borderId="24" xfId="0" applyFont="1" applyBorder="1" applyAlignment="1">
      <alignment horizontal="center" vertical="center" wrapText="1"/>
    </xf>
    <xf numFmtId="0" fontId="46" fillId="0" borderId="25" xfId="0" applyFont="1" applyBorder="1" applyAlignment="1">
      <alignment horizontal="center" vertical="center" wrapText="1"/>
    </xf>
    <xf numFmtId="2" fontId="46" fillId="0" borderId="14" xfId="0" applyNumberFormat="1" applyFont="1" applyBorder="1" applyAlignment="1">
      <alignment horizontal="center" vertical="center" wrapText="1"/>
    </xf>
    <xf numFmtId="0" fontId="13" fillId="0" borderId="25" xfId="0" applyFont="1" applyBorder="1" applyAlignment="1">
      <alignment horizontal="center" vertical="center" wrapText="1"/>
    </xf>
    <xf numFmtId="0" fontId="9" fillId="17" borderId="0" xfId="0" applyFont="1" applyFill="1"/>
    <xf numFmtId="0" fontId="4" fillId="0" borderId="1" xfId="0" applyFont="1" applyBorder="1" applyAlignment="1">
      <alignment horizontal="center" vertical="center"/>
    </xf>
    <xf numFmtId="0" fontId="14" fillId="0" borderId="15" xfId="0" applyFont="1" applyBorder="1" applyAlignment="1">
      <alignment vertical="center" wrapText="1"/>
    </xf>
    <xf numFmtId="0" fontId="13" fillId="0" borderId="15" xfId="0" applyFont="1" applyBorder="1" applyAlignment="1">
      <alignment horizontal="center" vertical="center" wrapText="1"/>
    </xf>
    <xf numFmtId="0" fontId="13" fillId="0" borderId="15" xfId="0" applyFont="1" applyBorder="1" applyAlignment="1">
      <alignment horizontal="right" vertical="center" wrapText="1"/>
    </xf>
    <xf numFmtId="2" fontId="13" fillId="0" borderId="15" xfId="0" applyNumberFormat="1" applyFont="1" applyBorder="1" applyAlignment="1">
      <alignment horizontal="right" vertical="center" wrapText="1"/>
    </xf>
    <xf numFmtId="0" fontId="13" fillId="0" borderId="26" xfId="0" applyFont="1" applyBorder="1" applyAlignment="1">
      <alignment horizontal="right"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3" fillId="0" borderId="27" xfId="0" applyFont="1" applyBorder="1" applyAlignment="1">
      <alignment horizontal="center"/>
    </xf>
    <xf numFmtId="0" fontId="3" fillId="0" borderId="28" xfId="0" applyFont="1" applyBorder="1"/>
    <xf numFmtId="2" fontId="9" fillId="0" borderId="28" xfId="0" applyNumberFormat="1" applyFont="1" applyBorder="1" applyAlignment="1">
      <alignment horizontal="center"/>
    </xf>
    <xf numFmtId="0" fontId="3" fillId="0" borderId="28" xfId="0" applyFont="1" applyBorder="1" applyAlignment="1">
      <alignment horizontal="center"/>
    </xf>
    <xf numFmtId="165" fontId="9" fillId="0" borderId="28" xfId="0" applyNumberFormat="1"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 xfId="0" applyFont="1" applyBorder="1"/>
    <xf numFmtId="2" fontId="9" fillId="0" borderId="2" xfId="0" applyNumberFormat="1" applyFont="1" applyBorder="1" applyAlignment="1">
      <alignment horizontal="center"/>
    </xf>
    <xf numFmtId="0" fontId="3" fillId="0" borderId="2" xfId="0" applyFont="1" applyBorder="1" applyAlignment="1">
      <alignment horizontal="center"/>
    </xf>
    <xf numFmtId="1" fontId="9" fillId="0" borderId="2" xfId="0" applyNumberFormat="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xf>
    <xf numFmtId="0" fontId="3" fillId="0" borderId="9" xfId="0" applyFont="1" applyBorder="1" applyAlignment="1">
      <alignment horizontal="center"/>
    </xf>
    <xf numFmtId="0" fontId="3" fillId="0" borderId="7" xfId="0" applyFont="1" applyBorder="1" applyAlignment="1">
      <alignment horizontal="center"/>
    </xf>
    <xf numFmtId="0" fontId="3" fillId="0" borderId="26" xfId="0" applyFont="1" applyBorder="1" applyAlignment="1">
      <alignment horizontal="center" vertical="center" wrapText="1"/>
    </xf>
    <xf numFmtId="2" fontId="3" fillId="0" borderId="31" xfId="0" applyNumberFormat="1" applyFont="1" applyBorder="1"/>
    <xf numFmtId="2" fontId="3" fillId="0" borderId="32" xfId="0" applyNumberFormat="1" applyFont="1" applyBorder="1"/>
    <xf numFmtId="2" fontId="3" fillId="0" borderId="33" xfId="0" applyNumberFormat="1" applyFont="1" applyBorder="1"/>
    <xf numFmtId="2" fontId="4" fillId="0" borderId="26" xfId="0" applyNumberFormat="1" applyFont="1" applyBorder="1" applyAlignment="1">
      <alignment horizontal="center"/>
    </xf>
    <xf numFmtId="2" fontId="9" fillId="0" borderId="34" xfId="0" applyNumberFormat="1" applyFont="1" applyBorder="1" applyAlignment="1">
      <alignment wrapText="1"/>
    </xf>
    <xf numFmtId="164" fontId="9" fillId="0" borderId="3" xfId="0" applyNumberFormat="1" applyFont="1" applyBorder="1" applyAlignment="1">
      <alignment wrapText="1"/>
    </xf>
    <xf numFmtId="2" fontId="9" fillId="0" borderId="3" xfId="0" applyNumberFormat="1" applyFont="1" applyBorder="1" applyAlignment="1">
      <alignment wrapText="1"/>
    </xf>
    <xf numFmtId="2" fontId="9" fillId="0" borderId="17" xfId="0" applyNumberFormat="1" applyFont="1" applyBorder="1" applyAlignment="1">
      <alignment horizontal="center" vertical="center" wrapText="1"/>
    </xf>
    <xf numFmtId="164" fontId="9" fillId="0" borderId="16" xfId="0" applyNumberFormat="1" applyFont="1" applyBorder="1" applyAlignment="1">
      <alignment vertical="center" wrapText="1"/>
    </xf>
    <xf numFmtId="2" fontId="9" fillId="0" borderId="16" xfId="0" applyNumberFormat="1" applyFont="1" applyBorder="1" applyAlignment="1">
      <alignment vertical="center" wrapText="1"/>
    </xf>
    <xf numFmtId="2" fontId="9" fillId="0" borderId="29" xfId="0" applyNumberFormat="1" applyFont="1" applyBorder="1" applyAlignment="1">
      <alignment horizontal="center" vertical="center" wrapText="1"/>
    </xf>
    <xf numFmtId="2" fontId="9" fillId="0" borderId="35" xfId="0" applyNumberFormat="1" applyFont="1" applyBorder="1" applyAlignment="1">
      <alignment wrapText="1"/>
    </xf>
    <xf numFmtId="2" fontId="9" fillId="0" borderId="9" xfId="0" applyNumberFormat="1" applyFont="1" applyBorder="1" applyAlignment="1">
      <alignment wrapText="1"/>
    </xf>
    <xf numFmtId="0" fontId="9" fillId="0" borderId="9" xfId="0" applyFont="1" applyBorder="1" applyAlignment="1">
      <alignment wrapText="1"/>
    </xf>
    <xf numFmtId="2" fontId="9" fillId="0" borderId="36" xfId="0" applyNumberFormat="1" applyFont="1" applyBorder="1" applyAlignment="1">
      <alignment wrapText="1"/>
    </xf>
    <xf numFmtId="2" fontId="19" fillId="0" borderId="29" xfId="0" applyNumberFormat="1" applyFont="1" applyBorder="1" applyAlignment="1">
      <alignment wrapText="1"/>
    </xf>
    <xf numFmtId="2" fontId="19" fillId="0" borderId="37" xfId="0" applyNumberFormat="1" applyFont="1" applyBorder="1" applyAlignment="1">
      <alignment wrapText="1"/>
    </xf>
    <xf numFmtId="2" fontId="9" fillId="0" borderId="26" xfId="0" applyNumberFormat="1" applyFont="1" applyBorder="1" applyAlignment="1">
      <alignment horizontal="center" vertical="center" wrapText="1"/>
    </xf>
    <xf numFmtId="2" fontId="9" fillId="0" borderId="38" xfId="0" applyNumberFormat="1" applyFont="1" applyBorder="1" applyAlignment="1">
      <alignment wrapText="1"/>
    </xf>
    <xf numFmtId="2" fontId="9" fillId="0" borderId="32" xfId="0" applyNumberFormat="1" applyFont="1" applyBorder="1" applyAlignment="1">
      <alignment wrapText="1"/>
    </xf>
    <xf numFmtId="0" fontId="9" fillId="0" borderId="32" xfId="0" applyFont="1" applyBorder="1" applyAlignment="1">
      <alignment wrapText="1"/>
    </xf>
    <xf numFmtId="2" fontId="9" fillId="0" borderId="33" xfId="0" applyNumberFormat="1" applyFont="1" applyBorder="1" applyAlignment="1">
      <alignment wrapText="1"/>
    </xf>
    <xf numFmtId="2" fontId="19" fillId="0" borderId="26" xfId="0" applyNumberFormat="1" applyFont="1" applyBorder="1" applyAlignment="1">
      <alignment wrapText="1"/>
    </xf>
    <xf numFmtId="2" fontId="9" fillId="0" borderId="25" xfId="0" applyNumberFormat="1" applyFont="1" applyBorder="1" applyAlignment="1">
      <alignment wrapText="1"/>
    </xf>
    <xf numFmtId="0" fontId="9" fillId="0" borderId="1" xfId="0" applyFont="1" applyBorder="1" applyAlignment="1">
      <alignment vertical="center" textRotation="90" wrapText="1"/>
    </xf>
    <xf numFmtId="0" fontId="9" fillId="0" borderId="1" xfId="0" applyFont="1" applyBorder="1" applyAlignment="1">
      <alignment wrapText="1"/>
    </xf>
    <xf numFmtId="0" fontId="9" fillId="0" borderId="1" xfId="0" applyFont="1" applyBorder="1" applyAlignment="1">
      <alignment horizontal="left" wrapText="1"/>
    </xf>
    <xf numFmtId="0" fontId="9" fillId="0" borderId="1" xfId="0" applyFont="1" applyBorder="1" applyAlignment="1">
      <alignment horizontal="left"/>
    </xf>
    <xf numFmtId="0" fontId="9" fillId="0" borderId="1" xfId="0" applyFont="1" applyBorder="1" applyAlignment="1">
      <alignment horizontal="center"/>
    </xf>
    <xf numFmtId="2" fontId="9" fillId="0" borderId="1" xfId="0" applyNumberFormat="1" applyFont="1" applyBorder="1" applyAlignment="1">
      <alignment horizontal="right"/>
    </xf>
    <xf numFmtId="2" fontId="19" fillId="0" borderId="1" xfId="0" applyNumberFormat="1" applyFont="1" applyBorder="1" applyAlignment="1">
      <alignment horizontal="right"/>
    </xf>
    <xf numFmtId="166" fontId="9" fillId="0" borderId="1" xfId="0" applyNumberFormat="1" applyFont="1" applyBorder="1"/>
    <xf numFmtId="0" fontId="9" fillId="0" borderId="0" xfId="0" applyFont="1" applyAlignment="1">
      <alignment horizontal="right"/>
    </xf>
    <xf numFmtId="49" fontId="7" fillId="0" borderId="0" xfId="0" applyNumberFormat="1" applyFont="1" applyAlignment="1">
      <alignment horizontal="right" vertical="center"/>
    </xf>
    <xf numFmtId="2" fontId="4" fillId="0" borderId="1" xfId="0" applyNumberFormat="1" applyFont="1" applyBorder="1"/>
    <xf numFmtId="0" fontId="7" fillId="0" borderId="0" xfId="0" applyFont="1" applyAlignment="1">
      <alignment horizontal="right"/>
    </xf>
    <xf numFmtId="0" fontId="46" fillId="0" borderId="39"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42" xfId="0" applyFont="1" applyBorder="1" applyAlignment="1">
      <alignment horizontal="center" vertical="center" wrapText="1"/>
    </xf>
    <xf numFmtId="0" fontId="46" fillId="0" borderId="43" xfId="0" applyFont="1" applyBorder="1" applyAlignment="1">
      <alignment horizontal="center" vertical="center" wrapText="1"/>
    </xf>
    <xf numFmtId="2" fontId="46" fillId="0" borderId="43" xfId="0" applyNumberFormat="1" applyFont="1" applyBorder="1" applyAlignment="1">
      <alignment horizontal="center" vertical="center" wrapText="1"/>
    </xf>
    <xf numFmtId="0" fontId="3" fillId="0" borderId="26" xfId="0" applyFont="1" applyBorder="1" applyAlignment="1">
      <alignment vertical="center"/>
    </xf>
    <xf numFmtId="0" fontId="46" fillId="0" borderId="26" xfId="0" applyFont="1" applyBorder="1" applyAlignment="1">
      <alignment horizontal="center" vertical="center" wrapText="1"/>
    </xf>
    <xf numFmtId="2" fontId="46" fillId="0" borderId="26" xfId="0" applyNumberFormat="1" applyFont="1" applyBorder="1" applyAlignment="1">
      <alignment horizontal="center" vertical="center" wrapText="1"/>
    </xf>
    <xf numFmtId="0" fontId="3" fillId="0" borderId="25" xfId="0" applyFont="1" applyBorder="1" applyAlignment="1">
      <alignment vertical="center"/>
    </xf>
    <xf numFmtId="0" fontId="46" fillId="0" borderId="44" xfId="0" applyFont="1" applyBorder="1" applyAlignment="1">
      <alignment horizontal="center" vertical="center" wrapText="1"/>
    </xf>
    <xf numFmtId="2" fontId="46" fillId="0" borderId="44" xfId="0" applyNumberFormat="1" applyFont="1" applyBorder="1" applyAlignment="1">
      <alignment horizontal="center" vertical="center" wrapText="1"/>
    </xf>
    <xf numFmtId="0" fontId="46" fillId="0" borderId="45" xfId="0" applyFont="1" applyBorder="1" applyAlignment="1">
      <alignment horizontal="center" vertical="center" wrapText="1"/>
    </xf>
    <xf numFmtId="2" fontId="46" fillId="0" borderId="24" xfId="0" applyNumberFormat="1" applyFont="1" applyBorder="1" applyAlignment="1">
      <alignment horizontal="center" vertical="center" wrapText="1"/>
    </xf>
    <xf numFmtId="0" fontId="3" fillId="0" borderId="25" xfId="0" applyFont="1" applyBorder="1" applyAlignment="1">
      <alignment wrapText="1"/>
    </xf>
    <xf numFmtId="0" fontId="46" fillId="0" borderId="46" xfId="0" applyFont="1" applyBorder="1" applyAlignment="1">
      <alignment vertical="center" wrapText="1"/>
    </xf>
    <xf numFmtId="0" fontId="3" fillId="0" borderId="26" xfId="0" applyFont="1" applyBorder="1" applyAlignment="1">
      <alignment wrapText="1"/>
    </xf>
    <xf numFmtId="0" fontId="46" fillId="0" borderId="47" xfId="0" applyFont="1" applyBorder="1" applyAlignment="1">
      <alignment horizontal="center" vertical="center" wrapText="1"/>
    </xf>
    <xf numFmtId="0" fontId="46" fillId="0" borderId="48" xfId="0" applyFont="1" applyBorder="1" applyAlignment="1">
      <alignment horizontal="center" vertical="center" wrapText="1"/>
    </xf>
    <xf numFmtId="0" fontId="46" fillId="0" borderId="49" xfId="0" applyFont="1" applyBorder="1" applyAlignment="1">
      <alignment horizontal="center" vertical="center" wrapText="1"/>
    </xf>
    <xf numFmtId="0" fontId="46" fillId="0" borderId="50" xfId="0" applyFont="1" applyBorder="1" applyAlignment="1">
      <alignment vertical="center" wrapText="1"/>
    </xf>
    <xf numFmtId="0" fontId="47" fillId="0" borderId="51" xfId="0" applyFont="1" applyBorder="1" applyAlignment="1">
      <alignment horizontal="center" vertical="center" wrapText="1"/>
    </xf>
    <xf numFmtId="0" fontId="46" fillId="0" borderId="52" xfId="0" applyFont="1" applyBorder="1" applyAlignment="1">
      <alignment horizontal="center" vertical="center" wrapText="1"/>
    </xf>
    <xf numFmtId="0" fontId="46" fillId="0" borderId="53" xfId="0" applyFont="1" applyBorder="1" applyAlignment="1">
      <alignment vertical="center" wrapText="1"/>
    </xf>
    <xf numFmtId="0" fontId="13" fillId="0" borderId="54" xfId="0" applyFont="1" applyBorder="1" applyAlignment="1">
      <alignment horizontal="center" vertical="center" wrapText="1"/>
    </xf>
    <xf numFmtId="0" fontId="44" fillId="0" borderId="55" xfId="0" applyFont="1" applyBorder="1" applyAlignment="1">
      <alignment vertical="center" wrapText="1"/>
    </xf>
    <xf numFmtId="0" fontId="44" fillId="0" borderId="56" xfId="0" applyFont="1" applyBorder="1" applyAlignment="1">
      <alignment vertical="center" wrapText="1"/>
    </xf>
    <xf numFmtId="0" fontId="13" fillId="0" borderId="56" xfId="0" applyFont="1" applyBorder="1" applyAlignment="1">
      <alignment horizontal="center" vertical="center" wrapText="1"/>
    </xf>
    <xf numFmtId="9" fontId="46" fillId="0" borderId="56" xfId="0" applyNumberFormat="1" applyFont="1" applyBorder="1" applyAlignment="1">
      <alignment horizontal="center" vertical="center" wrapText="1"/>
    </xf>
    <xf numFmtId="0" fontId="37" fillId="0" borderId="26" xfId="0" applyFont="1" applyBorder="1" applyAlignment="1">
      <alignment wrapText="1"/>
    </xf>
    <xf numFmtId="0" fontId="46" fillId="0" borderId="56" xfId="0" applyFont="1" applyBorder="1" applyAlignment="1">
      <alignment horizontal="center" vertical="center" wrapText="1"/>
    </xf>
    <xf numFmtId="0" fontId="47" fillId="0" borderId="56" xfId="0" applyFont="1" applyBorder="1" applyAlignment="1">
      <alignment horizontal="center" vertical="center" wrapText="1"/>
    </xf>
    <xf numFmtId="0" fontId="46" fillId="0" borderId="55" xfId="0" applyFont="1" applyBorder="1" applyAlignment="1">
      <alignment vertical="center" wrapText="1"/>
    </xf>
    <xf numFmtId="0" fontId="44" fillId="0" borderId="57" xfId="0" applyFont="1" applyBorder="1" applyAlignment="1">
      <alignment vertical="center" wrapText="1"/>
    </xf>
    <xf numFmtId="0" fontId="46" fillId="0" borderId="23" xfId="0" applyFont="1" applyBorder="1" applyAlignment="1">
      <alignment vertical="center" wrapText="1"/>
    </xf>
    <xf numFmtId="0" fontId="46" fillId="0" borderId="0" xfId="0" applyFont="1" applyAlignment="1">
      <alignment vertical="center"/>
    </xf>
    <xf numFmtId="0" fontId="44" fillId="0" borderId="0" xfId="0" applyFont="1" applyAlignment="1">
      <alignment horizontal="justify" vertical="center"/>
    </xf>
    <xf numFmtId="0" fontId="46" fillId="0" borderId="56" xfId="0" applyFont="1" applyBorder="1" applyAlignment="1">
      <alignment vertical="center" wrapText="1"/>
    </xf>
    <xf numFmtId="0" fontId="46" fillId="0" borderId="49" xfId="0" applyFont="1" applyBorder="1" applyAlignment="1">
      <alignment vertical="center" wrapText="1"/>
    </xf>
    <xf numFmtId="0" fontId="46" fillId="0" borderId="25" xfId="0" applyFont="1" applyBorder="1" applyAlignment="1">
      <alignment vertical="center" wrapText="1"/>
    </xf>
    <xf numFmtId="0" fontId="46" fillId="0" borderId="23" xfId="0" applyFont="1" applyBorder="1" applyAlignment="1">
      <alignment horizontal="center" vertical="center" wrapText="1"/>
    </xf>
    <xf numFmtId="0" fontId="46" fillId="0" borderId="58" xfId="0" applyFont="1" applyBorder="1" applyAlignment="1">
      <alignment horizontal="center" vertical="center" wrapText="1"/>
    </xf>
    <xf numFmtId="0" fontId="48" fillId="0" borderId="0" xfId="0" applyFont="1"/>
    <xf numFmtId="0" fontId="22" fillId="0" borderId="26" xfId="0" applyFont="1" applyBorder="1"/>
    <xf numFmtId="0" fontId="22" fillId="0" borderId="25" xfId="0" applyFont="1" applyBorder="1"/>
    <xf numFmtId="2" fontId="48" fillId="0" borderId="0" xfId="0" applyNumberFormat="1" applyFont="1"/>
    <xf numFmtId="0" fontId="22" fillId="0" borderId="25" xfId="0" applyFont="1" applyBorder="1" applyAlignment="1">
      <alignment wrapText="1"/>
    </xf>
    <xf numFmtId="0" fontId="22" fillId="0" borderId="26" xfId="0" applyFont="1" applyBorder="1" applyAlignment="1">
      <alignment wrapText="1"/>
    </xf>
    <xf numFmtId="0" fontId="46" fillId="0" borderId="51" xfId="0" applyFont="1" applyBorder="1" applyAlignment="1">
      <alignment horizontal="center" vertical="center" wrapText="1"/>
    </xf>
    <xf numFmtId="0" fontId="44" fillId="0" borderId="56" xfId="0" applyFont="1" applyBorder="1" applyAlignment="1">
      <alignment horizontal="center" vertical="center" wrapText="1"/>
    </xf>
    <xf numFmtId="0" fontId="46" fillId="0" borderId="26" xfId="0" applyFont="1" applyBorder="1" applyAlignment="1">
      <alignment wrapText="1"/>
    </xf>
    <xf numFmtId="0" fontId="48" fillId="0" borderId="0" xfId="0" applyFont="1" applyAlignment="1">
      <alignment horizontal="center" vertical="center"/>
    </xf>
    <xf numFmtId="2" fontId="46" fillId="0" borderId="59" xfId="0" applyNumberFormat="1" applyFont="1" applyBorder="1" applyAlignment="1">
      <alignment horizontal="center" vertical="center" wrapText="1"/>
    </xf>
    <xf numFmtId="2" fontId="46" fillId="0" borderId="60" xfId="0" applyNumberFormat="1" applyFont="1" applyBorder="1" applyAlignment="1">
      <alignment horizontal="center" vertical="center" wrapText="1"/>
    </xf>
    <xf numFmtId="0" fontId="46" fillId="0" borderId="0" xfId="0" applyFont="1" applyAlignment="1">
      <alignment horizontal="justify" vertical="center"/>
    </xf>
    <xf numFmtId="0" fontId="46" fillId="0" borderId="61" xfId="0" applyFont="1" applyBorder="1" applyAlignment="1">
      <alignment vertical="center" wrapText="1"/>
    </xf>
    <xf numFmtId="0" fontId="44" fillId="0" borderId="49" xfId="0" applyFont="1" applyBorder="1" applyAlignment="1">
      <alignment horizontal="center" vertical="center" wrapText="1"/>
    </xf>
    <xf numFmtId="0" fontId="46" fillId="0" borderId="0" xfId="0" applyFont="1" applyAlignment="1">
      <alignment horizontal="center" vertical="center" wrapText="1"/>
    </xf>
    <xf numFmtId="0" fontId="13" fillId="0" borderId="51" xfId="0" applyFont="1" applyBorder="1" applyAlignment="1">
      <alignment horizontal="center" vertical="center" wrapText="1"/>
    </xf>
    <xf numFmtId="167" fontId="46" fillId="0" borderId="24" xfId="0" applyNumberFormat="1" applyFont="1" applyBorder="1" applyAlignment="1">
      <alignment horizontal="center" vertical="center" wrapText="1"/>
    </xf>
    <xf numFmtId="0" fontId="13" fillId="0" borderId="40" xfId="0" applyFont="1" applyBorder="1" applyAlignment="1">
      <alignment horizontal="center" vertical="center" wrapText="1"/>
    </xf>
    <xf numFmtId="0" fontId="49" fillId="0" borderId="0" xfId="0" applyFont="1"/>
    <xf numFmtId="0" fontId="46" fillId="0" borderId="53" xfId="0" applyFont="1" applyBorder="1" applyAlignment="1">
      <alignment horizontal="center" vertical="center" wrapText="1"/>
    </xf>
    <xf numFmtId="0" fontId="46" fillId="0" borderId="57" xfId="0" applyFont="1" applyBorder="1" applyAlignment="1">
      <alignment horizontal="center" vertical="center" wrapText="1"/>
    </xf>
    <xf numFmtId="2" fontId="46" fillId="0" borderId="25" xfId="0" applyNumberFormat="1" applyFont="1" applyBorder="1" applyAlignment="1">
      <alignment horizontal="center" vertical="center" wrapText="1"/>
    </xf>
    <xf numFmtId="2" fontId="46" fillId="0" borderId="58" xfId="0" applyNumberFormat="1" applyFont="1" applyBorder="1" applyAlignment="1">
      <alignment horizontal="center" vertical="center" wrapText="1"/>
    </xf>
    <xf numFmtId="2" fontId="44" fillId="0" borderId="62" xfId="0" applyNumberFormat="1" applyFont="1" applyBorder="1" applyAlignment="1">
      <alignment horizontal="center" vertical="center" wrapText="1"/>
    </xf>
    <xf numFmtId="2" fontId="46" fillId="0" borderId="62" xfId="0" applyNumberFormat="1" applyFont="1" applyBorder="1" applyAlignment="1">
      <alignment horizontal="center" vertical="center" wrapText="1"/>
    </xf>
    <xf numFmtId="0" fontId="13" fillId="0" borderId="49" xfId="0" applyFont="1" applyBorder="1" applyAlignment="1">
      <alignment horizontal="center" vertical="center" wrapText="1"/>
    </xf>
    <xf numFmtId="0" fontId="46" fillId="0" borderId="50" xfId="0" applyFont="1" applyBorder="1" applyAlignment="1">
      <alignment horizontal="center" vertical="center" wrapText="1"/>
    </xf>
    <xf numFmtId="0" fontId="44" fillId="0" borderId="53" xfId="0" applyFont="1" applyBorder="1" applyAlignment="1">
      <alignment vertical="center" wrapText="1"/>
    </xf>
    <xf numFmtId="0" fontId="46" fillId="0" borderId="22" xfId="0" applyFont="1" applyBorder="1" applyAlignment="1">
      <alignment vertical="center" wrapText="1"/>
    </xf>
    <xf numFmtId="2" fontId="44" fillId="0" borderId="26" xfId="0" applyNumberFormat="1" applyFont="1" applyBorder="1" applyAlignment="1">
      <alignment horizontal="center" vertical="center" wrapText="1"/>
    </xf>
    <xf numFmtId="165" fontId="44" fillId="0" borderId="0" xfId="0" applyNumberFormat="1" applyFont="1" applyAlignment="1">
      <alignment vertical="center"/>
    </xf>
    <xf numFmtId="165" fontId="46" fillId="0" borderId="10" xfId="0" applyNumberFormat="1" applyFont="1" applyBorder="1" applyAlignment="1">
      <alignment horizontal="center" vertical="center" wrapText="1"/>
    </xf>
    <xf numFmtId="0" fontId="16" fillId="0" borderId="49" xfId="0" applyFont="1" applyBorder="1" applyAlignment="1">
      <alignment horizontal="center" vertical="center" wrapText="1"/>
    </xf>
    <xf numFmtId="165" fontId="46" fillId="0" borderId="12" xfId="0" applyNumberFormat="1" applyFont="1" applyBorder="1" applyAlignment="1">
      <alignment horizontal="center" vertical="center" wrapText="1"/>
    </xf>
    <xf numFmtId="165" fontId="48" fillId="0" borderId="0" xfId="0" applyNumberFormat="1" applyFont="1"/>
    <xf numFmtId="0" fontId="36" fillId="0" borderId="0" xfId="0" applyFont="1"/>
    <xf numFmtId="2" fontId="0" fillId="0" borderId="0" xfId="0" applyNumberFormat="1"/>
    <xf numFmtId="0" fontId="33" fillId="0" borderId="0" xfId="0" applyFont="1" applyAlignment="1">
      <alignment horizontal="center" vertical="center"/>
    </xf>
    <xf numFmtId="0" fontId="13" fillId="0" borderId="24"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15" xfId="0" applyFont="1" applyBorder="1" applyAlignment="1">
      <alignment vertical="center" wrapText="1"/>
    </xf>
    <xf numFmtId="0" fontId="13" fillId="0" borderId="15" xfId="0" applyFont="1" applyBorder="1" applyAlignment="1">
      <alignment horizontal="left" vertical="center" wrapText="1"/>
    </xf>
    <xf numFmtId="2" fontId="13" fillId="0" borderId="26" xfId="0" applyNumberFormat="1" applyFont="1" applyBorder="1" applyAlignment="1">
      <alignment horizontal="right" vertical="center" wrapText="1"/>
    </xf>
    <xf numFmtId="0" fontId="14" fillId="0" borderId="0" xfId="0" applyFont="1" applyAlignment="1">
      <alignment vertical="center" wrapText="1"/>
    </xf>
    <xf numFmtId="0" fontId="34" fillId="0" borderId="0" xfId="0" applyFont="1" applyAlignment="1">
      <alignment vertical="center"/>
    </xf>
    <xf numFmtId="0" fontId="34" fillId="0" borderId="0" xfId="0" applyFont="1" applyAlignment="1">
      <alignment horizontal="left" vertical="center"/>
    </xf>
    <xf numFmtId="0" fontId="10" fillId="0" borderId="0" xfId="0" applyFont="1" applyAlignment="1">
      <alignment vertical="center"/>
    </xf>
    <xf numFmtId="0" fontId="38" fillId="17" borderId="0" xfId="0" applyFont="1" applyFill="1"/>
    <xf numFmtId="2" fontId="38" fillId="0" borderId="0" xfId="0" applyNumberFormat="1" applyFont="1"/>
    <xf numFmtId="0" fontId="50" fillId="0" borderId="0" xfId="0" applyFont="1" applyAlignment="1">
      <alignment vertical="center"/>
    </xf>
    <xf numFmtId="0" fontId="51" fillId="0" borderId="0" xfId="0" applyFont="1" applyAlignment="1">
      <alignment vertical="center"/>
    </xf>
    <xf numFmtId="0" fontId="35" fillId="0" borderId="0" xfId="0" applyFont="1" applyAlignment="1">
      <alignment horizontal="right"/>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2" fontId="9" fillId="0" borderId="1"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1" fontId="9" fillId="0" borderId="1" xfId="0" applyNumberFormat="1" applyFont="1" applyBorder="1" applyAlignment="1">
      <alignment horizontal="center" vertical="center" wrapText="1"/>
    </xf>
    <xf numFmtId="2" fontId="19" fillId="17" borderId="1" xfId="0" applyNumberFormat="1" applyFont="1" applyFill="1" applyBorder="1" applyAlignment="1">
      <alignment horizontal="center" vertical="center" wrapText="1"/>
    </xf>
    <xf numFmtId="2" fontId="19" fillId="0" borderId="1" xfId="0" applyNumberFormat="1" applyFont="1" applyBorder="1" applyAlignment="1">
      <alignment horizontal="center" vertical="center" wrapText="1"/>
    </xf>
    <xf numFmtId="1" fontId="9" fillId="0" borderId="1" xfId="0" applyNumberFormat="1" applyFont="1" applyBorder="1"/>
    <xf numFmtId="0" fontId="9" fillId="20" borderId="1" xfId="0" applyFont="1" applyFill="1" applyBorder="1" applyAlignment="1">
      <alignment horizontal="left" wrapText="1"/>
    </xf>
    <xf numFmtId="0" fontId="9" fillId="20" borderId="1" xfId="0" applyFont="1" applyFill="1" applyBorder="1" applyAlignment="1">
      <alignment horizontal="left"/>
    </xf>
    <xf numFmtId="2" fontId="9" fillId="20" borderId="1" xfId="0" applyNumberFormat="1" applyFont="1" applyFill="1" applyBorder="1" applyAlignment="1">
      <alignment horizontal="left"/>
    </xf>
    <xf numFmtId="0" fontId="32" fillId="20" borderId="1" xfId="0" applyFont="1" applyFill="1" applyBorder="1" applyAlignment="1">
      <alignment horizontal="center" vertical="center"/>
    </xf>
    <xf numFmtId="0" fontId="9" fillId="20" borderId="1" xfId="0" applyFont="1" applyFill="1" applyBorder="1" applyAlignment="1">
      <alignment vertical="center" textRotation="90" wrapText="1"/>
    </xf>
    <xf numFmtId="0" fontId="9" fillId="20" borderId="1" xfId="0" applyFont="1" applyFill="1" applyBorder="1" applyAlignment="1">
      <alignment horizontal="center" vertical="center" textRotation="90" wrapText="1"/>
    </xf>
    <xf numFmtId="14" fontId="37"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1" fontId="46" fillId="0" borderId="44" xfId="0" applyNumberFormat="1" applyFont="1" applyBorder="1" applyAlignment="1">
      <alignment horizontal="center" vertical="center" wrapText="1"/>
    </xf>
    <xf numFmtId="0" fontId="35" fillId="17" borderId="0" xfId="0" applyFont="1" applyFill="1" applyAlignment="1">
      <alignment horizontal="right"/>
    </xf>
    <xf numFmtId="2" fontId="9" fillId="17" borderId="1" xfId="0" applyNumberFormat="1" applyFont="1" applyFill="1" applyBorder="1" applyAlignment="1">
      <alignment horizontal="center" vertical="center" wrapText="1"/>
    </xf>
    <xf numFmtId="1" fontId="9" fillId="17" borderId="1" xfId="0" applyNumberFormat="1" applyFont="1" applyFill="1" applyBorder="1" applyAlignment="1">
      <alignment horizontal="center" vertical="center" wrapText="1"/>
    </xf>
    <xf numFmtId="49" fontId="9" fillId="0" borderId="0" xfId="0" applyNumberFormat="1" applyFont="1" applyAlignment="1">
      <alignment vertical="center" wrapText="1"/>
    </xf>
    <xf numFmtId="0" fontId="9" fillId="0" borderId="0" xfId="0" applyFont="1" applyAlignment="1">
      <alignment vertical="center" wrapText="1"/>
    </xf>
    <xf numFmtId="2" fontId="19" fillId="17" borderId="0" xfId="0" applyNumberFormat="1" applyFont="1" applyFill="1" applyAlignment="1">
      <alignment horizontal="center" vertical="center" wrapText="1"/>
    </xf>
    <xf numFmtId="0" fontId="19" fillId="0" borderId="0" xfId="0" applyFont="1" applyAlignment="1">
      <alignment vertical="center"/>
    </xf>
    <xf numFmtId="0" fontId="13" fillId="0" borderId="15" xfId="0" applyFont="1" applyBorder="1" applyAlignment="1">
      <alignment horizontal="left" wrapText="1"/>
    </xf>
    <xf numFmtId="0" fontId="3" fillId="17" borderId="0" xfId="0" applyFont="1" applyFill="1"/>
    <xf numFmtId="0" fontId="16" fillId="0" borderId="26" xfId="0" applyFont="1" applyBorder="1" applyAlignment="1">
      <alignment horizontal="right" vertical="center" wrapText="1"/>
    </xf>
    <xf numFmtId="2" fontId="19" fillId="0" borderId="0" xfId="0" applyNumberFormat="1" applyFont="1" applyAlignment="1">
      <alignment horizontal="center"/>
    </xf>
    <xf numFmtId="2" fontId="44" fillId="0" borderId="43" xfId="0" applyNumberFormat="1" applyFont="1" applyBorder="1" applyAlignment="1">
      <alignment horizontal="center" vertical="center" wrapText="1"/>
    </xf>
    <xf numFmtId="2" fontId="44" fillId="20" borderId="43" xfId="0" applyNumberFormat="1" applyFont="1" applyFill="1" applyBorder="1" applyAlignment="1">
      <alignment horizontal="center" vertical="center" wrapText="1"/>
    </xf>
    <xf numFmtId="2" fontId="46" fillId="20" borderId="24" xfId="0" applyNumberFormat="1" applyFont="1" applyFill="1" applyBorder="1" applyAlignment="1">
      <alignment horizontal="center" vertical="center" wrapText="1"/>
    </xf>
    <xf numFmtId="2" fontId="46" fillId="20" borderId="26" xfId="0" applyNumberFormat="1" applyFont="1" applyFill="1" applyBorder="1" applyAlignment="1">
      <alignment horizontal="center" vertical="center" wrapText="1"/>
    </xf>
    <xf numFmtId="2" fontId="44" fillId="20" borderId="26" xfId="0" applyNumberFormat="1" applyFont="1" applyFill="1" applyBorder="1" applyAlignment="1">
      <alignment horizontal="center" vertical="center" wrapText="1"/>
    </xf>
    <xf numFmtId="2" fontId="46" fillId="20" borderId="14" xfId="0" applyNumberFormat="1" applyFont="1" applyFill="1" applyBorder="1" applyAlignment="1">
      <alignment horizontal="center" vertical="center" wrapText="1"/>
    </xf>
    <xf numFmtId="2" fontId="46" fillId="20" borderId="15" xfId="0" applyNumberFormat="1" applyFont="1" applyFill="1" applyBorder="1" applyAlignment="1">
      <alignment horizontal="center" vertical="center" wrapText="1"/>
    </xf>
    <xf numFmtId="2" fontId="46" fillId="20" borderId="59" xfId="0" applyNumberFormat="1" applyFont="1" applyFill="1" applyBorder="1" applyAlignment="1">
      <alignment horizontal="center" vertical="center" wrapText="1"/>
    </xf>
    <xf numFmtId="2" fontId="44" fillId="20" borderId="15" xfId="0" applyNumberFormat="1" applyFont="1" applyFill="1" applyBorder="1" applyAlignment="1">
      <alignment horizontal="center" vertical="center" wrapText="1"/>
    </xf>
    <xf numFmtId="1" fontId="46" fillId="0" borderId="60" xfId="0" applyNumberFormat="1" applyFont="1" applyBorder="1" applyAlignment="1">
      <alignment horizontal="center" vertical="center" wrapText="1"/>
    </xf>
    <xf numFmtId="0" fontId="53" fillId="0" borderId="1" xfId="0" applyFont="1" applyBorder="1" applyAlignment="1">
      <alignment vertical="center" wrapText="1"/>
    </xf>
    <xf numFmtId="0" fontId="37" fillId="0" borderId="53" xfId="0" applyFont="1" applyBorder="1" applyAlignment="1">
      <alignment vertical="center" wrapText="1"/>
    </xf>
    <xf numFmtId="0" fontId="13" fillId="0" borderId="64" xfId="0" applyFont="1" applyBorder="1" applyAlignment="1">
      <alignment horizontal="center" vertical="center" wrapText="1"/>
    </xf>
    <xf numFmtId="2" fontId="44" fillId="20" borderId="14"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5" fillId="0" borderId="1" xfId="0" applyFont="1" applyBorder="1" applyAlignment="1">
      <alignment horizontal="center" vertical="center"/>
    </xf>
    <xf numFmtId="0" fontId="46" fillId="0" borderId="65" xfId="0" applyFont="1" applyBorder="1" applyAlignment="1">
      <alignment vertical="center" wrapText="1"/>
    </xf>
    <xf numFmtId="9" fontId="46" fillId="0" borderId="43" xfId="0" applyNumberFormat="1" applyFont="1" applyBorder="1" applyAlignment="1">
      <alignment vertical="center" wrapText="1"/>
    </xf>
    <xf numFmtId="0" fontId="13" fillId="0" borderId="66" xfId="0" applyFont="1" applyBorder="1" applyAlignment="1">
      <alignment horizontal="center" vertical="center" wrapText="1"/>
    </xf>
    <xf numFmtId="0" fontId="46" fillId="0" borderId="26" xfId="0" applyFont="1" applyBorder="1" applyAlignment="1">
      <alignment vertical="center" wrapText="1"/>
    </xf>
    <xf numFmtId="9" fontId="46" fillId="0" borderId="67" xfId="0" applyNumberFormat="1" applyFont="1" applyBorder="1" applyAlignment="1">
      <alignment vertical="center" wrapText="1"/>
    </xf>
    <xf numFmtId="9" fontId="46" fillId="0" borderId="67" xfId="0" applyNumberFormat="1" applyFont="1" applyBorder="1" applyAlignment="1">
      <alignment horizontal="center" vertical="center" wrapText="1"/>
    </xf>
    <xf numFmtId="2" fontId="16" fillId="0" borderId="26" xfId="0" applyNumberFormat="1" applyFont="1" applyBorder="1" applyAlignment="1">
      <alignment horizontal="right" vertical="center" wrapText="1"/>
    </xf>
    <xf numFmtId="9" fontId="46" fillId="0" borderId="68" xfId="0" applyNumberFormat="1" applyFont="1" applyBorder="1" applyAlignment="1">
      <alignment horizontal="center" vertical="center" wrapText="1"/>
    </xf>
    <xf numFmtId="0" fontId="52" fillId="0" borderId="4" xfId="0" applyFont="1" applyBorder="1" applyAlignment="1">
      <alignment horizontal="left" vertical="center" wrapText="1"/>
    </xf>
    <xf numFmtId="2" fontId="37" fillId="0" borderId="6" xfId="0" applyNumberFormat="1" applyFont="1" applyBorder="1" applyAlignment="1">
      <alignment horizontal="center"/>
    </xf>
    <xf numFmtId="0" fontId="3"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17" borderId="1" xfId="0" applyFont="1" applyFill="1" applyBorder="1" applyAlignment="1">
      <alignment horizontal="center" vertical="center" wrapText="1"/>
    </xf>
    <xf numFmtId="49" fontId="3" fillId="0" borderId="36" xfId="0" applyNumberFormat="1" applyFont="1" applyBorder="1" applyAlignment="1">
      <alignment horizontal="left" vertical="center" wrapText="1"/>
    </xf>
    <xf numFmtId="49" fontId="3" fillId="0" borderId="35" xfId="0" applyNumberFormat="1" applyFont="1" applyBorder="1" applyAlignment="1">
      <alignment horizontal="left" vertical="center" wrapText="1"/>
    </xf>
    <xf numFmtId="2" fontId="3" fillId="17" borderId="6" xfId="0" applyNumberFormat="1" applyFont="1" applyFill="1" applyBorder="1" applyAlignment="1">
      <alignment horizontal="center" vertical="center" wrapText="1"/>
    </xf>
    <xf numFmtId="0" fontId="46" fillId="0" borderId="58" xfId="0" applyFont="1" applyBorder="1" applyAlignment="1">
      <alignment horizontal="left" vertical="center" wrapText="1"/>
    </xf>
    <xf numFmtId="0" fontId="46" fillId="0" borderId="65" xfId="0" applyFont="1" applyBorder="1" applyAlignment="1">
      <alignment vertical="center" wrapText="1"/>
    </xf>
    <xf numFmtId="0" fontId="46" fillId="0" borderId="69" xfId="0" applyFont="1" applyBorder="1" applyAlignment="1">
      <alignment vertical="center" wrapText="1"/>
    </xf>
    <xf numFmtId="9" fontId="46" fillId="0" borderId="43" xfId="0" applyNumberFormat="1" applyFont="1" applyBorder="1" applyAlignment="1">
      <alignment horizontal="center" vertical="center" wrapText="1"/>
    </xf>
    <xf numFmtId="9" fontId="46" fillId="0" borderId="44" xfId="0" applyNumberFormat="1" applyFont="1" applyBorder="1" applyAlignment="1">
      <alignment horizontal="center" vertical="center" wrapText="1"/>
    </xf>
    <xf numFmtId="0" fontId="46" fillId="0" borderId="75" xfId="0" applyFont="1" applyBorder="1" applyAlignment="1">
      <alignment vertical="center" wrapText="1"/>
    </xf>
    <xf numFmtId="0" fontId="46" fillId="0" borderId="73" xfId="0" applyFont="1" applyBorder="1" applyAlignment="1">
      <alignment vertical="center" wrapText="1"/>
    </xf>
    <xf numFmtId="0" fontId="13" fillId="0" borderId="42" xfId="0" applyFont="1" applyBorder="1" applyAlignment="1">
      <alignment horizontal="center" vertical="center" wrapText="1"/>
    </xf>
    <xf numFmtId="0" fontId="13" fillId="0" borderId="23"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47" xfId="0" applyFont="1" applyBorder="1" applyAlignment="1">
      <alignment horizontal="center" vertical="center" wrapText="1"/>
    </xf>
    <xf numFmtId="2" fontId="46" fillId="0" borderId="63" xfId="0" applyNumberFormat="1" applyFont="1" applyBorder="1" applyAlignment="1">
      <alignment horizontal="center" vertical="center" wrapText="1"/>
    </xf>
    <xf numFmtId="2" fontId="46" fillId="0" borderId="15" xfId="0" applyNumberFormat="1" applyFont="1" applyBorder="1" applyAlignment="1">
      <alignment horizontal="center" vertical="center" wrapText="1"/>
    </xf>
    <xf numFmtId="0" fontId="46" fillId="0" borderId="43" xfId="0" applyFont="1" applyBorder="1" applyAlignment="1">
      <alignment horizontal="center" vertical="center" wrapText="1"/>
    </xf>
    <xf numFmtId="0" fontId="46" fillId="0" borderId="52" xfId="0" applyFont="1" applyBorder="1" applyAlignment="1">
      <alignment horizontal="center" vertical="center" wrapText="1"/>
    </xf>
    <xf numFmtId="0" fontId="46" fillId="0" borderId="58"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51" xfId="0" applyFont="1" applyBorder="1" applyAlignment="1">
      <alignment horizontal="center" vertical="center" wrapText="1"/>
    </xf>
    <xf numFmtId="2" fontId="46" fillId="0" borderId="13" xfId="0" applyNumberFormat="1" applyFont="1" applyBorder="1" applyAlignment="1">
      <alignment horizontal="center" vertical="center" wrapText="1"/>
    </xf>
    <xf numFmtId="0" fontId="46" fillId="0" borderId="24" xfId="0" applyFont="1" applyBorder="1" applyAlignment="1">
      <alignment horizontal="center" vertical="center" wrapText="1"/>
    </xf>
    <xf numFmtId="0" fontId="46" fillId="0" borderId="53" xfId="0" applyFont="1" applyBorder="1" applyAlignment="1">
      <alignment horizontal="left" vertical="center" wrapText="1"/>
    </xf>
    <xf numFmtId="0" fontId="46" fillId="0" borderId="54" xfId="0" applyFont="1" applyBorder="1" applyAlignment="1">
      <alignment horizontal="left" vertical="center" wrapText="1"/>
    </xf>
    <xf numFmtId="0" fontId="46" fillId="0" borderId="11" xfId="0" applyFont="1" applyBorder="1" applyAlignment="1">
      <alignment horizontal="left" vertical="center" wrapText="1"/>
    </xf>
    <xf numFmtId="0" fontId="44" fillId="0" borderId="0" xfId="0" applyFont="1" applyAlignment="1">
      <alignment horizontal="left" vertical="center"/>
    </xf>
    <xf numFmtId="0" fontId="46" fillId="0" borderId="76" xfId="0" applyFont="1" applyBorder="1" applyAlignment="1">
      <alignment horizontal="left" vertical="center" wrapText="1"/>
    </xf>
    <xf numFmtId="0" fontId="46" fillId="0" borderId="70" xfId="0" applyFont="1" applyBorder="1" applyAlignment="1">
      <alignment horizontal="center" vertical="center" wrapText="1"/>
    </xf>
    <xf numFmtId="0" fontId="46" fillId="0" borderId="55" xfId="0" applyFont="1" applyBorder="1" applyAlignment="1">
      <alignment horizontal="center" vertical="center" wrapText="1"/>
    </xf>
    <xf numFmtId="0" fontId="46" fillId="0" borderId="70" xfId="0" applyFont="1" applyBorder="1" applyAlignment="1">
      <alignment horizontal="left" vertical="center" wrapText="1"/>
    </xf>
    <xf numFmtId="0" fontId="46" fillId="0" borderId="74" xfId="0" applyFont="1" applyBorder="1" applyAlignment="1">
      <alignment horizontal="left" vertical="center" wrapText="1"/>
    </xf>
    <xf numFmtId="0" fontId="46" fillId="0" borderId="68" xfId="0" applyFont="1" applyBorder="1" applyAlignment="1">
      <alignment horizontal="left" vertical="center" wrapText="1"/>
    </xf>
    <xf numFmtId="0" fontId="46" fillId="0" borderId="71"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39"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0" xfId="0" applyFont="1" applyAlignment="1">
      <alignment horizontal="left" vertical="center" wrapText="1"/>
    </xf>
    <xf numFmtId="0" fontId="46" fillId="0" borderId="61" xfId="0" applyFont="1" applyBorder="1" applyAlignment="1">
      <alignment vertical="center" wrapText="1"/>
    </xf>
    <xf numFmtId="0" fontId="44" fillId="0" borderId="41" xfId="0" applyFont="1" applyBorder="1" applyAlignment="1">
      <alignment horizontal="center" vertical="center" wrapText="1"/>
    </xf>
    <xf numFmtId="0" fontId="44" fillId="0" borderId="44" xfId="0" applyFont="1" applyBorder="1" applyAlignment="1">
      <alignment horizontal="center" vertical="center" wrapText="1"/>
    </xf>
    <xf numFmtId="2" fontId="44" fillId="0" borderId="10" xfId="0" applyNumberFormat="1" applyFont="1" applyBorder="1" applyAlignment="1">
      <alignment horizontal="center" vertical="center" wrapText="1"/>
    </xf>
    <xf numFmtId="2" fontId="44" fillId="0" borderId="60" xfId="0" applyNumberFormat="1" applyFont="1" applyBorder="1" applyAlignment="1">
      <alignment horizontal="center" vertical="center" wrapText="1"/>
    </xf>
    <xf numFmtId="0" fontId="44" fillId="0" borderId="0" xfId="0" applyFont="1" applyAlignment="1">
      <alignment horizontal="right" vertical="center"/>
    </xf>
    <xf numFmtId="0" fontId="44" fillId="0" borderId="0" xfId="0" applyFont="1" applyAlignment="1">
      <alignment horizontal="center" vertical="center" wrapText="1"/>
    </xf>
    <xf numFmtId="49" fontId="9" fillId="0" borderId="36" xfId="0" applyNumberFormat="1" applyFont="1" applyBorder="1" applyAlignment="1">
      <alignment horizontal="left" vertical="center" wrapText="1"/>
    </xf>
    <xf numFmtId="49" fontId="9" fillId="0" borderId="35" xfId="0" applyNumberFormat="1" applyFont="1" applyBorder="1" applyAlignment="1">
      <alignment horizontal="left" vertical="center" wrapText="1"/>
    </xf>
    <xf numFmtId="2" fontId="9" fillId="17" borderId="6" xfId="0" applyNumberFormat="1" applyFont="1" applyFill="1" applyBorder="1" applyAlignment="1">
      <alignment horizontal="center" vertical="center" wrapText="1"/>
    </xf>
    <xf numFmtId="0" fontId="19" fillId="0" borderId="0" xfId="0" applyFont="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17" borderId="1" xfId="0" applyFont="1" applyFill="1" applyBorder="1" applyAlignment="1">
      <alignment horizontal="center" vertical="center" wrapText="1"/>
    </xf>
    <xf numFmtId="0" fontId="47" fillId="0" borderId="42" xfId="0" applyFont="1" applyBorder="1" applyAlignment="1">
      <alignment horizontal="center" vertical="center" wrapText="1"/>
    </xf>
    <xf numFmtId="0" fontId="47" fillId="0" borderId="23" xfId="0" applyFont="1" applyBorder="1" applyAlignment="1">
      <alignment horizontal="center" vertical="center" wrapText="1"/>
    </xf>
    <xf numFmtId="0" fontId="46" fillId="0" borderId="22" xfId="0" applyFont="1" applyBorder="1" applyAlignment="1">
      <alignment horizontal="left" vertical="center" wrapText="1"/>
    </xf>
    <xf numFmtId="0" fontId="46" fillId="0" borderId="77" xfId="0" applyFont="1" applyBorder="1" applyAlignment="1">
      <alignment horizontal="left" vertical="center" wrapText="1"/>
    </xf>
    <xf numFmtId="0" fontId="45" fillId="0" borderId="0" xfId="0" applyFont="1" applyAlignment="1">
      <alignment horizontal="right" vertical="center"/>
    </xf>
    <xf numFmtId="0" fontId="16" fillId="0" borderId="0" xfId="0" applyFont="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11" xfId="0" applyFont="1" applyBorder="1" applyAlignment="1">
      <alignment horizontal="center" vertical="center" wrapText="1"/>
    </xf>
    <xf numFmtId="0" fontId="37" fillId="0" borderId="0" xfId="0" applyFont="1" applyAlignment="1">
      <alignment horizontal="left" vertical="center" wrapText="1"/>
    </xf>
    <xf numFmtId="0" fontId="45" fillId="0" borderId="0" xfId="0" applyFont="1" applyAlignment="1">
      <alignment horizontal="center" vertical="center" wrapText="1"/>
    </xf>
    <xf numFmtId="0" fontId="3" fillId="0" borderId="0" xfId="0" applyFont="1" applyAlignment="1">
      <alignment horizontal="left"/>
    </xf>
    <xf numFmtId="0" fontId="37" fillId="0" borderId="78" xfId="0" applyFont="1" applyBorder="1" applyAlignment="1">
      <alignment horizontal="left" vertical="center" wrapText="1"/>
    </xf>
    <xf numFmtId="0" fontId="37" fillId="0" borderId="79" xfId="0" applyFont="1" applyBorder="1" applyAlignment="1">
      <alignment horizontal="left" vertical="center" wrapText="1"/>
    </xf>
    <xf numFmtId="0" fontId="37" fillId="0" borderId="2" xfId="0" applyFont="1" applyBorder="1" applyAlignment="1">
      <alignment horizontal="left" wrapText="1"/>
    </xf>
    <xf numFmtId="0" fontId="37" fillId="0" borderId="3" xfId="0" applyFont="1" applyBorder="1" applyAlignment="1">
      <alignment horizontal="left"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3" fillId="0" borderId="0" xfId="0" applyFont="1" applyAlignment="1">
      <alignment horizont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9" fillId="0" borderId="0" xfId="0" applyFont="1" applyAlignment="1">
      <alignment horizontal="center" wrapText="1"/>
    </xf>
    <xf numFmtId="2" fontId="9" fillId="0" borderId="6"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2" fontId="3" fillId="17" borderId="2" xfId="0" applyNumberFormat="1" applyFont="1" applyFill="1" applyBorder="1" applyAlignment="1">
      <alignment horizontal="center" vertical="center" wrapText="1"/>
    </xf>
    <xf numFmtId="2" fontId="3" fillId="17" borderId="3" xfId="0" applyNumberFormat="1" applyFont="1" applyFill="1" applyBorder="1" applyAlignment="1">
      <alignment horizontal="center" vertical="center" wrapText="1"/>
    </xf>
    <xf numFmtId="0" fontId="4" fillId="0" borderId="0" xfId="0" applyFont="1" applyAlignment="1">
      <alignment horizontal="center" wrapText="1"/>
    </xf>
    <xf numFmtId="2" fontId="46" fillId="0" borderId="59" xfId="0" applyNumberFormat="1"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44" fillId="0" borderId="43" xfId="0" applyFont="1" applyBorder="1" applyAlignment="1">
      <alignment horizontal="center" vertical="center" wrapText="1"/>
    </xf>
    <xf numFmtId="165" fontId="46" fillId="0" borderId="63" xfId="0" applyNumberFormat="1" applyFont="1" applyBorder="1" applyAlignment="1">
      <alignment horizontal="center" vertical="center" wrapText="1"/>
    </xf>
    <xf numFmtId="165" fontId="46" fillId="0" borderId="15" xfId="0" applyNumberFormat="1" applyFont="1" applyBorder="1" applyAlignment="1">
      <alignment horizontal="center" vertical="center" wrapText="1"/>
    </xf>
    <xf numFmtId="165" fontId="44" fillId="0" borderId="59" xfId="0" applyNumberFormat="1" applyFont="1" applyBorder="1" applyAlignment="1">
      <alignment horizontal="center" vertical="center" wrapText="1"/>
    </xf>
    <xf numFmtId="165" fontId="44" fillId="0" borderId="60" xfId="0" applyNumberFormat="1" applyFont="1" applyBorder="1" applyAlignment="1">
      <alignment horizontal="center" vertical="center" wrapText="1"/>
    </xf>
    <xf numFmtId="0" fontId="46" fillId="0" borderId="44" xfId="0" applyFont="1" applyBorder="1" applyAlignment="1">
      <alignment horizontal="center" vertical="center" wrapText="1"/>
    </xf>
    <xf numFmtId="0" fontId="44" fillId="0" borderId="0" xfId="0" applyFont="1" applyAlignment="1">
      <alignment horizontal="center" wrapText="1"/>
    </xf>
    <xf numFmtId="0" fontId="13" fillId="0" borderId="0" xfId="0" applyFont="1" applyAlignment="1">
      <alignment horizontal="left" vertical="center" wrapText="1"/>
    </xf>
    <xf numFmtId="0" fontId="13" fillId="0" borderId="77" xfId="0" applyFont="1" applyBorder="1" applyAlignment="1">
      <alignment horizontal="center" vertical="center" wrapText="1"/>
    </xf>
    <xf numFmtId="0" fontId="13" fillId="0" borderId="56" xfId="0" applyFont="1" applyBorder="1" applyAlignment="1">
      <alignment horizontal="center" vertical="center" wrapText="1"/>
    </xf>
    <xf numFmtId="2" fontId="46" fillId="0" borderId="81" xfId="0" applyNumberFormat="1" applyFont="1" applyBorder="1" applyAlignment="1">
      <alignment horizontal="center" vertical="center" wrapText="1"/>
    </xf>
    <xf numFmtId="2" fontId="46" fillId="0" borderId="62" xfId="0" applyNumberFormat="1" applyFont="1" applyBorder="1" applyAlignment="1">
      <alignment horizontal="center" vertical="center" wrapText="1"/>
    </xf>
    <xf numFmtId="2" fontId="46" fillId="0" borderId="82" xfId="0" applyNumberFormat="1" applyFont="1" applyBorder="1" applyAlignment="1">
      <alignment horizontal="center" vertical="center" wrapText="1"/>
    </xf>
    <xf numFmtId="2" fontId="46" fillId="0" borderId="14" xfId="0" applyNumberFormat="1" applyFont="1" applyBorder="1" applyAlignment="1">
      <alignment horizontal="center" vertical="center" wrapText="1"/>
    </xf>
    <xf numFmtId="0" fontId="46" fillId="0" borderId="24" xfId="0" applyFont="1" applyBorder="1" applyAlignment="1">
      <alignment horizontal="left"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51" xfId="0" applyFont="1" applyBorder="1" applyAlignment="1">
      <alignment horizontal="center" vertical="center" wrapText="1"/>
    </xf>
    <xf numFmtId="0" fontId="46" fillId="0" borderId="25" xfId="0" applyFont="1" applyBorder="1" applyAlignment="1">
      <alignment horizontal="lef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2" fontId="46" fillId="0" borderId="10" xfId="0" applyNumberFormat="1" applyFont="1" applyBorder="1" applyAlignment="1">
      <alignment horizontal="center" vertical="center" wrapText="1"/>
    </xf>
    <xf numFmtId="2" fontId="46" fillId="0" borderId="80" xfId="0" applyNumberFormat="1" applyFont="1" applyBorder="1" applyAlignment="1">
      <alignment horizontal="center" vertical="center" wrapText="1"/>
    </xf>
    <xf numFmtId="9" fontId="46" fillId="0" borderId="52" xfId="0" applyNumberFormat="1" applyFont="1" applyBorder="1" applyAlignment="1">
      <alignment horizontal="center" vertical="center" wrapText="1"/>
    </xf>
    <xf numFmtId="0" fontId="44" fillId="0" borderId="77" xfId="0" applyFont="1" applyBorder="1" applyAlignment="1">
      <alignment horizontal="center" vertical="center" wrapText="1"/>
    </xf>
    <xf numFmtId="0" fontId="44" fillId="0" borderId="56" xfId="0" applyFont="1" applyBorder="1" applyAlignment="1">
      <alignment horizontal="center" vertical="center" wrapText="1"/>
    </xf>
    <xf numFmtId="0" fontId="46" fillId="0" borderId="77" xfId="0" applyFont="1" applyBorder="1" applyAlignment="1">
      <alignment horizontal="center" vertical="center" wrapText="1"/>
    </xf>
    <xf numFmtId="0" fontId="46" fillId="0" borderId="49" xfId="0" applyFont="1" applyBorder="1" applyAlignment="1">
      <alignment horizontal="center" vertical="center" wrapText="1"/>
    </xf>
    <xf numFmtId="165" fontId="44" fillId="0" borderId="24" xfId="0" applyNumberFormat="1" applyFont="1" applyBorder="1" applyAlignment="1">
      <alignment horizontal="center" vertical="center" wrapText="1"/>
    </xf>
    <xf numFmtId="165" fontId="44" fillId="0" borderId="62" xfId="0" applyNumberFormat="1" applyFont="1" applyBorder="1" applyAlignment="1">
      <alignment horizontal="center" vertical="center" wrapText="1"/>
    </xf>
    <xf numFmtId="2" fontId="46" fillId="0" borderId="24" xfId="0" applyNumberFormat="1" applyFont="1" applyBorder="1" applyAlignment="1">
      <alignment horizontal="center" vertical="center" wrapText="1"/>
    </xf>
    <xf numFmtId="2" fontId="46" fillId="0" borderId="25" xfId="0" applyNumberFormat="1" applyFont="1" applyBorder="1" applyAlignment="1">
      <alignment horizontal="center" vertical="center" wrapText="1"/>
    </xf>
    <xf numFmtId="0" fontId="46" fillId="0" borderId="81" xfId="0" applyFont="1" applyBorder="1" applyAlignment="1">
      <alignment horizontal="center" vertical="center" wrapText="1"/>
    </xf>
    <xf numFmtId="167" fontId="46" fillId="0" borderId="10" xfId="21" applyNumberFormat="1" applyFont="1" applyFill="1" applyBorder="1" applyAlignment="1">
      <alignment horizontal="center" vertical="center" wrapText="1"/>
    </xf>
    <xf numFmtId="167" fontId="46" fillId="0" borderId="60" xfId="21" applyNumberFormat="1" applyFont="1" applyFill="1" applyBorder="1" applyAlignment="1">
      <alignment horizontal="center" vertical="center" wrapText="1"/>
    </xf>
    <xf numFmtId="0" fontId="16" fillId="0" borderId="41"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60" xfId="0" applyFont="1" applyBorder="1" applyAlignment="1">
      <alignment horizontal="center" vertical="center" wrapText="1"/>
    </xf>
    <xf numFmtId="0" fontId="46" fillId="0" borderId="63" xfId="0" applyFont="1" applyBorder="1" applyAlignment="1">
      <alignment horizontal="center" vertical="center" wrapText="1"/>
    </xf>
    <xf numFmtId="0" fontId="46" fillId="0" borderId="15" xfId="0" applyFont="1" applyBorder="1" applyAlignment="1">
      <alignment horizontal="center" vertical="center" wrapText="1"/>
    </xf>
    <xf numFmtId="0" fontId="44" fillId="0" borderId="0" xfId="0" applyFont="1" applyAlignment="1">
      <alignment horizontal="center" vertical="center"/>
    </xf>
    <xf numFmtId="0" fontId="44" fillId="0" borderId="0" xfId="0" applyFont="1" applyAlignment="1">
      <alignment horizontal="left" vertical="center" wrapText="1"/>
    </xf>
    <xf numFmtId="0" fontId="46" fillId="0" borderId="59" xfId="0" applyFont="1" applyBorder="1" applyAlignment="1">
      <alignment horizontal="center" vertical="center" wrapText="1"/>
    </xf>
    <xf numFmtId="0" fontId="46" fillId="0" borderId="13" xfId="0" applyFont="1" applyBorder="1" applyAlignment="1">
      <alignment horizontal="center" vertical="center" wrapText="1"/>
    </xf>
    <xf numFmtId="0" fontId="44" fillId="0" borderId="59" xfId="0" applyFont="1" applyBorder="1" applyAlignment="1">
      <alignment horizontal="center" vertical="center" wrapText="1"/>
    </xf>
    <xf numFmtId="167" fontId="46" fillId="0" borderId="59" xfId="21" applyNumberFormat="1" applyFont="1" applyFill="1" applyBorder="1" applyAlignment="1">
      <alignment horizontal="center" vertical="center" wrapText="1"/>
    </xf>
    <xf numFmtId="167" fontId="46" fillId="0" borderId="13" xfId="21" applyNumberFormat="1" applyFont="1" applyFill="1" applyBorder="1" applyAlignment="1">
      <alignment horizontal="center" vertical="center" wrapText="1"/>
    </xf>
    <xf numFmtId="0" fontId="46" fillId="0" borderId="68" xfId="0" applyFont="1" applyBorder="1" applyAlignment="1">
      <alignment horizontal="center" vertical="center" wrapText="1"/>
    </xf>
    <xf numFmtId="0" fontId="13" fillId="0" borderId="42" xfId="0" applyFont="1" applyBorder="1" applyAlignment="1">
      <alignment horizontal="center" vertical="top" wrapText="1"/>
    </xf>
    <xf numFmtId="0" fontId="13" fillId="0" borderId="23" xfId="0" applyFont="1" applyBorder="1" applyAlignment="1">
      <alignment horizontal="center" vertical="top" wrapText="1"/>
    </xf>
    <xf numFmtId="2" fontId="44" fillId="0" borderId="59" xfId="0" applyNumberFormat="1" applyFont="1" applyBorder="1" applyAlignment="1">
      <alignment horizontal="center" vertical="center" wrapText="1"/>
    </xf>
    <xf numFmtId="0" fontId="3" fillId="0" borderId="0" xfId="0" applyFont="1" applyAlignment="1">
      <alignment horizontal="center" vertical="center" wrapText="1"/>
    </xf>
    <xf numFmtId="2" fontId="3" fillId="0" borderId="6"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8" fillId="0" borderId="0" xfId="0" applyFont="1" applyAlignment="1">
      <alignment horizontal="center"/>
    </xf>
    <xf numFmtId="0" fontId="52" fillId="0" borderId="1" xfId="0" applyFont="1" applyBorder="1" applyAlignment="1">
      <alignment horizontal="center" vertical="center" wrapText="1"/>
    </xf>
    <xf numFmtId="0" fontId="7" fillId="0" borderId="0" xfId="0" applyFont="1" applyAlignment="1">
      <alignment horizont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9" fillId="0" borderId="0" xfId="0" applyFont="1" applyAlignment="1">
      <alignment horizontal="left" wrapText="1"/>
    </xf>
    <xf numFmtId="0" fontId="10" fillId="0" borderId="0" xfId="0" applyFont="1" applyAlignment="1">
      <alignment horizontal="left"/>
    </xf>
    <xf numFmtId="49" fontId="7" fillId="0" borderId="0" xfId="0" applyNumberFormat="1" applyFont="1" applyAlignment="1">
      <alignment horizontal="left"/>
    </xf>
    <xf numFmtId="0" fontId="9" fillId="0" borderId="0" xfId="0" applyFont="1" applyAlignment="1">
      <alignment horizontal="center"/>
    </xf>
    <xf numFmtId="2" fontId="9" fillId="0" borderId="0" xfId="0" applyNumberFormat="1" applyFont="1" applyAlignment="1">
      <alignment horizontal="right"/>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49" fontId="9" fillId="0" borderId="0" xfId="0" applyNumberFormat="1" applyFont="1" applyAlignment="1">
      <alignment horizontal="left" vertical="top"/>
    </xf>
    <xf numFmtId="0" fontId="9" fillId="0" borderId="7" xfId="0" applyFont="1" applyBorder="1" applyAlignment="1">
      <alignment horizontal="center"/>
    </xf>
    <xf numFmtId="0" fontId="9" fillId="0" borderId="0" xfId="0" applyFont="1" applyAlignment="1">
      <alignment horizontal="right" wrapText="1"/>
    </xf>
    <xf numFmtId="1" fontId="13" fillId="0" borderId="2" xfId="19" applyNumberFormat="1" applyFont="1" applyBorder="1" applyAlignment="1">
      <alignment horizontal="center" vertical="center" wrapText="1"/>
    </xf>
    <xf numFmtId="1" fontId="13" fillId="0" borderId="5" xfId="19" applyNumberFormat="1" applyFont="1" applyBorder="1" applyAlignment="1">
      <alignment horizontal="center" vertical="center" wrapText="1"/>
    </xf>
    <xf numFmtId="1" fontId="13" fillId="0" borderId="21" xfId="19" applyNumberFormat="1" applyFont="1" applyBorder="1" applyAlignment="1">
      <alignment horizontal="center" vertical="center" wrapText="1"/>
    </xf>
    <xf numFmtId="49" fontId="16" fillId="18" borderId="9" xfId="0" applyNumberFormat="1" applyFont="1" applyFill="1" applyBorder="1" applyAlignment="1">
      <alignment horizontal="left"/>
    </xf>
    <xf numFmtId="49" fontId="16" fillId="18" borderId="6" xfId="0" applyNumberFormat="1" applyFont="1" applyFill="1" applyBorder="1" applyAlignment="1">
      <alignment horizontal="left"/>
    </xf>
    <xf numFmtId="0" fontId="13" fillId="0" borderId="2" xfId="19" applyFont="1" applyBorder="1" applyAlignment="1">
      <alignment horizontal="center" vertical="center" wrapText="1"/>
    </xf>
    <xf numFmtId="0" fontId="13" fillId="0" borderId="5" xfId="19" applyFont="1" applyBorder="1" applyAlignment="1">
      <alignment horizontal="center" vertical="center" wrapText="1"/>
    </xf>
    <xf numFmtId="0" fontId="13" fillId="0" borderId="21" xfId="19" applyFont="1" applyBorder="1" applyAlignment="1">
      <alignment horizontal="center" vertical="center" wrapText="1"/>
    </xf>
    <xf numFmtId="0" fontId="13" fillId="0" borderId="36" xfId="19" applyFont="1" applyBorder="1" applyAlignment="1">
      <alignment horizontal="center" vertical="center" wrapText="1"/>
    </xf>
    <xf numFmtId="0" fontId="13" fillId="0" borderId="78" xfId="19" applyFont="1" applyBorder="1" applyAlignment="1">
      <alignment horizontal="center" vertical="center" wrapText="1"/>
    </xf>
    <xf numFmtId="0" fontId="13" fillId="0" borderId="35" xfId="19" applyFont="1" applyBorder="1" applyAlignment="1">
      <alignment horizontal="center" vertical="center" wrapText="1"/>
    </xf>
    <xf numFmtId="0" fontId="13" fillId="0" borderId="79" xfId="19" applyFont="1" applyBorder="1" applyAlignment="1">
      <alignment horizontal="center" vertical="center" wrapText="1"/>
    </xf>
    <xf numFmtId="0" fontId="27" fillId="0" borderId="9" xfId="0" applyFont="1" applyBorder="1" applyAlignment="1">
      <alignment horizontal="left" vertical="center"/>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13" fillId="0" borderId="7" xfId="0" applyFont="1" applyBorder="1" applyAlignment="1">
      <alignment horizontal="left" vertical="center"/>
    </xf>
    <xf numFmtId="0" fontId="16" fillId="0" borderId="9" xfId="0" applyFont="1" applyBorder="1" applyAlignment="1">
      <alignment horizontal="left" vertical="center"/>
    </xf>
    <xf numFmtId="0" fontId="16" fillId="0" borderId="6" xfId="0" applyFont="1" applyBorder="1" applyAlignment="1">
      <alignment horizontal="left" vertical="center"/>
    </xf>
    <xf numFmtId="0" fontId="15" fillId="0" borderId="0" xfId="0" applyFont="1" applyAlignment="1">
      <alignment horizontal="center"/>
    </xf>
    <xf numFmtId="0" fontId="16" fillId="0" borderId="0" xfId="0" applyFont="1" applyAlignment="1">
      <alignment horizontal="center"/>
    </xf>
    <xf numFmtId="2" fontId="42" fillId="0" borderId="0" xfId="0" applyNumberFormat="1" applyFont="1" applyAlignment="1">
      <alignment horizontal="left"/>
    </xf>
    <xf numFmtId="0" fontId="37" fillId="0" borderId="0" xfId="0" applyFont="1" applyAlignment="1">
      <alignment horizontal="center"/>
    </xf>
    <xf numFmtId="0" fontId="3" fillId="0" borderId="0" xfId="0" applyFont="1" applyAlignment="1">
      <alignment horizontal="left" wrapText="1"/>
    </xf>
    <xf numFmtId="2" fontId="3" fillId="0" borderId="0" xfId="0" applyNumberFormat="1" applyFont="1" applyAlignment="1">
      <alignment horizontal="center" wrapText="1"/>
    </xf>
    <xf numFmtId="2" fontId="3" fillId="0" borderId="53" xfId="0" applyNumberFormat="1" applyFont="1" applyBorder="1" applyAlignment="1">
      <alignment horizontal="right"/>
    </xf>
    <xf numFmtId="2" fontId="3" fillId="0" borderId="54" xfId="0" applyNumberFormat="1" applyFont="1" applyBorder="1" applyAlignment="1">
      <alignment horizontal="right"/>
    </xf>
    <xf numFmtId="0" fontId="40" fillId="16" borderId="1" xfId="0" applyFont="1" applyFill="1" applyBorder="1" applyAlignment="1">
      <alignment horizont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2" fillId="0" borderId="1" xfId="0" applyFont="1" applyBorder="1" applyAlignment="1">
      <alignment horizontal="center" vertical="center"/>
    </xf>
    <xf numFmtId="0" fontId="22" fillId="0" borderId="4" xfId="0" applyFont="1" applyBorder="1" applyAlignment="1">
      <alignment horizontal="left" vertical="center" wrapText="1"/>
    </xf>
    <xf numFmtId="0" fontId="22" fillId="0" borderId="5" xfId="0" applyFont="1" applyBorder="1" applyAlignment="1">
      <alignment vertical="center"/>
    </xf>
    <xf numFmtId="0" fontId="22" fillId="0" borderId="6" xfId="0" applyFont="1" applyBorder="1" applyAlignment="1">
      <alignment horizontal="center" vertical="center"/>
    </xf>
    <xf numFmtId="2" fontId="22" fillId="0" borderId="1" xfId="0" applyNumberFormat="1" applyFont="1" applyBorder="1" applyAlignment="1">
      <alignment horizontal="center" vertical="center"/>
    </xf>
    <xf numFmtId="9" fontId="22" fillId="0" borderId="1" xfId="21" applyFont="1" applyBorder="1" applyAlignment="1">
      <alignment horizontal="center" vertical="center"/>
    </xf>
    <xf numFmtId="2" fontId="23" fillId="0" borderId="1" xfId="0" applyNumberFormat="1" applyFont="1" applyBorder="1" applyAlignment="1">
      <alignment horizontal="center" vertical="center"/>
    </xf>
    <xf numFmtId="9" fontId="22" fillId="0" borderId="1" xfId="21" applyFont="1" applyBorder="1" applyAlignment="1">
      <alignment horizontal="center"/>
    </xf>
    <xf numFmtId="0" fontId="22" fillId="0" borderId="78" xfId="0" applyFont="1" applyBorder="1" applyAlignment="1">
      <alignment horizontal="left" vertical="center" wrapText="1"/>
    </xf>
    <xf numFmtId="2" fontId="22" fillId="0" borderId="1" xfId="0" applyNumberFormat="1" applyFont="1" applyBorder="1" applyAlignment="1">
      <alignment horizontal="center"/>
    </xf>
    <xf numFmtId="2" fontId="23" fillId="0" borderId="1" xfId="0" applyNumberFormat="1" applyFont="1" applyBorder="1" applyAlignment="1">
      <alignment horizontal="center"/>
    </xf>
    <xf numFmtId="0" fontId="22" fillId="0" borderId="79" xfId="0" applyFont="1" applyBorder="1" applyAlignment="1">
      <alignment horizontal="left" vertical="center" wrapText="1"/>
    </xf>
    <xf numFmtId="0" fontId="22" fillId="0" borderId="2" xfId="0" applyFont="1" applyBorder="1" applyAlignment="1">
      <alignment horizontal="center" vertical="center"/>
    </xf>
    <xf numFmtId="0" fontId="22" fillId="0" borderId="1" xfId="0" applyFont="1" applyBorder="1" applyAlignment="1">
      <alignment horizontal="center"/>
    </xf>
    <xf numFmtId="2" fontId="13" fillId="0" borderId="1" xfId="0" applyNumberFormat="1" applyFont="1" applyBorder="1" applyAlignment="1">
      <alignment horizontal="center"/>
    </xf>
    <xf numFmtId="2" fontId="22" fillId="0" borderId="6" xfId="0" applyNumberFormat="1" applyFont="1" applyBorder="1" applyAlignment="1">
      <alignment horizontal="center"/>
    </xf>
    <xf numFmtId="0" fontId="22" fillId="0" borderId="1" xfId="0" applyFont="1" applyBorder="1" applyAlignment="1">
      <alignment vertical="center"/>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56" fillId="0" borderId="0" xfId="0" applyFont="1" applyAlignment="1">
      <alignment horizontal="center" vertical="center"/>
    </xf>
    <xf numFmtId="0" fontId="56" fillId="0" borderId="0" xfId="0" applyFont="1" applyAlignment="1">
      <alignment vertical="center"/>
    </xf>
  </cellXfs>
  <cellStyles count="22">
    <cellStyle name="20% - Акцент1" xfId="1" xr:uid="{00000000-0005-0000-0000-000000000000}"/>
    <cellStyle name="20% - Акцент2" xfId="2" xr:uid="{00000000-0005-0000-0000-000001000000}"/>
    <cellStyle name="20% - Акцент3" xfId="3" xr:uid="{00000000-0005-0000-0000-000002000000}"/>
    <cellStyle name="20% - Акцент4" xfId="4" xr:uid="{00000000-0005-0000-0000-000003000000}"/>
    <cellStyle name="20% - Акцент5" xfId="5" xr:uid="{00000000-0005-0000-0000-000004000000}"/>
    <cellStyle name="20% - Акцент6" xfId="6" xr:uid="{00000000-0005-0000-0000-000005000000}"/>
    <cellStyle name="40% - Акцент1" xfId="7" xr:uid="{00000000-0005-0000-0000-000006000000}"/>
    <cellStyle name="40% - Акцент2" xfId="8" xr:uid="{00000000-0005-0000-0000-000007000000}"/>
    <cellStyle name="40% - Акцент3" xfId="9" xr:uid="{00000000-0005-0000-0000-000008000000}"/>
    <cellStyle name="40% - Акцент4" xfId="10" xr:uid="{00000000-0005-0000-0000-000009000000}"/>
    <cellStyle name="40% - Акцент5" xfId="11" xr:uid="{00000000-0005-0000-0000-00000A000000}"/>
    <cellStyle name="40% - Акцент6" xfId="12" xr:uid="{00000000-0005-0000-0000-00000B000000}"/>
    <cellStyle name="60% - Акцент1" xfId="13" xr:uid="{00000000-0005-0000-0000-00000C000000}"/>
    <cellStyle name="60% - Акцент2" xfId="14" xr:uid="{00000000-0005-0000-0000-00000D000000}"/>
    <cellStyle name="60% - Акцент3" xfId="15" xr:uid="{00000000-0005-0000-0000-00000E000000}"/>
    <cellStyle name="60% - Акцент4" xfId="16" xr:uid="{00000000-0005-0000-0000-00000F000000}"/>
    <cellStyle name="60% - Акцент5" xfId="17" xr:uid="{00000000-0005-0000-0000-000010000000}"/>
    <cellStyle name="60% - Акцент6" xfId="18" xr:uid="{00000000-0005-0000-0000-000011000000}"/>
    <cellStyle name="Excel Built-in Normal 1" xfId="19" xr:uid="{00000000-0005-0000-0000-000012000000}"/>
    <cellStyle name="Обычный" xfId="0" builtinId="0"/>
    <cellStyle name="Обычный 5" xfId="20" xr:uid="{00000000-0005-0000-0000-000014000000}"/>
    <cellStyle name="Процентный" xfId="2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sha/Downloads/&#1050;&#1072;&#1083;&#1100;&#1082;&#1091;&#1083;&#1103;&#1094;&#1080;&#1103;%202025%20&#1053;&#1072;&#1090;&#1072;&#1083;&#1110;&#1103;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tasha/Downloads/&#1096;&#1090;&#1072;&#1090;&#1085;&#1086;&#1077;%20&#1088;.%202024%20&#1089;%2001.09.%20%20&#1043;&#1086;&#1085;&#1095;&#1072;&#1088;&#1077;&#1085;&#1082;&#108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tasha/Downloads/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12катафалк"/>
      <sheetName val="кал12дод1"/>
      <sheetName val="К11демонтаж"/>
      <sheetName val="К10урна зима"/>
      <sheetName val="кал10дод1"/>
      <sheetName val="кал10дод2"/>
      <sheetName val="К9урна лето"/>
      <sheetName val="кал9дод1"/>
      <sheetName val="кал9дод2"/>
      <sheetName val="К8броньзима"/>
      <sheetName val="кал8дод1"/>
      <sheetName val="кал8дод2"/>
      <sheetName val="К7огорожаЛето"/>
      <sheetName val="кал7дод1"/>
      <sheetName val="кал7дод2"/>
      <sheetName val="К6ручнаязима"/>
      <sheetName val="кал6дод1"/>
      <sheetName val="кал6дод2"/>
      <sheetName val="кал5ручнаялето"/>
      <sheetName val="кал5дод1"/>
      <sheetName val="кал5дод2"/>
      <sheetName val="кал4екскзима"/>
      <sheetName val="кал4дод1"/>
      <sheetName val="кал4дод2"/>
      <sheetName val="кал4дод3"/>
      <sheetName val="кал3ексклето"/>
      <sheetName val="кал3дод1"/>
      <sheetName val="кал3дод2"/>
      <sheetName val="кал3дод3"/>
      <sheetName val="К2свид-во"/>
      <sheetName val="кал2дод1"/>
      <sheetName val="К1договор"/>
      <sheetName val="кал1дод1"/>
      <sheetName val="ФОТО рабвремени"/>
      <sheetName val="Справочник"/>
      <sheetName val="СПР_ШТ"/>
      <sheetName val="СВОДНАЯ"/>
      <sheetName val="ШТАТ"/>
      <sheetName val="похов"/>
      <sheetName val="ОпВитрат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C2">
            <v>1992</v>
          </cell>
        </row>
      </sheetData>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Вит. Розр. ФОП (5)"/>
      <sheetName val="Вит. Розр. ФОП (4)"/>
      <sheetName val="Вит. Розр. ФОП (3)"/>
      <sheetName val="ШТ РОЗП"/>
      <sheetName val="Витяг ШР"/>
      <sheetName val="Роз.ФОП (2)"/>
      <sheetName val="Вит. Розр. ФОП (2)"/>
      <sheetName val="Вит.Розр.госпрозр.ФОП (2)"/>
      <sheetName val="Лист1"/>
      <sheetName val="Аркуш1"/>
    </sheetNames>
    <sheetDataSet>
      <sheetData sheetId="0"/>
      <sheetData sheetId="1"/>
      <sheetData sheetId="2"/>
      <sheetData sheetId="3">
        <row r="21">
          <cell r="J21" t="str">
            <v xml:space="preserve">                                        з 01.01.2024 р. по 31.08.2024 р.</v>
          </cell>
        </row>
      </sheetData>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огила 4,4 м3 (2)"/>
      <sheetName val="Роз3"/>
      <sheetName val="Могила 4,4 м3"/>
    </sheetNames>
    <sheetDataSet>
      <sheetData sheetId="0"/>
      <sheetData sheetId="1">
        <row r="33">
          <cell r="G33">
            <v>86.666708974358983</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33"/>
  <sheetViews>
    <sheetView view="pageBreakPreview" zoomScale="95" zoomScaleNormal="100" zoomScaleSheetLayoutView="95" workbookViewId="0">
      <selection activeCell="F22" sqref="F22"/>
    </sheetView>
  </sheetViews>
  <sheetFormatPr defaultRowHeight="15"/>
  <cols>
    <col min="1" max="1" width="6.28515625" customWidth="1"/>
    <col min="2" max="2" width="42.140625" customWidth="1"/>
    <col min="3" max="3" width="15" style="136" customWidth="1"/>
    <col min="4" max="4" width="11.7109375" customWidth="1"/>
  </cols>
  <sheetData>
    <row r="1" spans="1:3" ht="12" customHeight="1">
      <c r="C1" s="135" t="s">
        <v>34</v>
      </c>
    </row>
    <row r="2" spans="1:3" ht="12" customHeight="1">
      <c r="C2" s="135" t="s">
        <v>35</v>
      </c>
    </row>
    <row r="3" spans="1:3" ht="12" customHeight="1">
      <c r="C3" s="135" t="s">
        <v>36</v>
      </c>
    </row>
    <row r="4" spans="1:3" ht="12" customHeight="1">
      <c r="C4" s="135" t="s">
        <v>37</v>
      </c>
    </row>
    <row r="5" spans="1:3" ht="12" customHeight="1">
      <c r="C5" s="135" t="s">
        <v>38</v>
      </c>
    </row>
    <row r="6" spans="1:3" ht="30.75" customHeight="1">
      <c r="A6" s="404" t="s">
        <v>583</v>
      </c>
      <c r="B6" s="404"/>
      <c r="C6" s="404"/>
    </row>
    <row r="7" spans="1:3" ht="46.15" customHeight="1">
      <c r="A7" s="405" t="s">
        <v>539</v>
      </c>
      <c r="B7" s="405"/>
      <c r="C7" s="405"/>
    </row>
    <row r="8" spans="1:3" ht="3.75" customHeight="1"/>
    <row r="9" spans="1:3" ht="3.75" customHeight="1"/>
    <row r="10" spans="1:3">
      <c r="A10" s="406" t="s">
        <v>33</v>
      </c>
      <c r="B10" s="408" t="s">
        <v>1</v>
      </c>
      <c r="C10" s="409" t="s">
        <v>2</v>
      </c>
    </row>
    <row r="11" spans="1:3" ht="25.15" customHeight="1">
      <c r="A11" s="407"/>
      <c r="B11" s="408"/>
      <c r="C11" s="409"/>
    </row>
    <row r="12" spans="1:3" ht="22.5" customHeight="1">
      <c r="A12" s="1">
        <v>1</v>
      </c>
      <c r="B12" s="2" t="s">
        <v>3</v>
      </c>
      <c r="C12" s="353">
        <f>C13+C18+C24</f>
        <v>3169.72</v>
      </c>
    </row>
    <row r="13" spans="1:3">
      <c r="A13" s="1" t="s">
        <v>13</v>
      </c>
      <c r="B13" s="2" t="s">
        <v>4</v>
      </c>
      <c r="C13" s="131">
        <f>C14+C15+C16</f>
        <v>2402.2799999999997</v>
      </c>
    </row>
    <row r="14" spans="1:3" ht="42.75" customHeight="1">
      <c r="A14" s="1" t="s">
        <v>14</v>
      </c>
      <c r="B14" s="2" t="s">
        <v>334</v>
      </c>
      <c r="C14" s="131">
        <f>МатВит!G33+Роз14НеопізнанніЗима!E21</f>
        <v>1657.85</v>
      </c>
    </row>
    <row r="15" spans="1:3">
      <c r="A15" s="1" t="s">
        <v>22</v>
      </c>
      <c r="B15" s="23" t="s">
        <v>27</v>
      </c>
      <c r="C15" s="131">
        <f>Роз14НеопізнанніЗима!E36</f>
        <v>610.18999999999994</v>
      </c>
    </row>
    <row r="16" spans="1:3">
      <c r="A16" s="410" t="s">
        <v>23</v>
      </c>
      <c r="B16" s="23" t="s">
        <v>5</v>
      </c>
      <c r="C16" s="412">
        <f>ROUND(C15*22%,2)</f>
        <v>134.24</v>
      </c>
    </row>
    <row r="17" spans="1:5" ht="30">
      <c r="A17" s="411"/>
      <c r="B17" s="24" t="s">
        <v>6</v>
      </c>
      <c r="C17" s="412"/>
    </row>
    <row r="18" spans="1:5">
      <c r="A18" s="1" t="s">
        <v>24</v>
      </c>
      <c r="B18" s="2" t="s">
        <v>7</v>
      </c>
      <c r="C18" s="131">
        <f>C21+C20+C19</f>
        <v>427.83</v>
      </c>
    </row>
    <row r="19" spans="1:5" ht="30">
      <c r="A19" s="1" t="s">
        <v>85</v>
      </c>
      <c r="B19" s="2" t="s">
        <v>521</v>
      </c>
      <c r="C19" s="131">
        <f>ROUND(C13*15%,2)</f>
        <v>360.34</v>
      </c>
    </row>
    <row r="20" spans="1:5" ht="30">
      <c r="A20" s="1" t="s">
        <v>87</v>
      </c>
      <c r="B20" s="2" t="s">
        <v>86</v>
      </c>
      <c r="C20" s="131">
        <f>Роз14НеопізнанніЗима!E41</f>
        <v>0</v>
      </c>
    </row>
    <row r="21" spans="1:5">
      <c r="A21" s="1" t="s">
        <v>88</v>
      </c>
      <c r="B21" s="2" t="s">
        <v>28</v>
      </c>
      <c r="C21" s="131">
        <f>ОпВитратиРоз3!D12</f>
        <v>67.489999999999995</v>
      </c>
    </row>
    <row r="22" spans="1:5">
      <c r="A22" s="1">
        <v>2</v>
      </c>
      <c r="B22" s="2" t="s">
        <v>29</v>
      </c>
      <c r="C22" s="131"/>
    </row>
    <row r="23" spans="1:5">
      <c r="A23" s="1" t="s">
        <v>89</v>
      </c>
      <c r="B23" s="2" t="s">
        <v>30</v>
      </c>
      <c r="C23" s="131">
        <f>C13+C18</f>
        <v>2830.1099999999997</v>
      </c>
    </row>
    <row r="24" spans="1:5" ht="30">
      <c r="A24" s="1" t="s">
        <v>90</v>
      </c>
      <c r="B24" s="2" t="s">
        <v>9</v>
      </c>
      <c r="C24" s="131">
        <f>ROUND(C23*12%,2)</f>
        <v>339.61</v>
      </c>
    </row>
    <row r="25" spans="1:5">
      <c r="A25" s="1" t="s">
        <v>91</v>
      </c>
      <c r="B25" s="2" t="s">
        <v>31</v>
      </c>
      <c r="C25" s="133">
        <f>C23+C24</f>
        <v>3169.72</v>
      </c>
    </row>
    <row r="26" spans="1:5" ht="19.899999999999999" customHeight="1">
      <c r="A26" s="1" t="s">
        <v>92</v>
      </c>
      <c r="B26" s="2" t="s">
        <v>11</v>
      </c>
      <c r="C26" s="132">
        <v>1</v>
      </c>
      <c r="D26" s="329"/>
    </row>
    <row r="27" spans="1:5" s="25" customFormat="1" ht="24" customHeight="1">
      <c r="A27" s="1" t="s">
        <v>93</v>
      </c>
      <c r="B27" s="2" t="s">
        <v>32</v>
      </c>
      <c r="C27" s="353">
        <f>C25*C26</f>
        <v>3169.72</v>
      </c>
      <c r="E27" s="145"/>
    </row>
    <row r="28" spans="1:5" s="40" customFormat="1" ht="43.15" customHeight="1">
      <c r="A28" s="346" t="s">
        <v>350</v>
      </c>
      <c r="B28" s="347" t="s">
        <v>573</v>
      </c>
      <c r="C28" s="353">
        <f>Вит_війскових_опізнаних!F11+SUM(Вит_війскових_опізнаних!F13:F18)</f>
        <v>25595.25</v>
      </c>
      <c r="E28" s="342"/>
    </row>
    <row r="29" spans="1:5" ht="72.599999999999994" customHeight="1">
      <c r="A29" s="1" t="s">
        <v>351</v>
      </c>
      <c r="B29" s="347" t="s">
        <v>535</v>
      </c>
      <c r="C29" s="133">
        <f>ROUND(C28+C27,2)</f>
        <v>28764.97</v>
      </c>
    </row>
    <row r="31" spans="1:5" s="70" customFormat="1" ht="15.75">
      <c r="A31" s="179" t="s">
        <v>536</v>
      </c>
      <c r="C31" s="187"/>
      <c r="D31" s="375">
        <f>ROUND(C29,0)</f>
        <v>28765</v>
      </c>
    </row>
    <row r="33" spans="1:3" ht="28.5" customHeight="1">
      <c r="A33" s="403" t="s">
        <v>55</v>
      </c>
      <c r="B33" s="403"/>
      <c r="C33" s="373" t="s">
        <v>528</v>
      </c>
    </row>
  </sheetData>
  <mergeCells count="8">
    <mergeCell ref="A33:B33"/>
    <mergeCell ref="A6:C6"/>
    <mergeCell ref="A7:C7"/>
    <mergeCell ref="A10:A11"/>
    <mergeCell ref="B10:B11"/>
    <mergeCell ref="C10:C11"/>
    <mergeCell ref="A16:A17"/>
    <mergeCell ref="C16:C17"/>
  </mergeCells>
  <phoneticPr fontId="5" type="noConversion"/>
  <pageMargins left="1.3385826771653544" right="0" top="0.98425196850393704" bottom="0.98425196850393704" header="0.51181102362204722" footer="0.51181102362204722"/>
  <pageSetup paperSize="9" scale="97"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F30"/>
  <sheetViews>
    <sheetView view="pageBreakPreview" topLeftCell="A13" zoomScaleNormal="100" zoomScaleSheetLayoutView="100" workbookViewId="0">
      <selection activeCell="E16" sqref="E16"/>
    </sheetView>
  </sheetViews>
  <sheetFormatPr defaultColWidth="9.140625" defaultRowHeight="15"/>
  <cols>
    <col min="1" max="1" width="4.140625" style="328" customWidth="1"/>
    <col min="2" max="2" width="44" style="328" customWidth="1"/>
    <col min="3" max="3" width="10.28515625" style="328" customWidth="1"/>
    <col min="4" max="4" width="6.28515625" style="328" customWidth="1"/>
    <col min="5" max="5" width="8.5703125" style="328" customWidth="1"/>
    <col min="6" max="6" width="12.140625" style="328" customWidth="1"/>
    <col min="7" max="16384" width="9.140625" style="328"/>
  </cols>
  <sheetData>
    <row r="1" spans="1:6" ht="63" customHeight="1">
      <c r="A1" s="468" t="s">
        <v>621</v>
      </c>
      <c r="B1" s="468"/>
      <c r="C1" s="468"/>
      <c r="D1" s="468"/>
      <c r="E1" s="468"/>
      <c r="F1" s="468"/>
    </row>
    <row r="2" spans="1:6" ht="17.25" thickBot="1">
      <c r="A2" s="330"/>
      <c r="B2" s="76"/>
      <c r="C2" s="76"/>
      <c r="D2" s="76"/>
      <c r="E2" s="76"/>
      <c r="F2" s="76"/>
    </row>
    <row r="3" spans="1:6" ht="38.25" customHeight="1" thickBot="1">
      <c r="A3" s="331" t="s">
        <v>68</v>
      </c>
      <c r="B3" s="332" t="s">
        <v>467</v>
      </c>
      <c r="C3" s="331" t="s">
        <v>71</v>
      </c>
      <c r="D3" s="331" t="s">
        <v>469</v>
      </c>
      <c r="E3" s="333" t="s">
        <v>468</v>
      </c>
      <c r="F3" s="331" t="s">
        <v>453</v>
      </c>
    </row>
    <row r="4" spans="1:6" ht="23.25" customHeight="1" thickBot="1">
      <c r="A4" s="469" t="s">
        <v>454</v>
      </c>
      <c r="B4" s="470"/>
      <c r="C4" s="470"/>
      <c r="D4" s="470"/>
      <c r="E4" s="470"/>
      <c r="F4" s="471"/>
    </row>
    <row r="5" spans="1:6" ht="23.25" customHeight="1" thickBot="1">
      <c r="A5" s="186">
        <v>1</v>
      </c>
      <c r="B5" s="334" t="s">
        <v>526</v>
      </c>
      <c r="C5" s="190" t="s">
        <v>456</v>
      </c>
      <c r="D5" s="191">
        <v>1</v>
      </c>
      <c r="E5" s="191">
        <v>6660</v>
      </c>
      <c r="F5" s="193">
        <f t="shared" ref="F5:F10" si="0">E5*D5</f>
        <v>6660</v>
      </c>
    </row>
    <row r="6" spans="1:6" ht="24.6" customHeight="1" thickBot="1">
      <c r="A6" s="186">
        <v>2</v>
      </c>
      <c r="B6" s="334" t="s">
        <v>543</v>
      </c>
      <c r="C6" s="190" t="s">
        <v>456</v>
      </c>
      <c r="D6" s="191">
        <v>1</v>
      </c>
      <c r="E6" s="191">
        <v>800</v>
      </c>
      <c r="F6" s="193">
        <v>900</v>
      </c>
    </row>
    <row r="7" spans="1:6" ht="21.6" customHeight="1" thickBot="1">
      <c r="A7" s="186">
        <v>3</v>
      </c>
      <c r="B7" s="334" t="s">
        <v>544</v>
      </c>
      <c r="C7" s="190" t="s">
        <v>456</v>
      </c>
      <c r="D7" s="191">
        <v>1</v>
      </c>
      <c r="E7" s="191">
        <v>900</v>
      </c>
      <c r="F7" s="193">
        <v>800</v>
      </c>
    </row>
    <row r="8" spans="1:6" ht="30" customHeight="1" thickBot="1">
      <c r="A8" s="186">
        <v>4</v>
      </c>
      <c r="B8" s="334" t="s">
        <v>548</v>
      </c>
      <c r="C8" s="190" t="s">
        <v>456</v>
      </c>
      <c r="D8" s="191">
        <v>2</v>
      </c>
      <c r="E8" s="191">
        <v>1000</v>
      </c>
      <c r="F8" s="193">
        <f t="shared" si="0"/>
        <v>2000</v>
      </c>
    </row>
    <row r="9" spans="1:6" ht="49.9" customHeight="1" thickBot="1">
      <c r="A9" s="186">
        <v>5</v>
      </c>
      <c r="B9" s="372" t="s">
        <v>542</v>
      </c>
      <c r="C9" s="190" t="s">
        <v>456</v>
      </c>
      <c r="D9" s="191">
        <v>1</v>
      </c>
      <c r="E9" s="191">
        <v>1040</v>
      </c>
      <c r="F9" s="193">
        <f t="shared" si="0"/>
        <v>1040</v>
      </c>
    </row>
    <row r="10" spans="1:6" ht="21.75" customHeight="1" thickBot="1">
      <c r="A10" s="186">
        <v>6</v>
      </c>
      <c r="B10" s="334" t="s">
        <v>596</v>
      </c>
      <c r="C10" s="190" t="s">
        <v>597</v>
      </c>
      <c r="D10" s="191">
        <v>1</v>
      </c>
      <c r="E10" s="191">
        <v>2000</v>
      </c>
      <c r="F10" s="193">
        <f t="shared" si="0"/>
        <v>2000</v>
      </c>
    </row>
    <row r="11" spans="1:6" ht="23.25" customHeight="1" thickBot="1">
      <c r="A11" s="186"/>
      <c r="B11" s="334" t="s">
        <v>470</v>
      </c>
      <c r="C11" s="190"/>
      <c r="D11" s="191"/>
      <c r="E11" s="191"/>
      <c r="F11" s="374">
        <f>SUM(F5:F10)</f>
        <v>13400</v>
      </c>
    </row>
    <row r="12" spans="1:6" ht="23.25" customHeight="1" thickBot="1">
      <c r="A12" s="469" t="s">
        <v>460</v>
      </c>
      <c r="B12" s="470"/>
      <c r="C12" s="470"/>
      <c r="D12" s="470"/>
      <c r="E12" s="470"/>
      <c r="F12" s="471"/>
    </row>
    <row r="13" spans="1:6" ht="27" customHeight="1" thickBot="1">
      <c r="A13" s="186">
        <v>1</v>
      </c>
      <c r="B13" s="334" t="s">
        <v>598</v>
      </c>
      <c r="C13" s="190" t="s">
        <v>462</v>
      </c>
      <c r="D13" s="191">
        <v>1</v>
      </c>
      <c r="E13" s="191">
        <v>3600</v>
      </c>
      <c r="F13" s="193">
        <f t="shared" ref="F13:F19" si="1">E13*D13</f>
        <v>3600</v>
      </c>
    </row>
    <row r="14" spans="1:6" ht="28.5" customHeight="1" thickBot="1">
      <c r="A14" s="186">
        <v>2</v>
      </c>
      <c r="B14" s="334" t="s">
        <v>622</v>
      </c>
      <c r="C14" s="190" t="s">
        <v>462</v>
      </c>
      <c r="D14" s="191">
        <v>1</v>
      </c>
      <c r="E14" s="191">
        <v>6000</v>
      </c>
      <c r="F14" s="193">
        <f t="shared" si="1"/>
        <v>6000</v>
      </c>
    </row>
    <row r="15" spans="1:6" ht="34.15" customHeight="1" thickBot="1">
      <c r="A15" s="186">
        <v>3</v>
      </c>
      <c r="B15" s="334" t="s">
        <v>545</v>
      </c>
      <c r="C15" s="190" t="s">
        <v>462</v>
      </c>
      <c r="D15" s="191">
        <v>1</v>
      </c>
      <c r="E15" s="191">
        <v>1400</v>
      </c>
      <c r="F15" s="193">
        <f t="shared" si="1"/>
        <v>1400</v>
      </c>
    </row>
    <row r="16" spans="1:6" ht="28.15" customHeight="1" thickBot="1">
      <c r="A16" s="186">
        <v>4</v>
      </c>
      <c r="B16" s="189" t="s">
        <v>40</v>
      </c>
      <c r="C16" s="190" t="s">
        <v>462</v>
      </c>
      <c r="D16" s="191">
        <v>1</v>
      </c>
      <c r="E16" s="192">
        <f>ROUND(К1договор!C23,0)</f>
        <v>27</v>
      </c>
      <c r="F16" s="336">
        <f>E16*D16</f>
        <v>27</v>
      </c>
    </row>
    <row r="17" spans="1:6" ht="25.9" customHeight="1" thickBot="1">
      <c r="A17" s="186">
        <v>5</v>
      </c>
      <c r="B17" s="189" t="s">
        <v>357</v>
      </c>
      <c r="C17" s="190" t="s">
        <v>462</v>
      </c>
      <c r="D17" s="191">
        <v>1</v>
      </c>
      <c r="E17" s="192">
        <f>ROUND('К2свид-во'!C23,0)</f>
        <v>18</v>
      </c>
      <c r="F17" s="336">
        <f>E17*D17</f>
        <v>18</v>
      </c>
    </row>
    <row r="18" spans="1:6" ht="91.5" customHeight="1" thickBot="1">
      <c r="A18" s="186">
        <v>6</v>
      </c>
      <c r="B18" s="189" t="s">
        <v>514</v>
      </c>
      <c r="C18" s="190" t="s">
        <v>462</v>
      </c>
      <c r="D18" s="191">
        <v>1</v>
      </c>
      <c r="E18" s="192">
        <f>Роз13_НеопізнаніЛіто!E45</f>
        <v>2536</v>
      </c>
      <c r="F18" s="336">
        <f t="shared" si="1"/>
        <v>2536</v>
      </c>
    </row>
    <row r="19" spans="1:6" ht="91.5" customHeight="1" thickBot="1">
      <c r="A19" s="186">
        <v>7</v>
      </c>
      <c r="B19" s="189" t="s">
        <v>513</v>
      </c>
      <c r="C19" s="190" t="s">
        <v>462</v>
      </c>
      <c r="D19" s="191">
        <v>1</v>
      </c>
      <c r="E19" s="192">
        <f>Роз14НеопізнанніЗима!E45</f>
        <v>2566</v>
      </c>
      <c r="F19" s="336">
        <f t="shared" si="1"/>
        <v>2566</v>
      </c>
    </row>
    <row r="20" spans="1:6" ht="23.25" customHeight="1" thickBot="1">
      <c r="A20" s="186"/>
      <c r="B20" s="334" t="s">
        <v>602</v>
      </c>
      <c r="C20" s="190"/>
      <c r="D20" s="191"/>
      <c r="E20" s="191"/>
      <c r="F20" s="399">
        <f>SUM(F13:F18)</f>
        <v>13581</v>
      </c>
    </row>
    <row r="21" spans="1:6" ht="23.25" customHeight="1" thickBot="1">
      <c r="A21" s="186"/>
      <c r="B21" s="334" t="s">
        <v>603</v>
      </c>
      <c r="C21" s="190"/>
      <c r="D21" s="191"/>
      <c r="E21" s="191"/>
      <c r="F21" s="399">
        <f>SUM(F13:F17,F19)</f>
        <v>13611</v>
      </c>
    </row>
    <row r="22" spans="1:6" ht="23.25" customHeight="1" thickBot="1">
      <c r="A22" s="186"/>
      <c r="B22" s="334" t="s">
        <v>464</v>
      </c>
      <c r="C22" s="190"/>
      <c r="D22" s="191"/>
      <c r="E22" s="191"/>
      <c r="F22" s="336">
        <f>ROUND(F11+F13+F14+F15+F16+F17+F18,0)</f>
        <v>26981</v>
      </c>
    </row>
    <row r="23" spans="1:6" ht="23.25" customHeight="1" thickBot="1">
      <c r="A23" s="186"/>
      <c r="B23" s="334" t="s">
        <v>465</v>
      </c>
      <c r="C23" s="190"/>
      <c r="D23" s="191"/>
      <c r="E23" s="191"/>
      <c r="F23" s="336">
        <f>ROUND(F11+F13+F14+F15+F16+F17+F19,0)</f>
        <v>27011</v>
      </c>
    </row>
    <row r="24" spans="1:6">
      <c r="A24" s="337"/>
      <c r="B24" s="337"/>
      <c r="C24" s="337"/>
      <c r="D24" s="337"/>
      <c r="E24" s="337"/>
      <c r="F24" s="337"/>
    </row>
    <row r="25" spans="1:6" ht="16.5">
      <c r="A25" s="338" t="s">
        <v>466</v>
      </c>
      <c r="B25" s="76"/>
      <c r="C25" s="76"/>
      <c r="D25" s="76"/>
      <c r="E25" s="76"/>
      <c r="F25" s="76"/>
    </row>
    <row r="26" spans="1:6" ht="16.5">
      <c r="A26" s="339" t="s">
        <v>533</v>
      </c>
      <c r="B26" s="76"/>
      <c r="C26" s="76"/>
      <c r="D26" s="76"/>
      <c r="E26" s="76"/>
      <c r="F26" s="76"/>
    </row>
    <row r="27" spans="1:6" ht="16.5">
      <c r="A27" s="343"/>
    </row>
    <row r="28" spans="1:6" ht="16.5">
      <c r="A28" s="343"/>
    </row>
    <row r="29" spans="1:6" ht="16.5">
      <c r="A29" s="343"/>
    </row>
    <row r="30" spans="1:6">
      <c r="A30" s="344"/>
    </row>
  </sheetData>
  <mergeCells count="3">
    <mergeCell ref="A1:F1"/>
    <mergeCell ref="A12:F12"/>
    <mergeCell ref="A4:F4"/>
  </mergeCells>
  <phoneticPr fontId="5" type="noConversion"/>
  <pageMargins left="1.299212598425197" right="0.11811023622047245" top="0.74803149606299213" bottom="0.74803149606299213" header="0.31496062992125984" footer="0.31496062992125984"/>
  <pageSetup paperSize="9" scale="7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BB58-1A71-446B-A014-8BB3AFDE6C43}">
  <dimension ref="A1:G17"/>
  <sheetViews>
    <sheetView tabSelected="1" topLeftCell="A2" workbookViewId="0">
      <selection activeCell="A3" sqref="A1:G20"/>
    </sheetView>
  </sheetViews>
  <sheetFormatPr defaultRowHeight="15"/>
  <cols>
    <col min="1" max="1" width="10.7109375" customWidth="1"/>
    <col min="2" max="2" width="34.42578125" customWidth="1"/>
    <col min="3" max="3" width="20" customWidth="1"/>
    <col min="4" max="4" width="13.28515625" customWidth="1"/>
    <col min="5" max="5" width="14.28515625" customWidth="1"/>
    <col min="6" max="6" width="15.42578125" customWidth="1"/>
    <col min="7" max="7" width="11.42578125" customWidth="1"/>
  </cols>
  <sheetData>
    <row r="1" spans="1:7">
      <c r="A1" s="25"/>
      <c r="B1" s="404" t="s">
        <v>632</v>
      </c>
      <c r="C1" s="404"/>
      <c r="D1" s="404"/>
      <c r="E1" s="404"/>
      <c r="F1" s="404"/>
      <c r="G1" s="404"/>
    </row>
    <row r="2" spans="1:7">
      <c r="A2" s="25"/>
      <c r="B2" s="29"/>
      <c r="C2" s="29"/>
      <c r="D2" s="29"/>
      <c r="E2" s="29"/>
      <c r="F2" s="29"/>
      <c r="G2" s="29"/>
    </row>
    <row r="3" spans="1:7" ht="54" customHeight="1">
      <c r="A3" s="390" t="s">
        <v>106</v>
      </c>
      <c r="B3" s="595" t="s">
        <v>475</v>
      </c>
      <c r="C3" s="596"/>
      <c r="D3" s="391" t="s">
        <v>629</v>
      </c>
      <c r="E3" s="390" t="s">
        <v>589</v>
      </c>
      <c r="F3" s="188" t="s">
        <v>257</v>
      </c>
      <c r="G3" s="188" t="s">
        <v>479</v>
      </c>
    </row>
    <row r="4" spans="1:7" ht="44.25" customHeight="1">
      <c r="A4" s="597" t="s">
        <v>613</v>
      </c>
      <c r="B4" s="598" t="s">
        <v>40</v>
      </c>
      <c r="C4" s="599"/>
      <c r="D4" s="600">
        <v>27.34</v>
      </c>
      <c r="E4" s="601">
        <f>ROUND(К1договор!C20,0)</f>
        <v>3</v>
      </c>
      <c r="F4" s="602">
        <f t="shared" ref="F4:F12" si="0">E4/D4-1</f>
        <v>-0.89027066569129476</v>
      </c>
      <c r="G4" s="603">
        <f t="shared" ref="G4:G13" si="1">E4-D4</f>
        <v>-24.34</v>
      </c>
    </row>
    <row r="5" spans="1:7" ht="31.5">
      <c r="A5" s="597" t="s">
        <v>614</v>
      </c>
      <c r="B5" s="598" t="s">
        <v>357</v>
      </c>
      <c r="C5" s="613"/>
      <c r="D5" s="600">
        <v>17.91</v>
      </c>
      <c r="E5" s="601">
        <f>ROUND('К2свид-во'!C20,0)</f>
        <v>2</v>
      </c>
      <c r="F5" s="604">
        <f t="shared" si="0"/>
        <v>-0.8883305415968733</v>
      </c>
      <c r="G5" s="603">
        <f t="shared" si="1"/>
        <v>-15.91</v>
      </c>
    </row>
    <row r="6" spans="1:7" ht="34.5" customHeight="1">
      <c r="A6" s="597" t="s">
        <v>592</v>
      </c>
      <c r="B6" s="605" t="s">
        <v>625</v>
      </c>
      <c r="C6" s="597" t="s">
        <v>474</v>
      </c>
      <c r="D6" s="606">
        <v>2705.89</v>
      </c>
      <c r="E6" s="606">
        <f>ROUND(Роз3!E44,0)</f>
        <v>317</v>
      </c>
      <c r="F6" s="604">
        <f t="shared" si="0"/>
        <v>-0.88284815716825149</v>
      </c>
      <c r="G6" s="607">
        <f t="shared" si="1"/>
        <v>-2388.89</v>
      </c>
    </row>
    <row r="7" spans="1:7" ht="39" customHeight="1">
      <c r="A7" s="597" t="s">
        <v>593</v>
      </c>
      <c r="B7" s="608"/>
      <c r="C7" s="609" t="s">
        <v>122</v>
      </c>
      <c r="D7" s="601">
        <v>3039.83</v>
      </c>
      <c r="E7" s="601">
        <f>ROUND(Роз4!E44,0)</f>
        <v>354</v>
      </c>
      <c r="F7" s="602">
        <f t="shared" si="0"/>
        <v>-0.88354611935535865</v>
      </c>
      <c r="G7" s="603">
        <f t="shared" si="1"/>
        <v>-2685.83</v>
      </c>
    </row>
    <row r="8" spans="1:7" ht="21.75" customHeight="1">
      <c r="A8" s="597" t="s">
        <v>615</v>
      </c>
      <c r="B8" s="605" t="s">
        <v>626</v>
      </c>
      <c r="C8" s="610" t="s">
        <v>474</v>
      </c>
      <c r="D8" s="606">
        <v>2448.3200000000002</v>
      </c>
      <c r="E8" s="606">
        <f>ROUND('Роз5 '!E30,0)</f>
        <v>262</v>
      </c>
      <c r="F8" s="604">
        <f t="shared" si="0"/>
        <v>-0.89298784472617965</v>
      </c>
      <c r="G8" s="607">
        <f t="shared" si="1"/>
        <v>-2186.3200000000002</v>
      </c>
    </row>
    <row r="9" spans="1:7" ht="25.5" customHeight="1">
      <c r="A9" s="597" t="s">
        <v>616</v>
      </c>
      <c r="B9" s="608"/>
      <c r="C9" s="610" t="s">
        <v>122</v>
      </c>
      <c r="D9" s="606">
        <v>4350.8</v>
      </c>
      <c r="E9" s="606">
        <f>ROUND(к6ручЗ!C26,0)</f>
        <v>1</v>
      </c>
      <c r="F9" s="604">
        <f t="shared" si="0"/>
        <v>-0.99977015721246665</v>
      </c>
      <c r="G9" s="607">
        <f t="shared" si="1"/>
        <v>-4349.8</v>
      </c>
    </row>
    <row r="10" spans="1:7" ht="26.25" customHeight="1">
      <c r="A10" s="597" t="s">
        <v>617</v>
      </c>
      <c r="B10" s="605" t="s">
        <v>627</v>
      </c>
      <c r="C10" s="610" t="s">
        <v>474</v>
      </c>
      <c r="D10" s="606">
        <v>2470.62</v>
      </c>
      <c r="E10" s="606">
        <f>ROUND(к7броньЛ!C26,0)</f>
        <v>1</v>
      </c>
      <c r="F10" s="604">
        <f t="shared" si="0"/>
        <v>-0.99959524329925287</v>
      </c>
      <c r="G10" s="607">
        <f t="shared" si="1"/>
        <v>-2469.62</v>
      </c>
    </row>
    <row r="11" spans="1:7" ht="25.5" customHeight="1">
      <c r="A11" s="597" t="s">
        <v>618</v>
      </c>
      <c r="B11" s="608"/>
      <c r="C11" s="610" t="s">
        <v>122</v>
      </c>
      <c r="D11" s="606">
        <v>4387.13</v>
      </c>
      <c r="E11" s="611">
        <f>ROUND(к8броньЗ!C26,0)</f>
        <v>1</v>
      </c>
      <c r="F11" s="604">
        <f t="shared" si="0"/>
        <v>-0.99977206054983558</v>
      </c>
      <c r="G11" s="607">
        <f t="shared" si="1"/>
        <v>-4386.13</v>
      </c>
    </row>
    <row r="12" spans="1:7" ht="31.5" customHeight="1">
      <c r="A12" s="597" t="s">
        <v>619</v>
      </c>
      <c r="B12" s="614" t="s">
        <v>628</v>
      </c>
      <c r="C12" s="610" t="s">
        <v>474</v>
      </c>
      <c r="D12" s="612">
        <v>463.11</v>
      </c>
      <c r="E12" s="606">
        <f>ROUND(К9урнаЛ!C26,0)</f>
        <v>1</v>
      </c>
      <c r="F12" s="604">
        <f t="shared" si="0"/>
        <v>-0.99784068579819052</v>
      </c>
      <c r="G12" s="607">
        <f t="shared" si="1"/>
        <v>-462.11</v>
      </c>
    </row>
    <row r="13" spans="1:7" ht="34.5" customHeight="1">
      <c r="A13" s="597" t="s">
        <v>620</v>
      </c>
      <c r="B13" s="615"/>
      <c r="C13" s="610" t="s">
        <v>122</v>
      </c>
      <c r="D13" s="612">
        <v>994.18</v>
      </c>
      <c r="E13" s="606">
        <f>ROUND(К10урнаЗ!C26,0)</f>
        <v>1</v>
      </c>
      <c r="F13" s="604">
        <f>E13/D13-1</f>
        <v>-0.99899414592930857</v>
      </c>
      <c r="G13" s="607">
        <f t="shared" si="1"/>
        <v>-993.18</v>
      </c>
    </row>
    <row r="16" spans="1:7" ht="15.75">
      <c r="B16" s="616" t="s">
        <v>630</v>
      </c>
      <c r="C16" s="616"/>
      <c r="D16" s="617"/>
      <c r="E16" s="616" t="s">
        <v>631</v>
      </c>
      <c r="F16" s="616"/>
    </row>
    <row r="17" spans="2:6" ht="15.75">
      <c r="B17" s="616"/>
      <c r="C17" s="616"/>
      <c r="D17" s="617"/>
      <c r="E17" s="616"/>
      <c r="F17" s="616"/>
    </row>
  </sheetData>
  <mergeCells count="8">
    <mergeCell ref="B16:C17"/>
    <mergeCell ref="E16:F17"/>
    <mergeCell ref="B1:G1"/>
    <mergeCell ref="B3:C3"/>
    <mergeCell ref="B6:B7"/>
    <mergeCell ref="B8:B9"/>
    <mergeCell ref="B10:B11"/>
    <mergeCell ref="B12:B13"/>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26"/>
  <dimension ref="A2:G26"/>
  <sheetViews>
    <sheetView view="pageBreakPreview" topLeftCell="A4" zoomScale="130" zoomScaleNormal="130" zoomScaleSheetLayoutView="130" workbookViewId="0">
      <selection activeCell="A2" sqref="A2:G14"/>
    </sheetView>
  </sheetViews>
  <sheetFormatPr defaultRowHeight="15"/>
  <cols>
    <col min="1" max="1" width="9.28515625" style="25" customWidth="1"/>
    <col min="2" max="2" width="27.5703125" style="25" customWidth="1"/>
    <col min="3" max="3" width="8.140625" style="25" customWidth="1"/>
    <col min="4" max="4" width="11" style="25" customWidth="1"/>
    <col min="5" max="5" width="13.140625" style="25" customWidth="1"/>
    <col min="6" max="6" width="9.85546875" style="25" customWidth="1"/>
    <col min="7" max="7" width="12.140625" style="25" customWidth="1"/>
    <col min="8" max="8" width="12.42578125" customWidth="1"/>
  </cols>
  <sheetData>
    <row r="2" spans="1:7">
      <c r="B2" s="404" t="s">
        <v>586</v>
      </c>
      <c r="C2" s="404"/>
      <c r="D2" s="404"/>
      <c r="E2" s="404"/>
      <c r="F2" s="404"/>
      <c r="G2" s="404"/>
    </row>
    <row r="3" spans="1:7">
      <c r="B3" s="29"/>
      <c r="C3" s="29"/>
      <c r="D3" s="29"/>
      <c r="E3" s="29"/>
      <c r="F3" s="29"/>
      <c r="G3" s="29"/>
    </row>
    <row r="4" spans="1:7" ht="44.45" customHeight="1">
      <c r="A4" s="390" t="s">
        <v>106</v>
      </c>
      <c r="B4" s="482" t="s">
        <v>475</v>
      </c>
      <c r="C4" s="483"/>
      <c r="D4" s="391" t="s">
        <v>588</v>
      </c>
      <c r="E4" s="390" t="s">
        <v>589</v>
      </c>
      <c r="F4" s="188" t="s">
        <v>257</v>
      </c>
      <c r="G4" s="188" t="s">
        <v>479</v>
      </c>
    </row>
    <row r="5" spans="1:7" ht="42.6" customHeight="1">
      <c r="A5" s="392" t="s">
        <v>613</v>
      </c>
      <c r="B5" s="401" t="s">
        <v>40</v>
      </c>
      <c r="C5" s="36"/>
      <c r="D5" s="37">
        <v>27.34</v>
      </c>
      <c r="E5" s="42">
        <f>ROUND(К1договор!C21,0)</f>
        <v>27</v>
      </c>
      <c r="F5" s="181">
        <f t="shared" ref="F5:F10" si="0">E5/D5-1</f>
        <v>-1.2435991221653286E-2</v>
      </c>
      <c r="G5" s="146">
        <f t="shared" ref="G5:G10" si="1">E5-D5</f>
        <v>-0.33999999999999986</v>
      </c>
    </row>
    <row r="6" spans="1:7" ht="30">
      <c r="A6" s="392" t="s">
        <v>614</v>
      </c>
      <c r="B6" s="35" t="s">
        <v>357</v>
      </c>
      <c r="C6" s="38"/>
      <c r="D6" s="37">
        <v>17.91</v>
      </c>
      <c r="E6" s="42">
        <f>ROUND('К2свид-во'!C21,0)</f>
        <v>18</v>
      </c>
      <c r="F6" s="180">
        <f t="shared" si="0"/>
        <v>5.0251256281406143E-3</v>
      </c>
      <c r="G6" s="146">
        <f t="shared" si="1"/>
        <v>8.9999999999999858E-2</v>
      </c>
    </row>
    <row r="7" spans="1:7">
      <c r="A7" s="392" t="s">
        <v>592</v>
      </c>
      <c r="B7" s="475" t="s">
        <v>137</v>
      </c>
      <c r="C7" s="28" t="s">
        <v>474</v>
      </c>
      <c r="D7" s="30">
        <v>2705.89</v>
      </c>
      <c r="E7" s="30">
        <f>ROUND(Роз3!E45,0)</f>
        <v>2961</v>
      </c>
      <c r="F7" s="180">
        <f t="shared" si="0"/>
        <v>9.4279516166584809E-2</v>
      </c>
      <c r="G7" s="21">
        <f t="shared" si="1"/>
        <v>255.11000000000013</v>
      </c>
    </row>
    <row r="8" spans="1:7">
      <c r="A8" s="392" t="s">
        <v>593</v>
      </c>
      <c r="B8" s="476"/>
      <c r="C8" s="31" t="s">
        <v>122</v>
      </c>
      <c r="D8" s="30">
        <v>3039.83</v>
      </c>
      <c r="E8" s="30">
        <f>ROUND(Роз4!E45,0)</f>
        <v>3304</v>
      </c>
      <c r="F8" s="180">
        <f t="shared" si="0"/>
        <v>8.6902886016652303E-2</v>
      </c>
      <c r="G8" s="21">
        <f t="shared" si="1"/>
        <v>264.17000000000007</v>
      </c>
    </row>
    <row r="9" spans="1:7">
      <c r="A9" s="392" t="s">
        <v>615</v>
      </c>
      <c r="B9" s="475" t="s">
        <v>136</v>
      </c>
      <c r="C9" s="28" t="s">
        <v>474</v>
      </c>
      <c r="D9" s="30">
        <v>2448.3200000000002</v>
      </c>
      <c r="E9" s="30">
        <f>ROUND('Роз5 '!E31,0)</f>
        <v>2448</v>
      </c>
      <c r="F9" s="180">
        <f t="shared" si="0"/>
        <v>-1.307018690367423E-4</v>
      </c>
      <c r="G9" s="21">
        <f t="shared" si="1"/>
        <v>-0.32000000000016371</v>
      </c>
    </row>
    <row r="10" spans="1:7">
      <c r="A10" s="392" t="s">
        <v>616</v>
      </c>
      <c r="B10" s="476"/>
      <c r="C10" s="28" t="s">
        <v>122</v>
      </c>
      <c r="D10" s="30">
        <v>4350.8</v>
      </c>
      <c r="E10" s="30">
        <f>ROUND(к6ручЗ!C27,0)</f>
        <v>4351</v>
      </c>
      <c r="F10" s="180">
        <f t="shared" si="0"/>
        <v>4.5968557506714802E-5</v>
      </c>
      <c r="G10" s="21">
        <f t="shared" si="1"/>
        <v>0.1999999999998181</v>
      </c>
    </row>
    <row r="11" spans="1:7">
      <c r="A11" s="392" t="s">
        <v>617</v>
      </c>
      <c r="B11" s="475" t="s">
        <v>135</v>
      </c>
      <c r="C11" s="28" t="s">
        <v>474</v>
      </c>
      <c r="D11" s="30">
        <v>2470.62</v>
      </c>
      <c r="E11" s="30">
        <f>ROUND(к7броньЛ!C27,0)</f>
        <v>2471</v>
      </c>
      <c r="F11" s="180">
        <f t="shared" ref="F11:F16" si="2">E11/D11-1</f>
        <v>1.538075462839128E-4</v>
      </c>
      <c r="G11" s="21">
        <f t="shared" ref="G11:G16" si="3">E11-D11</f>
        <v>0.38000000000010914</v>
      </c>
    </row>
    <row r="12" spans="1:7">
      <c r="A12" s="392" t="s">
        <v>618</v>
      </c>
      <c r="B12" s="476"/>
      <c r="C12" s="28" t="s">
        <v>122</v>
      </c>
      <c r="D12" s="30">
        <v>4387.13</v>
      </c>
      <c r="E12" s="75">
        <f>ROUND(к8броньЗ!C27,0)</f>
        <v>4387</v>
      </c>
      <c r="F12" s="180">
        <f t="shared" si="2"/>
        <v>-2.9632128521361878E-5</v>
      </c>
      <c r="G12" s="21">
        <f t="shared" si="3"/>
        <v>-0.13000000000010914</v>
      </c>
    </row>
    <row r="13" spans="1:7">
      <c r="A13" s="392" t="s">
        <v>619</v>
      </c>
      <c r="B13" s="477" t="s">
        <v>138</v>
      </c>
      <c r="C13" s="28" t="s">
        <v>474</v>
      </c>
      <c r="D13" s="402">
        <v>463.11</v>
      </c>
      <c r="E13" s="30">
        <f>ROUND(К9урнаЛ!C27,0)</f>
        <v>463</v>
      </c>
      <c r="F13" s="180">
        <f t="shared" si="2"/>
        <v>-2.3752456219905405E-4</v>
      </c>
      <c r="G13" s="21">
        <f t="shared" si="3"/>
        <v>-0.11000000000001364</v>
      </c>
    </row>
    <row r="14" spans="1:7">
      <c r="A14" s="392" t="s">
        <v>620</v>
      </c>
      <c r="B14" s="478"/>
      <c r="C14" s="28" t="s">
        <v>122</v>
      </c>
      <c r="D14" s="402">
        <v>994.18</v>
      </c>
      <c r="E14" s="30">
        <f>ROUND(К10урнаЗ!C27,0)</f>
        <v>994</v>
      </c>
      <c r="F14" s="180">
        <f>E14/D14-1</f>
        <v>-1.8105373272436776E-4</v>
      </c>
      <c r="G14" s="21">
        <f t="shared" si="3"/>
        <v>-0.17999999999994998</v>
      </c>
    </row>
    <row r="15" spans="1:7" ht="47.25" customHeight="1">
      <c r="A15" s="392" t="s">
        <v>594</v>
      </c>
      <c r="B15" s="479" t="s">
        <v>473</v>
      </c>
      <c r="C15" s="28" t="s">
        <v>474</v>
      </c>
      <c r="D15" s="37">
        <v>11968.12</v>
      </c>
      <c r="E15" s="42">
        <f>ROUND(ВитратиОГ!F19,0)</f>
        <v>12231</v>
      </c>
      <c r="F15" s="42">
        <f t="shared" si="2"/>
        <v>2.1965020404207003E-2</v>
      </c>
      <c r="G15" s="146">
        <f t="shared" si="3"/>
        <v>262.8799999999992</v>
      </c>
    </row>
    <row r="16" spans="1:7" ht="47.25" customHeight="1">
      <c r="A16" s="392" t="s">
        <v>595</v>
      </c>
      <c r="B16" s="480"/>
      <c r="C16" s="28" t="s">
        <v>122</v>
      </c>
      <c r="D16" s="37">
        <v>12011.24</v>
      </c>
      <c r="E16" s="42">
        <f>ROUND(ВитратиОГ!F20,0)</f>
        <v>12261</v>
      </c>
      <c r="F16" s="42">
        <f t="shared" si="2"/>
        <v>2.0793856421152279E-2</v>
      </c>
      <c r="G16" s="146">
        <f t="shared" si="3"/>
        <v>249.76000000000022</v>
      </c>
    </row>
    <row r="17" spans="1:7" ht="66" customHeight="1">
      <c r="A17" s="392">
        <v>1</v>
      </c>
      <c r="B17" s="479" t="s">
        <v>621</v>
      </c>
      <c r="C17" s="28" t="s">
        <v>474</v>
      </c>
      <c r="D17" s="37"/>
      <c r="E17" s="42">
        <f>К13_ВоєнніНеопізнанніЛіто!C31</f>
        <v>26981</v>
      </c>
      <c r="F17" s="42"/>
      <c r="G17" s="146">
        <f>E17-D17</f>
        <v>26981</v>
      </c>
    </row>
    <row r="18" spans="1:7" ht="66" customHeight="1">
      <c r="A18" s="392">
        <v>2</v>
      </c>
      <c r="B18" s="480"/>
      <c r="C18" s="28" t="s">
        <v>122</v>
      </c>
      <c r="D18" s="37"/>
      <c r="E18" s="42">
        <f>К14_ВоєнніНеопізнанніЗима!D31</f>
        <v>27011</v>
      </c>
      <c r="F18" s="42"/>
      <c r="G18" s="146">
        <f>E18-D18</f>
        <v>27011</v>
      </c>
    </row>
    <row r="20" spans="1:7">
      <c r="A20" s="481" t="s">
        <v>476</v>
      </c>
      <c r="B20" s="481"/>
      <c r="C20" s="481"/>
      <c r="D20" s="481"/>
      <c r="E20" s="481"/>
      <c r="F20" s="481"/>
      <c r="G20" s="481"/>
    </row>
    <row r="21" spans="1:7" hidden="1">
      <c r="A21" s="474" t="s">
        <v>477</v>
      </c>
      <c r="B21" s="474"/>
      <c r="C21" s="474"/>
      <c r="D21" s="474"/>
      <c r="E21" s="474"/>
      <c r="F21" s="474"/>
      <c r="G21" s="474"/>
    </row>
    <row r="22" spans="1:7" hidden="1">
      <c r="A22" s="474" t="s">
        <v>478</v>
      </c>
      <c r="B22" s="474"/>
      <c r="C22" s="474"/>
      <c r="D22" s="474"/>
      <c r="E22" s="474"/>
      <c r="F22" s="474"/>
      <c r="G22" s="474"/>
    </row>
    <row r="23" spans="1:7">
      <c r="A23" s="474" t="s">
        <v>587</v>
      </c>
      <c r="B23" s="474"/>
      <c r="C23" s="474"/>
      <c r="D23" s="474"/>
      <c r="E23" s="474"/>
      <c r="F23" s="474"/>
      <c r="G23" s="474"/>
    </row>
    <row r="26" spans="1:7">
      <c r="A26" s="25" t="s">
        <v>590</v>
      </c>
      <c r="D26" s="25" t="s">
        <v>591</v>
      </c>
    </row>
  </sheetData>
  <mergeCells count="12">
    <mergeCell ref="B2:G2"/>
    <mergeCell ref="A20:G20"/>
    <mergeCell ref="A21:G21"/>
    <mergeCell ref="A22:G22"/>
    <mergeCell ref="B4:C4"/>
    <mergeCell ref="B17:B18"/>
    <mergeCell ref="A23:G23"/>
    <mergeCell ref="B11:B12"/>
    <mergeCell ref="B9:B10"/>
    <mergeCell ref="B7:B8"/>
    <mergeCell ref="B13:B14"/>
    <mergeCell ref="B15:B16"/>
  </mergeCells>
  <phoneticPr fontId="5" type="noConversion"/>
  <pageMargins left="1.1023622047244095" right="0.31496062992125984" top="0.74803149606299213" bottom="0.74803149606299213" header="0.31496062992125984" footer="0.31496062992125984"/>
  <pageSetup paperSize="9" scale="95"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32"/>
  <sheetViews>
    <sheetView view="pageBreakPreview" topLeftCell="A16" zoomScale="95" zoomScaleNormal="100" zoomScaleSheetLayoutView="95" workbookViewId="0">
      <selection activeCell="B30" sqref="A30:IV30"/>
    </sheetView>
  </sheetViews>
  <sheetFormatPr defaultRowHeight="15"/>
  <cols>
    <col min="1" max="1" width="6.28515625" customWidth="1"/>
    <col min="2" max="2" width="48.42578125" customWidth="1"/>
    <col min="3" max="3" width="25.28515625" style="136" customWidth="1"/>
  </cols>
  <sheetData>
    <row r="1" spans="1:3" ht="12" customHeight="1">
      <c r="C1" s="135" t="s">
        <v>34</v>
      </c>
    </row>
    <row r="2" spans="1:3" ht="12" customHeight="1">
      <c r="C2" s="135" t="s">
        <v>35</v>
      </c>
    </row>
    <row r="3" spans="1:3" ht="12" customHeight="1">
      <c r="C3" s="135" t="s">
        <v>36</v>
      </c>
    </row>
    <row r="4" spans="1:3" ht="12" customHeight="1">
      <c r="C4" s="135" t="s">
        <v>37</v>
      </c>
    </row>
    <row r="5" spans="1:3" ht="12" customHeight="1">
      <c r="C5" s="135" t="s">
        <v>38</v>
      </c>
    </row>
    <row r="6" spans="1:3" ht="30.75" customHeight="1">
      <c r="A6" s="404" t="s">
        <v>520</v>
      </c>
      <c r="B6" s="404"/>
      <c r="C6" s="404"/>
    </row>
    <row r="7" spans="1:3" ht="72" customHeight="1">
      <c r="A7" s="405" t="s">
        <v>519</v>
      </c>
      <c r="B7" s="405"/>
      <c r="C7" s="405"/>
    </row>
    <row r="8" spans="1:3" ht="3.75" customHeight="1"/>
    <row r="9" spans="1:3" ht="3.75" customHeight="1"/>
    <row r="10" spans="1:3">
      <c r="A10" s="406" t="s">
        <v>33</v>
      </c>
      <c r="B10" s="408" t="s">
        <v>1</v>
      </c>
      <c r="C10" s="409" t="s">
        <v>2</v>
      </c>
    </row>
    <row r="11" spans="1:3" ht="25.15" customHeight="1">
      <c r="A11" s="407"/>
      <c r="B11" s="408"/>
      <c r="C11" s="409"/>
    </row>
    <row r="12" spans="1:3" ht="22.5" customHeight="1">
      <c r="A12" s="1">
        <v>1</v>
      </c>
      <c r="B12" s="2" t="s">
        <v>3</v>
      </c>
      <c r="C12" s="131">
        <f>C13+C18</f>
        <v>2565.8599999999997</v>
      </c>
    </row>
    <row r="13" spans="1:3">
      <c r="A13" s="1" t="s">
        <v>13</v>
      </c>
      <c r="B13" s="2" t="s">
        <v>4</v>
      </c>
      <c r="C13" s="131">
        <f>C14+C15+C16</f>
        <v>2402.2799999999997</v>
      </c>
    </row>
    <row r="14" spans="1:3" ht="42.75" customHeight="1">
      <c r="A14" s="1" t="s">
        <v>14</v>
      </c>
      <c r="B14" s="2" t="s">
        <v>334</v>
      </c>
      <c r="C14" s="131">
        <f>МатВит!G33+Роз4!E21</f>
        <v>1657.85</v>
      </c>
    </row>
    <row r="15" spans="1:3">
      <c r="A15" s="1" t="s">
        <v>22</v>
      </c>
      <c r="B15" s="23" t="s">
        <v>27</v>
      </c>
      <c r="C15" s="131">
        <f>Роз4!E36</f>
        <v>610.18999999999994</v>
      </c>
    </row>
    <row r="16" spans="1:3">
      <c r="A16" s="410" t="s">
        <v>23</v>
      </c>
      <c r="B16" s="23" t="s">
        <v>5</v>
      </c>
      <c r="C16" s="412">
        <f>ROUND(C15*22%,2)</f>
        <v>134.24</v>
      </c>
    </row>
    <row r="17" spans="1:5" ht="30">
      <c r="A17" s="411"/>
      <c r="B17" s="24" t="s">
        <v>6</v>
      </c>
      <c r="C17" s="412"/>
    </row>
    <row r="18" spans="1:5">
      <c r="A18" s="1" t="s">
        <v>24</v>
      </c>
      <c r="B18" s="2" t="s">
        <v>7</v>
      </c>
      <c r="C18" s="131">
        <f>C21+C20+C19</f>
        <v>163.57999999999998</v>
      </c>
    </row>
    <row r="19" spans="1:5" ht="30">
      <c r="A19" s="1" t="s">
        <v>85</v>
      </c>
      <c r="B19" s="2" t="s">
        <v>521</v>
      </c>
      <c r="C19" s="131">
        <f>ROUND(C13*4%,2)</f>
        <v>96.09</v>
      </c>
    </row>
    <row r="20" spans="1:5">
      <c r="A20" s="1" t="s">
        <v>87</v>
      </c>
      <c r="B20" s="2" t="s">
        <v>522</v>
      </c>
      <c r="C20" s="131">
        <v>0</v>
      </c>
    </row>
    <row r="21" spans="1:5">
      <c r="A21" s="1" t="s">
        <v>88</v>
      </c>
      <c r="B21" s="2" t="s">
        <v>28</v>
      </c>
      <c r="C21" s="131">
        <f>ОпВитратиРоз3!D12</f>
        <v>67.489999999999995</v>
      </c>
    </row>
    <row r="22" spans="1:5">
      <c r="A22" s="1">
        <v>2</v>
      </c>
      <c r="B22" s="2" t="s">
        <v>29</v>
      </c>
      <c r="C22" s="131">
        <v>0</v>
      </c>
    </row>
    <row r="23" spans="1:5">
      <c r="A23" s="1" t="s">
        <v>89</v>
      </c>
      <c r="B23" s="2" t="s">
        <v>30</v>
      </c>
      <c r="C23" s="131">
        <f>C13+C18</f>
        <v>2565.8599999999997</v>
      </c>
    </row>
    <row r="24" spans="1:5" ht="30">
      <c r="A24" s="1" t="s">
        <v>90</v>
      </c>
      <c r="B24" s="2" t="s">
        <v>523</v>
      </c>
      <c r="C24" s="131">
        <v>0</v>
      </c>
    </row>
    <row r="25" spans="1:5">
      <c r="A25" s="1" t="s">
        <v>91</v>
      </c>
      <c r="B25" s="2" t="s">
        <v>31</v>
      </c>
      <c r="C25" s="131">
        <f>C23+C24</f>
        <v>2565.8599999999997</v>
      </c>
    </row>
    <row r="26" spans="1:5">
      <c r="A26" s="1" t="s">
        <v>92</v>
      </c>
      <c r="B26" s="2" t="s">
        <v>11</v>
      </c>
      <c r="C26" s="132">
        <v>1</v>
      </c>
      <c r="D26" s="329"/>
    </row>
    <row r="27" spans="1:5" s="25" customFormat="1" ht="29.25" customHeight="1">
      <c r="A27" s="1" t="s">
        <v>93</v>
      </c>
      <c r="B27" s="2" t="s">
        <v>471</v>
      </c>
      <c r="C27" s="133">
        <f>ВитратиОГ!F9+ВитратиОГ!F11+ВитратиОГ!F12+ВитратиОГ!F13+ВитратиОГ!F14</f>
        <v>9695</v>
      </c>
      <c r="E27" s="145"/>
    </row>
    <row r="28" spans="1:5">
      <c r="A28" s="1" t="s">
        <v>350</v>
      </c>
      <c r="B28" s="2" t="s">
        <v>32</v>
      </c>
      <c r="C28" s="133">
        <f>C27+C25</f>
        <v>12260.86</v>
      </c>
    </row>
    <row r="30" spans="1:5" s="70" customFormat="1" ht="15.75">
      <c r="A30" s="179" t="s">
        <v>624</v>
      </c>
      <c r="C30" s="187"/>
    </row>
    <row r="32" spans="1:5" ht="28.5" customHeight="1">
      <c r="A32" s="403" t="s">
        <v>55</v>
      </c>
      <c r="B32" s="403"/>
      <c r="C32" s="70" t="s">
        <v>528</v>
      </c>
    </row>
  </sheetData>
  <mergeCells count="8">
    <mergeCell ref="A32:B32"/>
    <mergeCell ref="A6:C6"/>
    <mergeCell ref="A7:C7"/>
    <mergeCell ref="A10:A11"/>
    <mergeCell ref="B10:B11"/>
    <mergeCell ref="C10:C11"/>
    <mergeCell ref="A16:A17"/>
    <mergeCell ref="C16:C17"/>
  </mergeCells>
  <phoneticPr fontId="5" type="noConversion"/>
  <pageMargins left="1.3385826771653544" right="0" top="0.98425196850393704" bottom="0.98425196850393704" header="0.51181102362204722" footer="0.51181102362204722"/>
  <pageSetup paperSize="9" scale="105"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K52"/>
  <sheetViews>
    <sheetView view="pageBreakPreview" topLeftCell="A7" zoomScaleNormal="100" zoomScaleSheetLayoutView="100" workbookViewId="0">
      <selection activeCell="K13" sqref="K13"/>
    </sheetView>
  </sheetViews>
  <sheetFormatPr defaultColWidth="9.140625" defaultRowHeight="15.75"/>
  <cols>
    <col min="1" max="1" width="30" style="292" customWidth="1"/>
    <col min="2" max="2" width="24" style="301" customWidth="1"/>
    <col min="3" max="3" width="21.140625" style="292" customWidth="1"/>
    <col min="4" max="4" width="11.28515625" style="292" customWidth="1"/>
    <col min="5" max="5" width="13.140625" style="292" customWidth="1"/>
    <col min="6" max="6" width="12.28515625" style="292" customWidth="1"/>
    <col min="7" max="16384" width="9.140625" style="292"/>
  </cols>
  <sheetData>
    <row r="1" spans="1:6" ht="27" customHeight="1">
      <c r="A1" s="453" t="s">
        <v>299</v>
      </c>
      <c r="B1" s="453"/>
      <c r="C1" s="130" t="str">
        <f>к12екОз!A6</f>
        <v>КАЛЬКУЛЯЦІЯ № 12</v>
      </c>
      <c r="D1" s="130"/>
      <c r="E1" s="130"/>
    </row>
    <row r="2" spans="1:6" ht="73.5" customHeight="1">
      <c r="A2" s="454" t="str">
        <f>к12екОз!A7</f>
        <v>Послуга з організації та проведення поховання померлих одиноких громадян, осіб без певного місця проживання, громадян, від поховання яких відмовилися рідні та знайдених невпізнаних трупів на кладовищах Южненської міської територіальної громади Одеського району Одеської області взимку</v>
      </c>
      <c r="B2" s="454"/>
      <c r="C2" s="454"/>
      <c r="D2" s="454"/>
      <c r="E2" s="454"/>
    </row>
    <row r="3" spans="1:6" ht="53.25" customHeight="1">
      <c r="A3" s="454" t="s">
        <v>321</v>
      </c>
      <c r="B3" s="454"/>
      <c r="C3" s="454"/>
      <c r="D3" s="454"/>
      <c r="E3" s="454"/>
    </row>
    <row r="4" spans="1:6" ht="65.25" customHeight="1">
      <c r="A4" s="447" t="s">
        <v>322</v>
      </c>
      <c r="B4" s="447"/>
      <c r="C4" s="447"/>
      <c r="D4" s="447"/>
      <c r="E4" s="447"/>
    </row>
    <row r="5" spans="1:6" ht="108.75" customHeight="1">
      <c r="A5" s="447" t="s">
        <v>323</v>
      </c>
      <c r="B5" s="447"/>
      <c r="C5" s="447"/>
      <c r="D5" s="447"/>
      <c r="E5" s="447"/>
    </row>
    <row r="6" spans="1:6" ht="85.5" customHeight="1">
      <c r="A6" s="472" t="s">
        <v>572</v>
      </c>
      <c r="B6" s="472"/>
      <c r="C6" s="472"/>
      <c r="D6" s="472"/>
      <c r="E6" s="472"/>
    </row>
    <row r="7" spans="1:6" ht="10.5" customHeight="1" thickBot="1">
      <c r="A7" s="436"/>
      <c r="B7" s="436"/>
      <c r="C7" s="436"/>
      <c r="D7" s="436"/>
    </row>
    <row r="8" spans="1:6" ht="18.75" customHeight="1" thickBot="1">
      <c r="A8" s="250" t="s">
        <v>1</v>
      </c>
      <c r="B8" s="183" t="s">
        <v>208</v>
      </c>
      <c r="C8" s="251" t="s">
        <v>266</v>
      </c>
      <c r="D8" s="252" t="s">
        <v>193</v>
      </c>
      <c r="E8" s="138" t="s">
        <v>489</v>
      </c>
    </row>
    <row r="9" spans="1:6" ht="17.25" customHeight="1">
      <c r="A9" s="418" t="s">
        <v>268</v>
      </c>
      <c r="B9" s="253" t="s">
        <v>286</v>
      </c>
      <c r="C9" s="449" t="s">
        <v>284</v>
      </c>
      <c r="D9" s="449" t="s">
        <v>283</v>
      </c>
      <c r="E9" s="451">
        <f>2.2*1.9*1</f>
        <v>4.18</v>
      </c>
    </row>
    <row r="10" spans="1:6" ht="28.5" customHeight="1" thickBot="1">
      <c r="A10" s="448"/>
      <c r="B10" s="272" t="s">
        <v>313</v>
      </c>
      <c r="C10" s="450"/>
      <c r="D10" s="450"/>
      <c r="E10" s="452"/>
    </row>
    <row r="11" spans="1:6" ht="21.75" customHeight="1" thickBot="1">
      <c r="A11" s="440" t="s">
        <v>480</v>
      </c>
      <c r="B11" s="441"/>
      <c r="C11" s="442"/>
      <c r="D11" s="254"/>
      <c r="E11" s="302"/>
    </row>
    <row r="12" spans="1:6" ht="41.25" customHeight="1" thickBot="1">
      <c r="A12" s="293" t="s">
        <v>314</v>
      </c>
      <c r="B12" s="438" t="s">
        <v>492</v>
      </c>
      <c r="C12" s="257" t="s">
        <v>327</v>
      </c>
      <c r="D12" s="257" t="s">
        <v>316</v>
      </c>
      <c r="E12" s="258">
        <f>ROUND(0.14*E9,2)</f>
        <v>0.59</v>
      </c>
    </row>
    <row r="13" spans="1:6" ht="51" customHeight="1" thickBot="1">
      <c r="A13" s="294" t="s">
        <v>315</v>
      </c>
      <c r="B13" s="439"/>
      <c r="C13" s="260" t="s">
        <v>317</v>
      </c>
      <c r="D13" s="257" t="s">
        <v>316</v>
      </c>
      <c r="E13" s="303">
        <v>1</v>
      </c>
    </row>
    <row r="14" spans="1:6" ht="49.5" customHeight="1" thickBot="1">
      <c r="A14" s="440" t="s">
        <v>481</v>
      </c>
      <c r="B14" s="441"/>
      <c r="C14" s="442"/>
      <c r="D14" s="262" t="s">
        <v>56</v>
      </c>
      <c r="E14" s="302">
        <f>E15+E16</f>
        <v>267.58</v>
      </c>
      <c r="F14" s="295"/>
    </row>
    <row r="15" spans="1:6" ht="30" customHeight="1" thickBot="1">
      <c r="A15" s="293" t="s">
        <v>314</v>
      </c>
      <c r="B15" s="438" t="s">
        <v>319</v>
      </c>
      <c r="C15" s="257" t="s">
        <v>366</v>
      </c>
      <c r="D15" s="262" t="s">
        <v>56</v>
      </c>
      <c r="E15" s="263">
        <f>ROUND(E12*E17*5*1.08,2)</f>
        <v>187.94</v>
      </c>
    </row>
    <row r="16" spans="1:6" ht="33.75" customHeight="1" thickBot="1">
      <c r="A16" s="296" t="s">
        <v>336</v>
      </c>
      <c r="B16" s="439"/>
      <c r="C16" s="260" t="s">
        <v>373</v>
      </c>
      <c r="D16" s="262" t="s">
        <v>56</v>
      </c>
      <c r="E16" s="263">
        <f>ROUND(E13*E17*10/8*1.08,2)</f>
        <v>79.64</v>
      </c>
    </row>
    <row r="17" spans="1:6" ht="23.25" customHeight="1" thickBot="1">
      <c r="A17" s="265" t="s">
        <v>318</v>
      </c>
      <c r="B17" s="443" t="s">
        <v>320</v>
      </c>
      <c r="C17" s="444"/>
      <c r="D17" s="262" t="s">
        <v>56</v>
      </c>
      <c r="E17" s="141">
        <v>58.99</v>
      </c>
    </row>
    <row r="18" spans="1:6" ht="23.25" customHeight="1" thickBot="1">
      <c r="A18" s="433" t="s">
        <v>482</v>
      </c>
      <c r="B18" s="434"/>
      <c r="C18" s="437"/>
      <c r="D18" s="262" t="s">
        <v>56</v>
      </c>
      <c r="E18" s="302">
        <f>E19+E20</f>
        <v>1314.53</v>
      </c>
      <c r="F18" s="295"/>
    </row>
    <row r="19" spans="1:6" ht="32.25" customHeight="1" thickBot="1">
      <c r="A19" s="297" t="s">
        <v>325</v>
      </c>
      <c r="B19" s="445" t="s">
        <v>367</v>
      </c>
      <c r="C19" s="257" t="s">
        <v>551</v>
      </c>
      <c r="D19" s="262" t="s">
        <v>56</v>
      </c>
      <c r="E19" s="378">
        <f>ROUND(1838.51*E12,2)</f>
        <v>1084.72</v>
      </c>
      <c r="F19" s="295"/>
    </row>
    <row r="20" spans="1:6" ht="31.5" customHeight="1" thickBot="1">
      <c r="A20" s="296" t="s">
        <v>336</v>
      </c>
      <c r="B20" s="446"/>
      <c r="C20" s="267" t="s">
        <v>552</v>
      </c>
      <c r="D20" s="262" t="s">
        <v>56</v>
      </c>
      <c r="E20" s="379">
        <f>ROUND(1838.51*E13/8,2)</f>
        <v>229.81</v>
      </c>
      <c r="F20" s="295"/>
    </row>
    <row r="21" spans="1:6" ht="34.5" customHeight="1" thickBot="1">
      <c r="A21" s="433" t="s">
        <v>483</v>
      </c>
      <c r="B21" s="434"/>
      <c r="C21" s="435"/>
      <c r="D21" s="268" t="s">
        <v>56</v>
      </c>
      <c r="E21" s="379">
        <f>E14+E18</f>
        <v>1582.11</v>
      </c>
    </row>
    <row r="22" spans="1:6" ht="18.75" customHeight="1">
      <c r="A22" s="418" t="s">
        <v>292</v>
      </c>
      <c r="B22" s="253" t="s">
        <v>293</v>
      </c>
      <c r="C22" s="420" t="s">
        <v>359</v>
      </c>
      <c r="D22" s="432" t="s">
        <v>56</v>
      </c>
      <c r="E22" s="424">
        <f>ROUND(E34*2.2*0.1,2)</f>
        <v>17.13</v>
      </c>
    </row>
    <row r="23" spans="1:6" ht="30.75" customHeight="1" thickBot="1">
      <c r="A23" s="419"/>
      <c r="B23" s="290" t="s">
        <v>271</v>
      </c>
      <c r="C23" s="421"/>
      <c r="D23" s="429"/>
      <c r="E23" s="425"/>
    </row>
    <row r="24" spans="1:6" ht="18.75" customHeight="1">
      <c r="A24" s="418" t="s">
        <v>270</v>
      </c>
      <c r="B24" s="253" t="s">
        <v>295</v>
      </c>
      <c r="C24" s="420" t="s">
        <v>360</v>
      </c>
      <c r="D24" s="432" t="s">
        <v>56</v>
      </c>
      <c r="E24" s="424">
        <f>ROUND(E34*2.2*0.13,2)</f>
        <v>22.27</v>
      </c>
    </row>
    <row r="25" spans="1:6" ht="35.25" customHeight="1" thickBot="1">
      <c r="A25" s="419"/>
      <c r="B25" s="290" t="s">
        <v>271</v>
      </c>
      <c r="C25" s="421"/>
      <c r="D25" s="429"/>
      <c r="E25" s="425"/>
    </row>
    <row r="26" spans="1:6" ht="18.75" customHeight="1">
      <c r="A26" s="413" t="s">
        <v>328</v>
      </c>
      <c r="B26" s="428" t="s">
        <v>329</v>
      </c>
      <c r="C26" s="430" t="s">
        <v>517</v>
      </c>
      <c r="D26" s="428" t="s">
        <v>285</v>
      </c>
      <c r="E26" s="431">
        <f>ROUND(0.125*((2.2*1)+(2.2+1 )*2*1.9),2)</f>
        <v>1.8</v>
      </c>
    </row>
    <row r="27" spans="1:6" ht="41.25" customHeight="1" thickBot="1">
      <c r="A27" s="413"/>
      <c r="B27" s="429"/>
      <c r="C27" s="430"/>
      <c r="D27" s="429"/>
      <c r="E27" s="431"/>
    </row>
    <row r="28" spans="1:6" ht="34.5" customHeight="1">
      <c r="A28" s="418" t="s">
        <v>491</v>
      </c>
      <c r="B28" s="183"/>
      <c r="C28" s="420" t="s">
        <v>331</v>
      </c>
      <c r="D28" s="426" t="s">
        <v>285</v>
      </c>
      <c r="E28" s="424">
        <f>E26*1.3</f>
        <v>2.3400000000000003</v>
      </c>
    </row>
    <row r="29" spans="1:6" ht="60" customHeight="1" thickBot="1">
      <c r="A29" s="419"/>
      <c r="B29" s="184" t="s">
        <v>269</v>
      </c>
      <c r="C29" s="421"/>
      <c r="D29" s="427"/>
      <c r="E29" s="425"/>
    </row>
    <row r="30" spans="1:6" ht="24" customHeight="1">
      <c r="A30" s="418" t="s">
        <v>272</v>
      </c>
      <c r="B30" s="253" t="s">
        <v>332</v>
      </c>
      <c r="C30" s="420" t="s">
        <v>361</v>
      </c>
      <c r="D30" s="422" t="s">
        <v>285</v>
      </c>
      <c r="E30" s="424">
        <f>ROUND(0.79*E9,2)</f>
        <v>3.3</v>
      </c>
    </row>
    <row r="31" spans="1:6" ht="30" customHeight="1" thickBot="1">
      <c r="A31" s="419"/>
      <c r="B31" s="290" t="s">
        <v>273</v>
      </c>
      <c r="C31" s="421"/>
      <c r="D31" s="423"/>
      <c r="E31" s="425"/>
    </row>
    <row r="32" spans="1:6" ht="28.5" customHeight="1" thickBot="1">
      <c r="A32" s="418" t="s">
        <v>301</v>
      </c>
      <c r="B32" s="253" t="s">
        <v>274</v>
      </c>
      <c r="C32" s="172" t="s">
        <v>368</v>
      </c>
      <c r="D32" s="422" t="s">
        <v>285</v>
      </c>
      <c r="E32" s="141">
        <f>E30+E28</f>
        <v>5.6400000000000006</v>
      </c>
    </row>
    <row r="33" spans="1:11" ht="35.25" customHeight="1" thickBot="1">
      <c r="A33" s="419"/>
      <c r="B33" s="290" t="s">
        <v>275</v>
      </c>
      <c r="C33" s="174" t="s">
        <v>369</v>
      </c>
      <c r="D33" s="423"/>
      <c r="E33" s="182">
        <f>ROUND(E32*1.3,2)</f>
        <v>7.33</v>
      </c>
    </row>
    <row r="34" spans="1:11" ht="36.75" customHeight="1" thickBot="1">
      <c r="A34" s="270" t="s">
        <v>264</v>
      </c>
      <c r="B34" s="291" t="s">
        <v>289</v>
      </c>
      <c r="C34" s="298"/>
      <c r="D34" s="272" t="s">
        <v>56</v>
      </c>
      <c r="E34" s="142">
        <f>СПР_ШТ!D14</f>
        <v>77.87</v>
      </c>
    </row>
    <row r="35" spans="1:11" ht="94.5" customHeight="1" thickBot="1">
      <c r="A35" s="273" t="s">
        <v>333</v>
      </c>
      <c r="B35" s="257" t="s">
        <v>303</v>
      </c>
      <c r="C35" s="274" t="s">
        <v>370</v>
      </c>
      <c r="D35" s="257" t="s">
        <v>56</v>
      </c>
      <c r="E35" s="141">
        <f>ROUND(E34*E33,2)</f>
        <v>570.79</v>
      </c>
    </row>
    <row r="36" spans="1:11" ht="47.25" customHeight="1" thickBot="1">
      <c r="A36" s="275" t="s">
        <v>276</v>
      </c>
      <c r="B36" s="299"/>
      <c r="C36" s="277" t="s">
        <v>371</v>
      </c>
      <c r="D36" s="183" t="s">
        <v>56</v>
      </c>
      <c r="E36" s="143">
        <f>E35+E24+E22</f>
        <v>610.18999999999994</v>
      </c>
    </row>
    <row r="37" spans="1:11" ht="32.25" customHeight="1" thickBot="1">
      <c r="A37" s="270" t="s">
        <v>277</v>
      </c>
      <c r="B37" s="278">
        <v>0.22</v>
      </c>
      <c r="C37" s="277" t="s">
        <v>372</v>
      </c>
      <c r="D37" s="183" t="s">
        <v>56</v>
      </c>
      <c r="E37" s="185">
        <f>ROUND(E36*0.22,2)</f>
        <v>134.24</v>
      </c>
    </row>
    <row r="38" spans="1:11" ht="33" customHeight="1" thickBot="1">
      <c r="A38" s="300" t="s">
        <v>227</v>
      </c>
      <c r="B38" s="280" t="s">
        <v>290</v>
      </c>
      <c r="C38" s="281"/>
      <c r="D38" s="183" t="s">
        <v>56</v>
      </c>
      <c r="E38" s="185">
        <f>МатВит!G33</f>
        <v>75.739999999999995</v>
      </c>
    </row>
    <row r="39" spans="1:11" ht="33" customHeight="1" thickBot="1">
      <c r="A39" s="282" t="s">
        <v>278</v>
      </c>
      <c r="B39" s="280"/>
      <c r="C39" s="277" t="s">
        <v>564</v>
      </c>
      <c r="D39" s="257" t="s">
        <v>56</v>
      </c>
      <c r="E39" s="381">
        <f>E37+E36+E38+E21</f>
        <v>2402.2799999999997</v>
      </c>
    </row>
    <row r="40" spans="1:11" ht="21" customHeight="1" thickBot="1">
      <c r="A40" s="282" t="s">
        <v>279</v>
      </c>
      <c r="B40" s="278">
        <v>0.04</v>
      </c>
      <c r="C40" s="277" t="s">
        <v>585</v>
      </c>
      <c r="D40" s="184" t="s">
        <v>56</v>
      </c>
      <c r="E40" s="185">
        <f>ROUND(E39*B40,2)</f>
        <v>96.09</v>
      </c>
    </row>
    <row r="41" spans="1:11" ht="21" customHeight="1" thickBot="1">
      <c r="A41" s="282" t="s">
        <v>298</v>
      </c>
      <c r="B41" s="278">
        <v>0</v>
      </c>
      <c r="C41" s="277"/>
      <c r="D41" s="184" t="s">
        <v>56</v>
      </c>
      <c r="E41" s="185">
        <f>ROUND(E39*B41,2)</f>
        <v>0</v>
      </c>
    </row>
    <row r="42" spans="1:11" ht="18.75" customHeight="1" thickBot="1">
      <c r="A42" s="270" t="s">
        <v>280</v>
      </c>
      <c r="B42" s="269" t="s">
        <v>297</v>
      </c>
      <c r="C42" s="277"/>
      <c r="D42" s="184" t="s">
        <v>56</v>
      </c>
      <c r="E42" s="185">
        <f>ОпВитратиРоз3!D12</f>
        <v>67.489999999999995</v>
      </c>
    </row>
    <row r="43" spans="1:11" ht="30" customHeight="1" thickBot="1">
      <c r="A43" s="265"/>
      <c r="B43" s="397"/>
      <c r="C43" s="395" t="s">
        <v>605</v>
      </c>
      <c r="D43" s="184" t="s">
        <v>56</v>
      </c>
      <c r="E43" s="382">
        <f>E39+E40+E42+E41</f>
        <v>2565.8599999999997</v>
      </c>
    </row>
    <row r="44" spans="1:11" ht="21" customHeight="1" thickBot="1">
      <c r="A44" s="265" t="s">
        <v>281</v>
      </c>
      <c r="B44" s="398">
        <v>0</v>
      </c>
      <c r="C44" s="395"/>
      <c r="D44" s="184" t="s">
        <v>56</v>
      </c>
      <c r="E44" s="185"/>
    </row>
    <row r="45" spans="1:11" ht="21" customHeight="1" thickBot="1">
      <c r="A45" s="283" t="s">
        <v>282</v>
      </c>
      <c r="B45" s="290"/>
      <c r="C45" s="174"/>
      <c r="D45" s="184" t="s">
        <v>56</v>
      </c>
      <c r="E45" s="144">
        <f>E44+E43</f>
        <v>2565.8599999999997</v>
      </c>
      <c r="F45" s="295"/>
    </row>
    <row r="46" spans="1:11" ht="9.75" customHeight="1">
      <c r="A46" s="130"/>
    </row>
    <row r="47" spans="1:11">
      <c r="A47" s="285"/>
    </row>
    <row r="48" spans="1:11" s="45" customFormat="1" ht="24.75" customHeight="1">
      <c r="A48" s="45" t="s">
        <v>168</v>
      </c>
      <c r="B48" s="176"/>
      <c r="D48" s="45" t="s">
        <v>169</v>
      </c>
      <c r="F48" s="60"/>
      <c r="G48" s="176"/>
      <c r="H48" s="176"/>
      <c r="I48" s="176"/>
      <c r="J48" s="177"/>
      <c r="K48" s="178"/>
    </row>
    <row r="49" spans="1:1">
      <c r="A49" s="130"/>
    </row>
    <row r="50" spans="1:1">
      <c r="A50" s="285"/>
    </row>
    <row r="51" spans="1:1">
      <c r="A51" s="130"/>
    </row>
    <row r="52" spans="1:1">
      <c r="A52" s="286"/>
    </row>
  </sheetData>
  <mergeCells count="42">
    <mergeCell ref="B12:B13"/>
    <mergeCell ref="B17:C17"/>
    <mergeCell ref="B15:B16"/>
    <mergeCell ref="A11:C11"/>
    <mergeCell ref="C9:C10"/>
    <mergeCell ref="A14:C14"/>
    <mergeCell ref="A5:E5"/>
    <mergeCell ref="E9:E10"/>
    <mergeCell ref="A1:B1"/>
    <mergeCell ref="A2:E2"/>
    <mergeCell ref="A3:E3"/>
    <mergeCell ref="A4:E4"/>
    <mergeCell ref="A6:E6"/>
    <mergeCell ref="D9:D10"/>
    <mergeCell ref="A9:A10"/>
    <mergeCell ref="A7:D7"/>
    <mergeCell ref="E22:E23"/>
    <mergeCell ref="A18:C18"/>
    <mergeCell ref="B19:B20"/>
    <mergeCell ref="A21:C21"/>
    <mergeCell ref="A22:A23"/>
    <mergeCell ref="C22:C23"/>
    <mergeCell ref="D22:D23"/>
    <mergeCell ref="D32:D33"/>
    <mergeCell ref="A30:A31"/>
    <mergeCell ref="C30:C31"/>
    <mergeCell ref="D30:D31"/>
    <mergeCell ref="E28:E29"/>
    <mergeCell ref="C28:C29"/>
    <mergeCell ref="A32:A33"/>
    <mergeCell ref="D26:D27"/>
    <mergeCell ref="D28:D29"/>
    <mergeCell ref="E24:E25"/>
    <mergeCell ref="E30:E31"/>
    <mergeCell ref="A24:A25"/>
    <mergeCell ref="C24:C25"/>
    <mergeCell ref="D24:D25"/>
    <mergeCell ref="E26:E27"/>
    <mergeCell ref="A28:A29"/>
    <mergeCell ref="A26:A27"/>
    <mergeCell ref="B26:B27"/>
    <mergeCell ref="C26:C27"/>
  </mergeCells>
  <phoneticPr fontId="5" type="noConversion"/>
  <pageMargins left="1.1023622047244095" right="0.11811023622047245" top="0.55118110236220474" bottom="0.15748031496062992" header="0.31496062992125984" footer="0.31496062992125984"/>
  <pageSetup paperSize="9" scale="78" orientation="portrait" blackAndWhite="1" horizontalDpi="300" verticalDpi="300" r:id="rId1"/>
  <rowBreaks count="1" manualBreakCount="1">
    <brk id="2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E32"/>
  <sheetViews>
    <sheetView view="pageBreakPreview" topLeftCell="A9" zoomScale="82" zoomScaleNormal="100" zoomScaleSheetLayoutView="82" workbookViewId="0">
      <selection activeCell="K27" sqref="K27"/>
    </sheetView>
  </sheetViews>
  <sheetFormatPr defaultColWidth="9.140625" defaultRowHeight="15"/>
  <cols>
    <col min="1" max="1" width="6.28515625" style="76" customWidth="1"/>
    <col min="2" max="2" width="42.140625" style="76" customWidth="1"/>
    <col min="3" max="3" width="27.140625" style="76" customWidth="1"/>
    <col min="4" max="4" width="4.28515625" style="76" customWidth="1"/>
    <col min="5" max="16384" width="9.140625" style="76"/>
  </cols>
  <sheetData>
    <row r="1" spans="1:3" ht="12" customHeight="1">
      <c r="C1" s="345" t="s">
        <v>34</v>
      </c>
    </row>
    <row r="2" spans="1:3" ht="12" customHeight="1">
      <c r="C2" s="345" t="s">
        <v>35</v>
      </c>
    </row>
    <row r="3" spans="1:3" ht="12" customHeight="1">
      <c r="C3" s="345" t="s">
        <v>36</v>
      </c>
    </row>
    <row r="4" spans="1:3" ht="12" customHeight="1">
      <c r="C4" s="345" t="s">
        <v>37</v>
      </c>
    </row>
    <row r="5" spans="1:3" ht="12" customHeight="1">
      <c r="C5" s="345" t="s">
        <v>38</v>
      </c>
    </row>
    <row r="6" spans="1:3" ht="29.25" customHeight="1">
      <c r="A6" s="458" t="s">
        <v>518</v>
      </c>
      <c r="B6" s="458"/>
      <c r="C6" s="458"/>
    </row>
    <row r="7" spans="1:3" ht="75.75" customHeight="1">
      <c r="A7" s="405" t="s">
        <v>472</v>
      </c>
      <c r="B7" s="405"/>
      <c r="C7" s="405"/>
    </row>
    <row r="8" spans="1:3" ht="6" customHeight="1"/>
    <row r="9" spans="1:3" ht="6" customHeight="1"/>
    <row r="10" spans="1:3">
      <c r="A10" s="459" t="s">
        <v>33</v>
      </c>
      <c r="B10" s="461" t="s">
        <v>1</v>
      </c>
      <c r="C10" s="461" t="s">
        <v>2</v>
      </c>
    </row>
    <row r="11" spans="1:3" ht="25.15" customHeight="1">
      <c r="A11" s="460"/>
      <c r="B11" s="461"/>
      <c r="C11" s="461"/>
    </row>
    <row r="12" spans="1:3" ht="22.5" customHeight="1">
      <c r="A12" s="346">
        <v>1</v>
      </c>
      <c r="B12" s="347" t="s">
        <v>3</v>
      </c>
      <c r="C12" s="348">
        <f>C13+C18</f>
        <v>2536.48</v>
      </c>
    </row>
    <row r="13" spans="1:3">
      <c r="A13" s="346" t="s">
        <v>13</v>
      </c>
      <c r="B13" s="347" t="s">
        <v>4</v>
      </c>
      <c r="C13" s="348">
        <f>C14+C15+C16</f>
        <v>2146.9499999999998</v>
      </c>
    </row>
    <row r="14" spans="1:3" ht="46.5" customHeight="1">
      <c r="A14" s="349" t="s">
        <v>14</v>
      </c>
      <c r="B14" s="347" t="s">
        <v>334</v>
      </c>
      <c r="C14" s="348">
        <f>Роз11єкОл!E21+МатВит!G33</f>
        <v>1577.32</v>
      </c>
    </row>
    <row r="15" spans="1:3">
      <c r="A15" s="346" t="s">
        <v>22</v>
      </c>
      <c r="B15" s="350" t="s">
        <v>27</v>
      </c>
      <c r="C15" s="348">
        <f>Роз3!E36</f>
        <v>466.90999999999997</v>
      </c>
    </row>
    <row r="16" spans="1:3">
      <c r="A16" s="455" t="s">
        <v>23</v>
      </c>
      <c r="B16" s="350" t="s">
        <v>5</v>
      </c>
      <c r="C16" s="485">
        <f>ROUND(C15*22%,2)</f>
        <v>102.72</v>
      </c>
    </row>
    <row r="17" spans="1:5" ht="30">
      <c r="A17" s="456"/>
      <c r="B17" s="351" t="s">
        <v>6</v>
      </c>
      <c r="C17" s="485"/>
    </row>
    <row r="18" spans="1:5">
      <c r="A18" s="346" t="s">
        <v>24</v>
      </c>
      <c r="B18" s="347" t="s">
        <v>7</v>
      </c>
      <c r="C18" s="348">
        <f>C21+C20+C19</f>
        <v>389.53000000000003</v>
      </c>
    </row>
    <row r="19" spans="1:5" ht="30">
      <c r="A19" s="346" t="s">
        <v>85</v>
      </c>
      <c r="B19" s="347" t="s">
        <v>84</v>
      </c>
      <c r="C19" s="348">
        <f>ROUND(C13*15%,2)</f>
        <v>322.04000000000002</v>
      </c>
    </row>
    <row r="20" spans="1:5" ht="30">
      <c r="A20" s="346" t="s">
        <v>87</v>
      </c>
      <c r="B20" s="347" t="s">
        <v>522</v>
      </c>
      <c r="C20" s="348">
        <v>0</v>
      </c>
    </row>
    <row r="21" spans="1:5">
      <c r="A21" s="346" t="s">
        <v>88</v>
      </c>
      <c r="B21" s="347" t="s">
        <v>28</v>
      </c>
      <c r="C21" s="348">
        <f>ОпВитратиРоз3!D12</f>
        <v>67.489999999999995</v>
      </c>
    </row>
    <row r="22" spans="1:5">
      <c r="A22" s="346">
        <v>2</v>
      </c>
      <c r="B22" s="347" t="s">
        <v>29</v>
      </c>
      <c r="C22" s="348">
        <v>0</v>
      </c>
    </row>
    <row r="23" spans="1:5">
      <c r="A23" s="346" t="s">
        <v>89</v>
      </c>
      <c r="B23" s="347" t="s">
        <v>30</v>
      </c>
      <c r="C23" s="348">
        <f>C13+C18</f>
        <v>2536.48</v>
      </c>
    </row>
    <row r="24" spans="1:5" ht="30">
      <c r="A24" s="346" t="s">
        <v>90</v>
      </c>
      <c r="B24" s="347" t="s">
        <v>523</v>
      </c>
      <c r="C24" s="348">
        <v>0</v>
      </c>
    </row>
    <row r="25" spans="1:5">
      <c r="A25" s="346" t="s">
        <v>91</v>
      </c>
      <c r="B25" s="347" t="s">
        <v>31</v>
      </c>
      <c r="C25" s="348">
        <f>C23+C24</f>
        <v>2536.48</v>
      </c>
    </row>
    <row r="26" spans="1:5" ht="30">
      <c r="A26" s="346" t="s">
        <v>92</v>
      </c>
      <c r="B26" s="347" t="s">
        <v>11</v>
      </c>
      <c r="C26" s="352">
        <v>1</v>
      </c>
    </row>
    <row r="27" spans="1:5" s="70" customFormat="1" ht="29.25" customHeight="1">
      <c r="A27" s="346" t="s">
        <v>93</v>
      </c>
      <c r="B27" s="347" t="s">
        <v>471</v>
      </c>
      <c r="C27" s="353">
        <f>ВитратиОГ!F9+ВитратиОГ!F11+ВитратиОГ!F12+ВитратиОГ!F13+ВитратиОГ!F14</f>
        <v>9695</v>
      </c>
      <c r="E27" s="147"/>
    </row>
    <row r="28" spans="1:5">
      <c r="A28" s="346" t="s">
        <v>350</v>
      </c>
      <c r="B28" s="347" t="s">
        <v>32</v>
      </c>
      <c r="C28" s="354">
        <f>C27+C25</f>
        <v>12231.48</v>
      </c>
    </row>
    <row r="30" spans="1:5" s="70" customFormat="1" ht="15.75">
      <c r="A30" s="179" t="s">
        <v>623</v>
      </c>
      <c r="C30" s="187"/>
    </row>
    <row r="32" spans="1:5" ht="23.25" customHeight="1">
      <c r="A32" s="484" t="s">
        <v>55</v>
      </c>
      <c r="B32" s="484"/>
      <c r="C32" s="70" t="s">
        <v>528</v>
      </c>
    </row>
  </sheetData>
  <mergeCells count="8">
    <mergeCell ref="A32:B32"/>
    <mergeCell ref="A6:C6"/>
    <mergeCell ref="A7:C7"/>
    <mergeCell ref="A10:A11"/>
    <mergeCell ref="B10:B11"/>
    <mergeCell ref="C10:C11"/>
    <mergeCell ref="A16:A17"/>
    <mergeCell ref="C16:C17"/>
  </mergeCells>
  <phoneticPr fontId="5" type="noConversion"/>
  <pageMargins left="1.299212598425197" right="0.31496062992125984" top="0.74803149606299213" bottom="0.74803149606299213" header="0.31496062992125984" footer="0.31496062992125984"/>
  <pageSetup paperSize="9" scale="10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K52"/>
  <sheetViews>
    <sheetView view="pageBreakPreview" topLeftCell="A30" zoomScaleNormal="100" zoomScaleSheetLayoutView="100" workbookViewId="0">
      <selection activeCell="C53" sqref="C53"/>
    </sheetView>
  </sheetViews>
  <sheetFormatPr defaultColWidth="9.140625" defaultRowHeight="15.75"/>
  <cols>
    <col min="1" max="1" width="28.5703125" customWidth="1"/>
    <col min="2" max="2" width="24" style="292" customWidth="1"/>
    <col min="3" max="3" width="25.140625" style="292" customWidth="1"/>
    <col min="4" max="4" width="10.7109375" customWidth="1"/>
    <col min="5" max="5" width="13.42578125" customWidth="1"/>
    <col min="6" max="6" width="12.28515625" customWidth="1"/>
  </cols>
  <sheetData>
    <row r="1" spans="1:5" ht="27" customHeight="1">
      <c r="A1" s="467" t="s">
        <v>299</v>
      </c>
      <c r="B1" s="467"/>
      <c r="C1" s="130" t="str">
        <f>к11екОл!A6</f>
        <v>КАЛЬКУЛЯЦІЯ № 11</v>
      </c>
      <c r="D1" s="137"/>
      <c r="E1" s="137"/>
    </row>
    <row r="2" spans="1:5" ht="71.25" customHeight="1">
      <c r="A2" s="473" t="str">
        <f>к11екОл!A7</f>
        <v>Послуга з організації та проведення поховання померлих одиноких громадян, осіб без певного місця проживання, громадян, від поховання яких відмовилися рідні та знайдених невпізнаних трупів на кладовищах Южненської міської територіальної громади Одеського району Одеської області в літку</v>
      </c>
      <c r="B2" s="473"/>
      <c r="C2" s="473"/>
      <c r="D2" s="473"/>
      <c r="E2" s="473"/>
    </row>
    <row r="3" spans="1:5" ht="56.25" customHeight="1">
      <c r="A3" s="454" t="s">
        <v>321</v>
      </c>
      <c r="B3" s="454"/>
      <c r="C3" s="454"/>
      <c r="D3" s="454"/>
      <c r="E3" s="454"/>
    </row>
    <row r="4" spans="1:5" ht="65.25" customHeight="1">
      <c r="A4" s="447" t="s">
        <v>322</v>
      </c>
      <c r="B4" s="447"/>
      <c r="C4" s="447"/>
      <c r="D4" s="447"/>
      <c r="E4" s="447"/>
    </row>
    <row r="5" spans="1:5" ht="105.75" customHeight="1">
      <c r="A5" s="447" t="s">
        <v>323</v>
      </c>
      <c r="B5" s="447"/>
      <c r="C5" s="447"/>
      <c r="D5" s="447"/>
      <c r="E5" s="447"/>
    </row>
    <row r="6" spans="1:5" ht="84" customHeight="1">
      <c r="A6" s="472" t="s">
        <v>572</v>
      </c>
      <c r="B6" s="472"/>
      <c r="C6" s="472"/>
      <c r="D6" s="472"/>
      <c r="E6" s="472"/>
    </row>
    <row r="7" spans="1:5" ht="7.5" customHeight="1" thickBot="1">
      <c r="A7" s="436"/>
      <c r="B7" s="436"/>
      <c r="C7" s="436"/>
      <c r="D7" s="436"/>
    </row>
    <row r="8" spans="1:5" ht="24" customHeight="1" thickBot="1">
      <c r="A8" s="250" t="s">
        <v>1</v>
      </c>
      <c r="B8" s="183" t="s">
        <v>208</v>
      </c>
      <c r="C8" s="251" t="s">
        <v>266</v>
      </c>
      <c r="D8" s="252" t="s">
        <v>193</v>
      </c>
      <c r="E8" s="138" t="s">
        <v>489</v>
      </c>
    </row>
    <row r="9" spans="1:5" ht="18" customHeight="1">
      <c r="A9" s="418" t="s">
        <v>268</v>
      </c>
      <c r="B9" s="253" t="s">
        <v>286</v>
      </c>
      <c r="C9" s="449" t="s">
        <v>284</v>
      </c>
      <c r="D9" s="449" t="s">
        <v>283</v>
      </c>
      <c r="E9" s="451">
        <f>2.2*1.9*1</f>
        <v>4.18</v>
      </c>
    </row>
    <row r="10" spans="1:5" ht="31.5" customHeight="1" thickBot="1">
      <c r="A10" s="448"/>
      <c r="B10" s="272" t="s">
        <v>313</v>
      </c>
      <c r="C10" s="450"/>
      <c r="D10" s="450"/>
      <c r="E10" s="452"/>
    </row>
    <row r="11" spans="1:5" ht="23.25" customHeight="1" thickBot="1">
      <c r="A11" s="466" t="s">
        <v>480</v>
      </c>
      <c r="B11" s="441"/>
      <c r="C11" s="442"/>
      <c r="D11" s="254"/>
      <c r="E11" s="255"/>
    </row>
    <row r="12" spans="1:5" ht="47.25" customHeight="1" thickBot="1">
      <c r="A12" s="256" t="s">
        <v>314</v>
      </c>
      <c r="B12" s="438" t="s">
        <v>490</v>
      </c>
      <c r="C12" s="257" t="s">
        <v>327</v>
      </c>
      <c r="D12" s="257" t="s">
        <v>316</v>
      </c>
      <c r="E12" s="258">
        <f>ROUND(0.14*E9,2)</f>
        <v>0.59</v>
      </c>
    </row>
    <row r="13" spans="1:5" ht="47.25" customHeight="1" thickBot="1">
      <c r="A13" s="259" t="s">
        <v>315</v>
      </c>
      <c r="B13" s="439"/>
      <c r="C13" s="260" t="s">
        <v>317</v>
      </c>
      <c r="D13" s="257" t="s">
        <v>316</v>
      </c>
      <c r="E13" s="261">
        <v>1</v>
      </c>
    </row>
    <row r="14" spans="1:5" ht="23.25" customHeight="1" thickBot="1">
      <c r="A14" s="466" t="s">
        <v>324</v>
      </c>
      <c r="B14" s="441"/>
      <c r="C14" s="442"/>
      <c r="D14" s="262" t="s">
        <v>56</v>
      </c>
      <c r="E14" s="255">
        <f>E15+E16</f>
        <v>233.01000000000002</v>
      </c>
    </row>
    <row r="15" spans="1:5" ht="33" customHeight="1" thickBot="1">
      <c r="A15" s="256" t="s">
        <v>314</v>
      </c>
      <c r="B15" s="438" t="s">
        <v>319</v>
      </c>
      <c r="C15" s="257" t="s">
        <v>358</v>
      </c>
      <c r="D15" s="262" t="s">
        <v>56</v>
      </c>
      <c r="E15" s="263">
        <f>ROUND(E12*E17*5,2)</f>
        <v>174.02</v>
      </c>
    </row>
    <row r="16" spans="1:5" ht="35.25" customHeight="1" thickBot="1">
      <c r="A16" s="264" t="s">
        <v>362</v>
      </c>
      <c r="B16" s="439"/>
      <c r="C16" s="260" t="s">
        <v>365</v>
      </c>
      <c r="D16" s="262" t="s">
        <v>56</v>
      </c>
      <c r="E16" s="263">
        <f>ROUND(E13*E17*10/10,2)</f>
        <v>58.99</v>
      </c>
    </row>
    <row r="17" spans="1:5" ht="23.25" customHeight="1" thickBot="1">
      <c r="A17" s="265" t="s">
        <v>318</v>
      </c>
      <c r="B17" s="443" t="s">
        <v>320</v>
      </c>
      <c r="C17" s="444"/>
      <c r="D17" s="262" t="s">
        <v>56</v>
      </c>
      <c r="E17" s="141">
        <v>58.99</v>
      </c>
    </row>
    <row r="18" spans="1:5" ht="23.25" customHeight="1" thickBot="1">
      <c r="A18" s="465" t="s">
        <v>482</v>
      </c>
      <c r="B18" s="434"/>
      <c r="C18" s="437"/>
      <c r="D18" s="262" t="s">
        <v>56</v>
      </c>
      <c r="E18" s="255">
        <f>E19+E20</f>
        <v>1268.57</v>
      </c>
    </row>
    <row r="19" spans="1:5" ht="36.75" customHeight="1" thickBot="1">
      <c r="A19" s="266" t="s">
        <v>325</v>
      </c>
      <c r="B19" s="445" t="s">
        <v>326</v>
      </c>
      <c r="C19" s="257" t="s">
        <v>555</v>
      </c>
      <c r="D19" s="262" t="s">
        <v>56</v>
      </c>
      <c r="E19" s="378">
        <f>ROUND(1838.51*E12,2)</f>
        <v>1084.72</v>
      </c>
    </row>
    <row r="20" spans="1:5" ht="32.25" customHeight="1" thickBot="1">
      <c r="A20" s="264" t="s">
        <v>362</v>
      </c>
      <c r="B20" s="446"/>
      <c r="C20" s="267" t="s">
        <v>578</v>
      </c>
      <c r="D20" s="262" t="s">
        <v>56</v>
      </c>
      <c r="E20" s="379">
        <f>ROUND(1838.51*E13/10,2)</f>
        <v>183.85</v>
      </c>
    </row>
    <row r="21" spans="1:5" ht="34.5" customHeight="1" thickBot="1">
      <c r="A21" s="433" t="s">
        <v>483</v>
      </c>
      <c r="B21" s="434"/>
      <c r="C21" s="435"/>
      <c r="D21" s="268" t="s">
        <v>56</v>
      </c>
      <c r="E21" s="379">
        <f>E14+E18</f>
        <v>1501.58</v>
      </c>
    </row>
    <row r="22" spans="1:5" ht="18.75" customHeight="1">
      <c r="A22" s="418" t="s">
        <v>292</v>
      </c>
      <c r="B22" s="253" t="s">
        <v>293</v>
      </c>
      <c r="C22" s="420" t="s">
        <v>359</v>
      </c>
      <c r="D22" s="432" t="s">
        <v>56</v>
      </c>
      <c r="E22" s="424">
        <f>ROUND(E34*2.2*0.1,2)</f>
        <v>17.13</v>
      </c>
    </row>
    <row r="23" spans="1:5" ht="33" customHeight="1" thickBot="1">
      <c r="A23" s="419"/>
      <c r="B23" s="290" t="s">
        <v>271</v>
      </c>
      <c r="C23" s="421"/>
      <c r="D23" s="429"/>
      <c r="E23" s="425"/>
    </row>
    <row r="24" spans="1:5" ht="18.75" customHeight="1">
      <c r="A24" s="418" t="s">
        <v>270</v>
      </c>
      <c r="B24" s="253" t="s">
        <v>295</v>
      </c>
      <c r="C24" s="420" t="s">
        <v>360</v>
      </c>
      <c r="D24" s="432" t="s">
        <v>56</v>
      </c>
      <c r="E24" s="424">
        <f>ROUND(E34*2.2*0.13,2)</f>
        <v>22.27</v>
      </c>
    </row>
    <row r="25" spans="1:5" ht="33" customHeight="1" thickBot="1">
      <c r="A25" s="419"/>
      <c r="B25" s="290" t="s">
        <v>271</v>
      </c>
      <c r="C25" s="421"/>
      <c r="D25" s="429"/>
      <c r="E25" s="425"/>
    </row>
    <row r="26" spans="1:5" ht="18.75" customHeight="1">
      <c r="A26" s="413" t="s">
        <v>328</v>
      </c>
      <c r="B26" s="428" t="s">
        <v>329</v>
      </c>
      <c r="C26" s="430" t="s">
        <v>330</v>
      </c>
      <c r="D26" s="428" t="s">
        <v>285</v>
      </c>
      <c r="E26" s="431">
        <f>ROUND(0.125*((2.2*1)+(2.2+1 )*2*1.9),2)</f>
        <v>1.8</v>
      </c>
    </row>
    <row r="27" spans="1:5" ht="44.25" customHeight="1" thickBot="1">
      <c r="A27" s="413"/>
      <c r="B27" s="429"/>
      <c r="C27" s="430"/>
      <c r="D27" s="429"/>
      <c r="E27" s="431"/>
    </row>
    <row r="28" spans="1:5" ht="34.5" hidden="1" customHeight="1">
      <c r="A28" s="418"/>
      <c r="B28" s="183"/>
      <c r="C28" s="463"/>
      <c r="D28" s="426"/>
      <c r="E28" s="424"/>
    </row>
    <row r="29" spans="1:5" ht="34.5" hidden="1" customHeight="1" thickBot="1">
      <c r="A29" s="419"/>
      <c r="B29" s="289"/>
      <c r="C29" s="464"/>
      <c r="D29" s="427"/>
      <c r="E29" s="425"/>
    </row>
    <row r="30" spans="1:5" ht="18.75" customHeight="1">
      <c r="A30" s="418" t="s">
        <v>272</v>
      </c>
      <c r="B30" s="253" t="s">
        <v>296</v>
      </c>
      <c r="C30" s="420" t="s">
        <v>374</v>
      </c>
      <c r="D30" s="422" t="s">
        <v>285</v>
      </c>
      <c r="E30" s="424">
        <f>ROUND(0.58*E9,2)</f>
        <v>2.42</v>
      </c>
    </row>
    <row r="31" spans="1:5" ht="37.5" customHeight="1" thickBot="1">
      <c r="A31" s="419"/>
      <c r="B31" s="290" t="s">
        <v>273</v>
      </c>
      <c r="C31" s="421"/>
      <c r="D31" s="423"/>
      <c r="E31" s="425"/>
    </row>
    <row r="32" spans="1:5" ht="28.5" customHeight="1" thickBot="1">
      <c r="A32" s="418" t="s">
        <v>301</v>
      </c>
      <c r="B32" s="253" t="s">
        <v>274</v>
      </c>
      <c r="C32" s="172" t="s">
        <v>397</v>
      </c>
      <c r="D32" s="422" t="s">
        <v>285</v>
      </c>
      <c r="E32" s="141">
        <f>E30+E26</f>
        <v>4.22</v>
      </c>
    </row>
    <row r="33" spans="1:11" ht="35.25" customHeight="1" thickBot="1">
      <c r="A33" s="419"/>
      <c r="B33" s="290" t="s">
        <v>275</v>
      </c>
      <c r="C33" s="174" t="s">
        <v>429</v>
      </c>
      <c r="D33" s="423"/>
      <c r="E33" s="182">
        <f>ROUND(E32*1.3,2)</f>
        <v>5.49</v>
      </c>
    </row>
    <row r="34" spans="1:11" ht="51" customHeight="1" thickBot="1">
      <c r="A34" s="270" t="s">
        <v>264</v>
      </c>
      <c r="B34" s="291" t="s">
        <v>289</v>
      </c>
      <c r="C34" s="271"/>
      <c r="D34" s="272" t="s">
        <v>56</v>
      </c>
      <c r="E34" s="142">
        <f>СПР_ШТ!D14</f>
        <v>77.87</v>
      </c>
    </row>
    <row r="35" spans="1:11" ht="113.25" customHeight="1" thickBot="1">
      <c r="A35" s="273" t="s">
        <v>333</v>
      </c>
      <c r="B35" s="257" t="s">
        <v>303</v>
      </c>
      <c r="C35" s="274" t="s">
        <v>430</v>
      </c>
      <c r="D35" s="257" t="s">
        <v>56</v>
      </c>
      <c r="E35" s="141">
        <f>ROUND(E34*E33,2)</f>
        <v>427.51</v>
      </c>
    </row>
    <row r="36" spans="1:11" ht="47.25" customHeight="1" thickBot="1">
      <c r="A36" s="275" t="s">
        <v>276</v>
      </c>
      <c r="B36" s="276"/>
      <c r="C36" s="277" t="s">
        <v>431</v>
      </c>
      <c r="D36" s="183" t="s">
        <v>56</v>
      </c>
      <c r="E36" s="143">
        <f>E35+E24+E22</f>
        <v>466.90999999999997</v>
      </c>
    </row>
    <row r="37" spans="1:11" ht="34.5" customHeight="1" thickBot="1">
      <c r="A37" s="270" t="s">
        <v>277</v>
      </c>
      <c r="B37" s="278">
        <v>0.22</v>
      </c>
      <c r="C37" s="277" t="s">
        <v>432</v>
      </c>
      <c r="D37" s="183" t="s">
        <v>56</v>
      </c>
      <c r="E37" s="185">
        <f>ROUND(E36*0.22,2)</f>
        <v>102.72</v>
      </c>
    </row>
    <row r="38" spans="1:11" ht="33" customHeight="1" thickBot="1">
      <c r="A38" s="279" t="s">
        <v>227</v>
      </c>
      <c r="B38" s="280" t="s">
        <v>290</v>
      </c>
      <c r="C38" s="281"/>
      <c r="D38" s="183" t="s">
        <v>56</v>
      </c>
      <c r="E38" s="185">
        <f>МатВит!G33</f>
        <v>75.739999999999995</v>
      </c>
    </row>
    <row r="39" spans="1:11" ht="32.25" customHeight="1" thickBot="1">
      <c r="A39" s="275" t="s">
        <v>278</v>
      </c>
      <c r="B39" s="280"/>
      <c r="C39" s="277" t="s">
        <v>557</v>
      </c>
      <c r="D39" s="257" t="s">
        <v>56</v>
      </c>
      <c r="E39" s="389">
        <f>E37+E36+E38+E21</f>
        <v>2146.9499999999998</v>
      </c>
    </row>
    <row r="40" spans="1:11" ht="18.75" customHeight="1" thickBot="1">
      <c r="A40" s="282" t="s">
        <v>279</v>
      </c>
      <c r="B40" s="278">
        <v>0.15</v>
      </c>
      <c r="C40" s="277" t="s">
        <v>558</v>
      </c>
      <c r="D40" s="184" t="s">
        <v>56</v>
      </c>
      <c r="E40" s="381">
        <f>ROUND(E39*0.15,2)</f>
        <v>322.04000000000002</v>
      </c>
    </row>
    <row r="41" spans="1:11" ht="18.75" customHeight="1" thickBot="1">
      <c r="A41" s="282" t="s">
        <v>298</v>
      </c>
      <c r="B41" s="278">
        <v>0</v>
      </c>
      <c r="C41" s="277"/>
      <c r="D41" s="184" t="s">
        <v>56</v>
      </c>
      <c r="E41" s="185">
        <v>0</v>
      </c>
    </row>
    <row r="42" spans="1:11" ht="18.75" customHeight="1" thickBot="1">
      <c r="A42" s="282" t="s">
        <v>280</v>
      </c>
      <c r="B42" s="280" t="s">
        <v>297</v>
      </c>
      <c r="C42" s="281"/>
      <c r="D42" s="184" t="s">
        <v>56</v>
      </c>
      <c r="E42" s="185">
        <f>ОпВитратиРоз3!D12</f>
        <v>67.489999999999995</v>
      </c>
    </row>
    <row r="43" spans="1:11" ht="33" customHeight="1" thickBot="1">
      <c r="A43" s="393"/>
      <c r="B43" s="394"/>
      <c r="C43" s="174" t="s">
        <v>600</v>
      </c>
      <c r="D43" s="184" t="s">
        <v>56</v>
      </c>
      <c r="E43" s="382">
        <f>E39+E40+E42+E41</f>
        <v>2536.4799999999996</v>
      </c>
    </row>
    <row r="44" spans="1:11" ht="24" customHeight="1" thickBot="1">
      <c r="A44" s="265" t="s">
        <v>281</v>
      </c>
      <c r="B44" s="398">
        <v>0</v>
      </c>
      <c r="C44" s="395"/>
      <c r="D44" s="184" t="s">
        <v>56</v>
      </c>
      <c r="E44" s="185">
        <f>ROUND(E43*B43,2)</f>
        <v>0</v>
      </c>
    </row>
    <row r="45" spans="1:11" ht="24.75" customHeight="1" thickBot="1">
      <c r="A45" s="283" t="s">
        <v>282</v>
      </c>
      <c r="B45" s="284"/>
      <c r="C45" s="277"/>
      <c r="D45" s="184" t="s">
        <v>56</v>
      </c>
      <c r="E45" s="144">
        <f>E44+E43</f>
        <v>2536.4799999999996</v>
      </c>
    </row>
    <row r="46" spans="1:11">
      <c r="A46" s="130"/>
    </row>
    <row r="47" spans="1:11">
      <c r="A47" s="285"/>
    </row>
    <row r="48" spans="1:11" s="44" customFormat="1">
      <c r="A48" s="45" t="s">
        <v>168</v>
      </c>
      <c r="B48" s="48"/>
      <c r="C48" s="45"/>
      <c r="D48" s="45" t="s">
        <v>169</v>
      </c>
      <c r="F48" s="60"/>
      <c r="G48" s="176"/>
      <c r="H48" s="176"/>
      <c r="I48" s="176"/>
      <c r="J48" s="177"/>
      <c r="K48" s="178"/>
    </row>
    <row r="49" spans="1:1">
      <c r="A49" s="130"/>
    </row>
    <row r="50" spans="1:1">
      <c r="A50" s="285"/>
    </row>
    <row r="51" spans="1:1">
      <c r="A51" s="130"/>
    </row>
    <row r="52" spans="1:1">
      <c r="A52" s="286"/>
    </row>
  </sheetData>
  <mergeCells count="42">
    <mergeCell ref="B12:B13"/>
    <mergeCell ref="B17:C17"/>
    <mergeCell ref="B15:B16"/>
    <mergeCell ref="A11:C11"/>
    <mergeCell ref="C9:C10"/>
    <mergeCell ref="A14:C14"/>
    <mergeCell ref="A5:E5"/>
    <mergeCell ref="E9:E10"/>
    <mergeCell ref="A1:B1"/>
    <mergeCell ref="A2:E2"/>
    <mergeCell ref="A3:E3"/>
    <mergeCell ref="A4:E4"/>
    <mergeCell ref="A6:E6"/>
    <mergeCell ref="D9:D10"/>
    <mergeCell ref="A9:A10"/>
    <mergeCell ref="A7:D7"/>
    <mergeCell ref="E22:E23"/>
    <mergeCell ref="A18:C18"/>
    <mergeCell ref="B19:B20"/>
    <mergeCell ref="A21:C21"/>
    <mergeCell ref="A22:A23"/>
    <mergeCell ref="C22:C23"/>
    <mergeCell ref="D22:D23"/>
    <mergeCell ref="D32:D33"/>
    <mergeCell ref="A30:A31"/>
    <mergeCell ref="C30:C31"/>
    <mergeCell ref="D30:D31"/>
    <mergeCell ref="E28:E29"/>
    <mergeCell ref="C28:C29"/>
    <mergeCell ref="A32:A33"/>
    <mergeCell ref="D26:D27"/>
    <mergeCell ref="D28:D29"/>
    <mergeCell ref="E24:E25"/>
    <mergeCell ref="E30:E31"/>
    <mergeCell ref="A24:A25"/>
    <mergeCell ref="C24:C25"/>
    <mergeCell ref="D24:D25"/>
    <mergeCell ref="E26:E27"/>
    <mergeCell ref="A28:A29"/>
    <mergeCell ref="A26:A27"/>
    <mergeCell ref="B26:B27"/>
    <mergeCell ref="C26:C27"/>
  </mergeCells>
  <phoneticPr fontId="5" type="noConversion"/>
  <pageMargins left="0.9055118110236221" right="0.31496062992125984" top="0.55118110236220474" bottom="0.35433070866141736" header="0.31496062992125984" footer="0.31496062992125984"/>
  <pageSetup paperSize="9" scale="88" orientation="portrait" blackAndWhite="1" horizontalDpi="300" verticalDpi="300" r:id="rId1"/>
  <rowBreaks count="1" manualBreakCount="1">
    <brk id="2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F27"/>
  <sheetViews>
    <sheetView view="pageBreakPreview" topLeftCell="A19" zoomScaleNormal="100" zoomScaleSheetLayoutView="100" workbookViewId="0">
      <selection activeCell="H13" sqref="H13"/>
    </sheetView>
  </sheetViews>
  <sheetFormatPr defaultColWidth="9.140625" defaultRowHeight="15"/>
  <cols>
    <col min="1" max="1" width="4.140625" style="76" customWidth="1"/>
    <col min="2" max="2" width="44" style="76" customWidth="1"/>
    <col min="3" max="3" width="10.28515625" style="76" customWidth="1"/>
    <col min="4" max="4" width="6.28515625" style="76" customWidth="1"/>
    <col min="5" max="5" width="8.5703125" style="76" customWidth="1"/>
    <col min="6" max="6" width="11.140625" style="76" customWidth="1"/>
    <col min="7" max="16384" width="9.140625" style="76"/>
  </cols>
  <sheetData>
    <row r="1" spans="1:6" ht="77.25" customHeight="1">
      <c r="A1" s="468" t="s">
        <v>452</v>
      </c>
      <c r="B1" s="468"/>
      <c r="C1" s="468"/>
      <c r="D1" s="468"/>
      <c r="E1" s="468"/>
      <c r="F1" s="468"/>
    </row>
    <row r="2" spans="1:6" ht="17.25" thickBot="1">
      <c r="A2" s="330"/>
    </row>
    <row r="3" spans="1:6" ht="38.25" customHeight="1" thickBot="1">
      <c r="A3" s="331" t="s">
        <v>68</v>
      </c>
      <c r="B3" s="332" t="s">
        <v>467</v>
      </c>
      <c r="C3" s="331" t="s">
        <v>71</v>
      </c>
      <c r="D3" s="331" t="s">
        <v>469</v>
      </c>
      <c r="E3" s="333" t="s">
        <v>468</v>
      </c>
      <c r="F3" s="331" t="s">
        <v>453</v>
      </c>
    </row>
    <row r="4" spans="1:6" ht="23.25" customHeight="1" thickBot="1">
      <c r="A4" s="469" t="s">
        <v>454</v>
      </c>
      <c r="B4" s="470"/>
      <c r="C4" s="470"/>
      <c r="D4" s="470"/>
      <c r="E4" s="470"/>
      <c r="F4" s="471"/>
    </row>
    <row r="5" spans="1:6" ht="23.25" customHeight="1" thickBot="1">
      <c r="A5" s="186">
        <v>1</v>
      </c>
      <c r="B5" s="334" t="s">
        <v>455</v>
      </c>
      <c r="C5" s="190" t="s">
        <v>456</v>
      </c>
      <c r="D5" s="191">
        <v>1</v>
      </c>
      <c r="E5" s="191">
        <v>1280</v>
      </c>
      <c r="F5" s="193">
        <f>E5*D5</f>
        <v>1280</v>
      </c>
    </row>
    <row r="6" spans="1:6" ht="23.25" customHeight="1" thickBot="1">
      <c r="A6" s="186">
        <v>2</v>
      </c>
      <c r="B6" s="334" t="s">
        <v>457</v>
      </c>
      <c r="C6" s="190" t="s">
        <v>456</v>
      </c>
      <c r="D6" s="191">
        <v>1</v>
      </c>
      <c r="E6" s="191">
        <f>1120-E7</f>
        <v>920</v>
      </c>
      <c r="F6" s="193">
        <f>E6*D6</f>
        <v>920</v>
      </c>
    </row>
    <row r="7" spans="1:6" ht="23.25" customHeight="1" thickBot="1">
      <c r="A7" s="186">
        <v>3</v>
      </c>
      <c r="B7" s="334" t="s">
        <v>458</v>
      </c>
      <c r="C7" s="190" t="s">
        <v>456</v>
      </c>
      <c r="D7" s="191">
        <v>1</v>
      </c>
      <c r="E7" s="191">
        <v>200</v>
      </c>
      <c r="F7" s="193">
        <f>E7*D7</f>
        <v>200</v>
      </c>
    </row>
    <row r="8" spans="1:6" ht="32.25" customHeight="1" thickBot="1">
      <c r="A8" s="186">
        <v>4</v>
      </c>
      <c r="B8" s="335" t="s">
        <v>459</v>
      </c>
      <c r="C8" s="190" t="s">
        <v>456</v>
      </c>
      <c r="D8" s="191">
        <v>2</v>
      </c>
      <c r="E8" s="191">
        <v>575</v>
      </c>
      <c r="F8" s="193">
        <f>E8*D8</f>
        <v>1150</v>
      </c>
    </row>
    <row r="9" spans="1:6" ht="23.25" customHeight="1" thickBot="1">
      <c r="A9" s="186"/>
      <c r="B9" s="334" t="s">
        <v>470</v>
      </c>
      <c r="C9" s="190"/>
      <c r="D9" s="191"/>
      <c r="E9" s="191"/>
      <c r="F9" s="374">
        <f>F8+F7+F6+F5</f>
        <v>3550</v>
      </c>
    </row>
    <row r="10" spans="1:6" ht="23.25" customHeight="1" thickBot="1">
      <c r="A10" s="469" t="s">
        <v>460</v>
      </c>
      <c r="B10" s="470"/>
      <c r="C10" s="470"/>
      <c r="D10" s="470"/>
      <c r="E10" s="470"/>
      <c r="F10" s="471"/>
    </row>
    <row r="11" spans="1:6" ht="45.75" customHeight="1" thickBot="1">
      <c r="A11" s="186">
        <v>1</v>
      </c>
      <c r="B11" s="334" t="s">
        <v>461</v>
      </c>
      <c r="C11" s="190" t="s">
        <v>462</v>
      </c>
      <c r="D11" s="191">
        <v>2</v>
      </c>
      <c r="E11" s="191">
        <v>2200</v>
      </c>
      <c r="F11" s="193">
        <f t="shared" ref="F11:F16" si="0">E11*D11</f>
        <v>4400</v>
      </c>
    </row>
    <row r="12" spans="1:6" ht="31.5" customHeight="1" thickBot="1">
      <c r="A12" s="186">
        <v>2</v>
      </c>
      <c r="B12" s="334" t="s">
        <v>463</v>
      </c>
      <c r="C12" s="190" t="s">
        <v>462</v>
      </c>
      <c r="D12" s="191">
        <v>2</v>
      </c>
      <c r="E12" s="191">
        <v>850</v>
      </c>
      <c r="F12" s="193">
        <f t="shared" si="0"/>
        <v>1700</v>
      </c>
    </row>
    <row r="13" spans="1:6" s="328" customFormat="1" ht="28.15" customHeight="1" thickBot="1">
      <c r="A13" s="186">
        <v>4</v>
      </c>
      <c r="B13" s="189" t="s">
        <v>40</v>
      </c>
      <c r="C13" s="190" t="s">
        <v>462</v>
      </c>
      <c r="D13" s="191">
        <v>1</v>
      </c>
      <c r="E13" s="192">
        <f>ROUND(К1договор!C23,0)</f>
        <v>27</v>
      </c>
      <c r="F13" s="336">
        <f t="shared" si="0"/>
        <v>27</v>
      </c>
    </row>
    <row r="14" spans="1:6" s="328" customFormat="1" ht="25.9" customHeight="1" thickBot="1">
      <c r="A14" s="186">
        <v>5</v>
      </c>
      <c r="B14" s="189" t="s">
        <v>357</v>
      </c>
      <c r="C14" s="190" t="s">
        <v>462</v>
      </c>
      <c r="D14" s="191">
        <v>1</v>
      </c>
      <c r="E14" s="192">
        <f>ROUND('К2свид-во'!C23,0)</f>
        <v>18</v>
      </c>
      <c r="F14" s="336">
        <f t="shared" si="0"/>
        <v>18</v>
      </c>
    </row>
    <row r="15" spans="1:6" ht="91.5" customHeight="1" thickBot="1">
      <c r="A15" s="186">
        <v>3</v>
      </c>
      <c r="B15" s="189" t="s">
        <v>514</v>
      </c>
      <c r="C15" s="190" t="s">
        <v>462</v>
      </c>
      <c r="D15" s="191">
        <v>1</v>
      </c>
      <c r="E15" s="192">
        <f>ROUND(Роз11єкОл!E45,0)</f>
        <v>2536</v>
      </c>
      <c r="F15" s="336">
        <f t="shared" si="0"/>
        <v>2536</v>
      </c>
    </row>
    <row r="16" spans="1:6" ht="91.5" customHeight="1" thickBot="1">
      <c r="A16" s="186">
        <v>4</v>
      </c>
      <c r="B16" s="189" t="s">
        <v>513</v>
      </c>
      <c r="C16" s="190" t="s">
        <v>462</v>
      </c>
      <c r="D16" s="191">
        <v>1</v>
      </c>
      <c r="E16" s="192">
        <f>ROUND(Роз12єкОз!E45,0)</f>
        <v>2566</v>
      </c>
      <c r="F16" s="336">
        <f t="shared" si="0"/>
        <v>2566</v>
      </c>
    </row>
    <row r="17" spans="1:6" s="328" customFormat="1" ht="23.25" customHeight="1" thickBot="1">
      <c r="A17" s="186"/>
      <c r="B17" s="334" t="s">
        <v>602</v>
      </c>
      <c r="C17" s="190"/>
      <c r="D17" s="191"/>
      <c r="E17" s="191"/>
      <c r="F17" s="399">
        <f>SUM(F11:F15)</f>
        <v>8681</v>
      </c>
    </row>
    <row r="18" spans="1:6" s="328" customFormat="1" ht="23.25" customHeight="1" thickBot="1">
      <c r="A18" s="186"/>
      <c r="B18" s="334" t="s">
        <v>603</v>
      </c>
      <c r="C18" s="190"/>
      <c r="D18" s="191"/>
      <c r="E18" s="191"/>
      <c r="F18" s="399">
        <f>SUM(F11:F14,F16)</f>
        <v>8711</v>
      </c>
    </row>
    <row r="19" spans="1:6" ht="23.25" customHeight="1" thickBot="1">
      <c r="A19" s="186"/>
      <c r="B19" s="334" t="s">
        <v>464</v>
      </c>
      <c r="C19" s="190"/>
      <c r="D19" s="191"/>
      <c r="E19" s="191"/>
      <c r="F19" s="336">
        <f>F9+F11+F12+F13+F14+F15</f>
        <v>12231</v>
      </c>
    </row>
    <row r="20" spans="1:6" ht="23.25" customHeight="1" thickBot="1">
      <c r="A20" s="186"/>
      <c r="B20" s="334" t="s">
        <v>465</v>
      </c>
      <c r="C20" s="190"/>
      <c r="D20" s="191"/>
      <c r="E20" s="191"/>
      <c r="F20" s="336">
        <f>F9+F11+F12+F13+F14+F16</f>
        <v>12261</v>
      </c>
    </row>
    <row r="21" spans="1:6">
      <c r="A21" s="337"/>
      <c r="B21" s="337"/>
      <c r="C21" s="337"/>
      <c r="D21" s="337"/>
      <c r="E21" s="337"/>
      <c r="F21" s="337"/>
    </row>
    <row r="22" spans="1:6" ht="16.5">
      <c r="A22" s="338" t="s">
        <v>466</v>
      </c>
    </row>
    <row r="23" spans="1:6">
      <c r="A23" s="403" t="s">
        <v>55</v>
      </c>
      <c r="B23" s="403"/>
      <c r="C23" s="70" t="s">
        <v>528</v>
      </c>
    </row>
    <row r="24" spans="1:6" ht="16.5">
      <c r="A24" s="338"/>
    </row>
    <row r="25" spans="1:6" ht="16.5">
      <c r="A25" s="338"/>
    </row>
    <row r="26" spans="1:6" ht="16.5">
      <c r="A26" s="338"/>
    </row>
    <row r="27" spans="1:6">
      <c r="A27" s="340"/>
    </row>
  </sheetData>
  <mergeCells count="4">
    <mergeCell ref="A1:F1"/>
    <mergeCell ref="A4:F4"/>
    <mergeCell ref="A10:F10"/>
    <mergeCell ref="A23:B23"/>
  </mergeCells>
  <phoneticPr fontId="5" type="noConversion"/>
  <pageMargins left="1.299212598425197" right="0.11811023622047245" top="0.74803149606299213" bottom="0.74803149606299213" header="0.31496062992125984" footer="0.31496062992125984"/>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499984740745262"/>
  </sheetPr>
  <dimension ref="A1:C31"/>
  <sheetViews>
    <sheetView view="pageBreakPreview" topLeftCell="A22" zoomScaleNormal="100" zoomScaleSheetLayoutView="100" workbookViewId="0">
      <selection activeCell="G41" sqref="G41"/>
    </sheetView>
  </sheetViews>
  <sheetFormatPr defaultRowHeight="15"/>
  <cols>
    <col min="1" max="1" width="5.85546875" customWidth="1"/>
    <col min="2" max="2" width="45.140625" customWidth="1"/>
    <col min="3" max="3" width="19.140625" customWidth="1"/>
    <col min="4" max="4" width="7.42578125" customWidth="1"/>
  </cols>
  <sheetData>
    <row r="1" spans="1:3" ht="12" customHeight="1">
      <c r="C1" s="80" t="s">
        <v>34</v>
      </c>
    </row>
    <row r="2" spans="1:3" ht="13.15" customHeight="1">
      <c r="C2" s="80" t="s">
        <v>35</v>
      </c>
    </row>
    <row r="3" spans="1:3" ht="9" customHeight="1">
      <c r="C3" s="80" t="s">
        <v>36</v>
      </c>
    </row>
    <row r="4" spans="1:3" ht="9" customHeight="1">
      <c r="C4" s="80" t="s">
        <v>37</v>
      </c>
    </row>
    <row r="5" spans="1:3" ht="9" customHeight="1">
      <c r="C5" s="80" t="s">
        <v>38</v>
      </c>
    </row>
    <row r="6" spans="1:3" ht="26.25" customHeight="1">
      <c r="A6" s="404" t="s">
        <v>120</v>
      </c>
      <c r="B6" s="404"/>
      <c r="C6" s="404"/>
    </row>
    <row r="7" spans="1:3" ht="34.5" customHeight="1">
      <c r="A7" s="490" t="s">
        <v>343</v>
      </c>
      <c r="B7" s="490"/>
      <c r="C7" s="490"/>
    </row>
    <row r="8" spans="1:3" ht="9" customHeight="1"/>
    <row r="9" spans="1:3" ht="9" customHeight="1"/>
    <row r="10" spans="1:3" ht="14.45" customHeight="1">
      <c r="A10" s="406" t="s">
        <v>33</v>
      </c>
      <c r="B10" s="408" t="s">
        <v>1</v>
      </c>
      <c r="C10" s="408" t="s">
        <v>2</v>
      </c>
    </row>
    <row r="11" spans="1:3" ht="14.45" customHeight="1">
      <c r="A11" s="407"/>
      <c r="B11" s="408"/>
      <c r="C11" s="408"/>
    </row>
    <row r="12" spans="1:3" ht="20.25" customHeight="1">
      <c r="A12" s="1">
        <v>1</v>
      </c>
      <c r="B12" s="2" t="s">
        <v>3</v>
      </c>
      <c r="C12" s="3">
        <f>C13+C18</f>
        <v>887.66000000000008</v>
      </c>
    </row>
    <row r="13" spans="1:3" ht="19.5" customHeight="1">
      <c r="A13" s="1" t="s">
        <v>13</v>
      </c>
      <c r="B13" s="2" t="s">
        <v>4</v>
      </c>
      <c r="C13" s="131">
        <f>C14+C15+C16</f>
        <v>683.48</v>
      </c>
    </row>
    <row r="14" spans="1:3" ht="36" customHeight="1">
      <c r="A14" s="1" t="s">
        <v>14</v>
      </c>
      <c r="B14" s="2" t="s">
        <v>202</v>
      </c>
      <c r="C14" s="131">
        <f>МатВит!G33</f>
        <v>75.739999999999995</v>
      </c>
    </row>
    <row r="15" spans="1:3" ht="27.75" customHeight="1">
      <c r="A15" s="1" t="s">
        <v>22</v>
      </c>
      <c r="B15" s="2" t="s">
        <v>27</v>
      </c>
      <c r="C15" s="131">
        <f>Роз10!E31</f>
        <v>498.15000000000003</v>
      </c>
    </row>
    <row r="16" spans="1:3" ht="17.25" customHeight="1">
      <c r="A16" s="486" t="s">
        <v>23</v>
      </c>
      <c r="B16" s="2" t="s">
        <v>5</v>
      </c>
      <c r="C16" s="488">
        <f>ROUND(C15*22%,2)</f>
        <v>109.59</v>
      </c>
    </row>
    <row r="17" spans="1:3" ht="36.75" customHeight="1">
      <c r="A17" s="487"/>
      <c r="B17" s="2" t="s">
        <v>6</v>
      </c>
      <c r="C17" s="489"/>
    </row>
    <row r="18" spans="1:3" ht="19.5" customHeight="1">
      <c r="A18" s="1" t="s">
        <v>24</v>
      </c>
      <c r="B18" s="2" t="s">
        <v>7</v>
      </c>
      <c r="C18" s="131">
        <f>C21+C20+C19</f>
        <v>204.18</v>
      </c>
    </row>
    <row r="19" spans="1:3" ht="32.450000000000003" customHeight="1">
      <c r="A19" s="1" t="s">
        <v>85</v>
      </c>
      <c r="B19" s="2" t="s">
        <v>84</v>
      </c>
      <c r="C19" s="131">
        <f>ROUND(C13*15%,2)</f>
        <v>102.52</v>
      </c>
    </row>
    <row r="20" spans="1:3" ht="24" customHeight="1">
      <c r="A20" s="1" t="s">
        <v>87</v>
      </c>
      <c r="B20" s="2" t="s">
        <v>86</v>
      </c>
      <c r="C20" s="131">
        <f>ROUND(C13*5%,2)</f>
        <v>34.17</v>
      </c>
    </row>
    <row r="21" spans="1:3" ht="24" customHeight="1">
      <c r="A21" s="1" t="s">
        <v>88</v>
      </c>
      <c r="B21" s="2" t="s">
        <v>28</v>
      </c>
      <c r="C21" s="131">
        <f>ОпВитратиРоз3!D12</f>
        <v>67.489999999999995</v>
      </c>
    </row>
    <row r="22" spans="1:3" ht="24" customHeight="1">
      <c r="A22" s="1">
        <v>2</v>
      </c>
      <c r="B22" s="2" t="s">
        <v>29</v>
      </c>
      <c r="C22" s="131"/>
    </row>
    <row r="23" spans="1:3" ht="21" customHeight="1">
      <c r="A23" s="1" t="s">
        <v>89</v>
      </c>
      <c r="B23" s="2" t="s">
        <v>30</v>
      </c>
      <c r="C23" s="131">
        <f>C13+C18</f>
        <v>887.66000000000008</v>
      </c>
    </row>
    <row r="24" spans="1:3" ht="34.15" customHeight="1">
      <c r="A24" s="1" t="s">
        <v>90</v>
      </c>
      <c r="B24" s="2" t="s">
        <v>9</v>
      </c>
      <c r="C24" s="131">
        <f>ROUND(C23*12%,2)</f>
        <v>106.52</v>
      </c>
    </row>
    <row r="25" spans="1:3" ht="21" customHeight="1">
      <c r="A25" s="1" t="s">
        <v>91</v>
      </c>
      <c r="B25" s="2" t="s">
        <v>31</v>
      </c>
      <c r="C25" s="131">
        <f>C23+C24</f>
        <v>994.18000000000006</v>
      </c>
    </row>
    <row r="26" spans="1:3" ht="30" customHeight="1">
      <c r="A26" s="1" t="s">
        <v>92</v>
      </c>
      <c r="B26" s="2" t="s">
        <v>11</v>
      </c>
      <c r="C26" s="132">
        <v>1</v>
      </c>
    </row>
    <row r="27" spans="1:3" ht="21" customHeight="1">
      <c r="A27" s="1" t="s">
        <v>93</v>
      </c>
      <c r="B27" s="2" t="s">
        <v>32</v>
      </c>
      <c r="C27" s="133">
        <f>C25*C26</f>
        <v>994.18000000000006</v>
      </c>
    </row>
    <row r="29" spans="1:3" s="25" customFormat="1" ht="15.75">
      <c r="A29" s="130" t="s">
        <v>612</v>
      </c>
    </row>
    <row r="31" spans="1:3" s="25" customFormat="1">
      <c r="A31" s="403" t="s">
        <v>55</v>
      </c>
      <c r="B31" s="403"/>
      <c r="C31" s="6" t="s">
        <v>528</v>
      </c>
    </row>
  </sheetData>
  <mergeCells count="8">
    <mergeCell ref="A31:B31"/>
    <mergeCell ref="A16:A17"/>
    <mergeCell ref="C16:C17"/>
    <mergeCell ref="A6:C6"/>
    <mergeCell ref="A7:C7"/>
    <mergeCell ref="A10:A11"/>
    <mergeCell ref="B10:B11"/>
    <mergeCell ref="C10:C11"/>
  </mergeCells>
  <phoneticPr fontId="5" type="noConversion"/>
  <pageMargins left="1.299212598425197" right="0.31496062992125984" top="0.74803149606299213" bottom="0.74803149606299213" header="0.31496062992125984" footer="0.31496062992125984"/>
  <pageSetup paperSize="9" scale="109" orientation="portrait" blackAndWhite="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499984740745262"/>
  </sheetPr>
  <dimension ref="A1:K47"/>
  <sheetViews>
    <sheetView view="pageBreakPreview" topLeftCell="A33" zoomScaleNormal="100" zoomScaleSheetLayoutView="100" workbookViewId="0">
      <selection activeCell="E14" sqref="E14"/>
    </sheetView>
  </sheetViews>
  <sheetFormatPr defaultColWidth="9.140625" defaultRowHeight="15.75"/>
  <cols>
    <col min="1" max="1" width="31.7109375" style="292" customWidth="1"/>
    <col min="2" max="2" width="22.28515625" style="292" customWidth="1"/>
    <col min="3" max="3" width="22.85546875" style="311" customWidth="1"/>
    <col min="4" max="4" width="10.85546875" style="292" customWidth="1"/>
    <col min="5" max="5" width="15.28515625" style="327" customWidth="1"/>
    <col min="6" max="16384" width="9.140625" style="292"/>
  </cols>
  <sheetData>
    <row r="1" spans="1:5" ht="22.5" customHeight="1">
      <c r="A1" s="453" t="s">
        <v>299</v>
      </c>
      <c r="B1" s="453"/>
      <c r="C1" s="179" t="str">
        <f>К10урнаЗ!A6</f>
        <v>КАЛЬКУЛЯЦІЯ № 10</v>
      </c>
      <c r="D1" s="130"/>
      <c r="E1" s="323"/>
    </row>
    <row r="2" spans="1:5" ht="33.75" customHeight="1">
      <c r="A2" s="454" t="str">
        <f>К10урнаЗ!A7</f>
        <v>Поховання та підпоховання урни з прахом померлих в зимку                                                                                                    у колумбарну нішу, в існуючу могилу, у землю могилу, у землю</v>
      </c>
      <c r="B2" s="454"/>
      <c r="C2" s="454"/>
      <c r="D2" s="454"/>
      <c r="E2" s="454"/>
    </row>
    <row r="3" spans="1:5" ht="46.5" customHeight="1">
      <c r="A3" s="500" t="s">
        <v>265</v>
      </c>
      <c r="B3" s="500"/>
      <c r="C3" s="500"/>
      <c r="D3" s="500"/>
      <c r="E3" s="500"/>
    </row>
    <row r="4" spans="1:5" ht="81" customHeight="1" thickBot="1">
      <c r="A4" s="501" t="s">
        <v>345</v>
      </c>
      <c r="B4" s="501"/>
      <c r="C4" s="501"/>
      <c r="D4" s="501"/>
      <c r="E4" s="501"/>
    </row>
    <row r="5" spans="1:5" ht="7.5" hidden="1" customHeight="1" thickBot="1">
      <c r="A5" s="304"/>
    </row>
    <row r="6" spans="1:5" ht="5.25" hidden="1" customHeight="1" thickBot="1">
      <c r="A6" s="436"/>
      <c r="B6" s="436"/>
      <c r="C6" s="436"/>
      <c r="D6" s="436"/>
    </row>
    <row r="7" spans="1:5" ht="18.75" customHeight="1" thickBot="1">
      <c r="A7" s="250" t="s">
        <v>1</v>
      </c>
      <c r="B7" s="257" t="s">
        <v>208</v>
      </c>
      <c r="C7" s="310" t="s">
        <v>266</v>
      </c>
      <c r="D7" s="252" t="s">
        <v>193</v>
      </c>
      <c r="E7" s="324" t="s">
        <v>489</v>
      </c>
    </row>
    <row r="8" spans="1:5" ht="20.25" customHeight="1">
      <c r="A8" s="414" t="s">
        <v>268</v>
      </c>
      <c r="B8" s="269" t="s">
        <v>341</v>
      </c>
      <c r="C8" s="492" t="s">
        <v>342</v>
      </c>
      <c r="D8" s="494" t="s">
        <v>283</v>
      </c>
      <c r="E8" s="497">
        <f>0.8*0.8*0.8</f>
        <v>0.51200000000000012</v>
      </c>
    </row>
    <row r="9" spans="1:5" ht="7.5" customHeight="1" thickBot="1">
      <c r="A9" s="448"/>
      <c r="B9" s="427" t="s">
        <v>510</v>
      </c>
      <c r="C9" s="493"/>
      <c r="D9" s="450"/>
      <c r="E9" s="498"/>
    </row>
    <row r="10" spans="1:5" ht="18.75" customHeight="1">
      <c r="A10" s="418" t="s">
        <v>215</v>
      </c>
      <c r="B10" s="427"/>
      <c r="C10" s="492" t="s">
        <v>346</v>
      </c>
      <c r="D10" s="426" t="s">
        <v>283</v>
      </c>
      <c r="E10" s="424">
        <f>ROUND(0.8*0.8*0.5,3)</f>
        <v>0.32</v>
      </c>
    </row>
    <row r="11" spans="1:5" ht="11.25" customHeight="1" thickBot="1">
      <c r="A11" s="419"/>
      <c r="B11" s="427"/>
      <c r="C11" s="493"/>
      <c r="D11" s="499"/>
      <c r="E11" s="425"/>
    </row>
    <row r="12" spans="1:5" ht="17.25" customHeight="1" thickBot="1">
      <c r="A12" s="265" t="s">
        <v>219</v>
      </c>
      <c r="B12" s="423"/>
      <c r="C12" s="492" t="s">
        <v>347</v>
      </c>
      <c r="D12" s="262" t="s">
        <v>283</v>
      </c>
      <c r="E12" s="495">
        <f>ROUND(0.8*0.8*0.3,3)</f>
        <v>0.192</v>
      </c>
    </row>
    <row r="13" spans="1:5" ht="26.25" hidden="1" customHeight="1">
      <c r="A13" s="305"/>
      <c r="B13" s="269"/>
      <c r="C13" s="493"/>
      <c r="D13" s="307"/>
      <c r="E13" s="496"/>
    </row>
    <row r="14" spans="1:5" ht="26.25" hidden="1" customHeight="1">
      <c r="A14" s="305"/>
      <c r="B14" s="269"/>
      <c r="C14" s="325"/>
      <c r="D14" s="307"/>
      <c r="E14" s="326"/>
    </row>
    <row r="15" spans="1:5" ht="15.75" customHeight="1">
      <c r="A15" s="414" t="s">
        <v>292</v>
      </c>
      <c r="B15" s="269" t="s">
        <v>293</v>
      </c>
      <c r="C15" s="502" t="s">
        <v>448</v>
      </c>
      <c r="D15" s="432" t="s">
        <v>56</v>
      </c>
      <c r="E15" s="506">
        <f>ROUND(E29*0.8*0.8*0.1,2)</f>
        <v>4.9800000000000004</v>
      </c>
    </row>
    <row r="16" spans="1:5" ht="15.75" customHeight="1" thickBot="1">
      <c r="A16" s="415"/>
      <c r="B16" s="287" t="s">
        <v>496</v>
      </c>
      <c r="C16" s="503"/>
      <c r="D16" s="429"/>
      <c r="E16" s="507"/>
    </row>
    <row r="17" spans="1:5" ht="15.75" customHeight="1">
      <c r="A17" s="414" t="s">
        <v>270</v>
      </c>
      <c r="B17" s="269" t="s">
        <v>295</v>
      </c>
      <c r="C17" s="502" t="s">
        <v>449</v>
      </c>
      <c r="D17" s="432" t="s">
        <v>56</v>
      </c>
      <c r="E17" s="504">
        <f>ROUND(E29*0.8*0.8*0.13,2)</f>
        <v>6.48</v>
      </c>
    </row>
    <row r="18" spans="1:5" ht="15.75" customHeight="1" thickBot="1">
      <c r="A18" s="415"/>
      <c r="B18" s="287" t="s">
        <v>496</v>
      </c>
      <c r="C18" s="503"/>
      <c r="D18" s="429"/>
      <c r="E18" s="505"/>
    </row>
    <row r="19" spans="1:5" ht="18.75" customHeight="1">
      <c r="A19" s="508" t="s">
        <v>300</v>
      </c>
      <c r="B19" s="509" t="s">
        <v>511</v>
      </c>
      <c r="C19" s="511" t="s">
        <v>311</v>
      </c>
      <c r="D19" s="426" t="s">
        <v>339</v>
      </c>
      <c r="E19" s="491">
        <f>ROUND((E21+E23),2)</f>
        <v>4.41</v>
      </c>
    </row>
    <row r="20" spans="1:5" ht="21" customHeight="1" thickBot="1">
      <c r="A20" s="413"/>
      <c r="B20" s="510"/>
      <c r="C20" s="512"/>
      <c r="D20" s="427"/>
      <c r="E20" s="431"/>
    </row>
    <row r="21" spans="1:5" ht="34.5" customHeight="1">
      <c r="A21" s="418" t="s">
        <v>491</v>
      </c>
      <c r="B21" s="183" t="s">
        <v>309</v>
      </c>
      <c r="C21" s="420" t="s">
        <v>348</v>
      </c>
      <c r="D21" s="426" t="s">
        <v>339</v>
      </c>
      <c r="E21" s="424">
        <f>ROUND(E10*9.4*1.3,2)</f>
        <v>3.91</v>
      </c>
    </row>
    <row r="22" spans="1:5" ht="39" customHeight="1" thickBot="1">
      <c r="A22" s="419"/>
      <c r="B22" s="287" t="s">
        <v>502</v>
      </c>
      <c r="C22" s="421"/>
      <c r="D22" s="427"/>
      <c r="E22" s="425"/>
    </row>
    <row r="23" spans="1:5" ht="17.25" customHeight="1">
      <c r="A23" s="508" t="s">
        <v>219</v>
      </c>
      <c r="B23" s="183" t="s">
        <v>294</v>
      </c>
      <c r="C23" s="514" t="s">
        <v>349</v>
      </c>
      <c r="D23" s="426" t="s">
        <v>339</v>
      </c>
      <c r="E23" s="516">
        <f>ROUND(E12*2.6,2)</f>
        <v>0.5</v>
      </c>
    </row>
    <row r="24" spans="1:5" ht="17.25" customHeight="1" thickBot="1">
      <c r="A24" s="513"/>
      <c r="B24" s="287" t="s">
        <v>502</v>
      </c>
      <c r="C24" s="515"/>
      <c r="D24" s="427"/>
      <c r="E24" s="517"/>
    </row>
    <row r="25" spans="1:5" ht="18.75" customHeight="1">
      <c r="A25" s="418" t="s">
        <v>272</v>
      </c>
      <c r="B25" s="253" t="s">
        <v>332</v>
      </c>
      <c r="C25" s="420" t="s">
        <v>450</v>
      </c>
      <c r="D25" s="426" t="s">
        <v>339</v>
      </c>
      <c r="E25" s="424">
        <f>ROUND(0.79*E8,2)</f>
        <v>0.4</v>
      </c>
    </row>
    <row r="26" spans="1:5" ht="25.5" customHeight="1" thickBot="1">
      <c r="A26" s="419"/>
      <c r="B26" s="287" t="s">
        <v>498</v>
      </c>
      <c r="C26" s="421"/>
      <c r="D26" s="427"/>
      <c r="E26" s="425"/>
    </row>
    <row r="27" spans="1:5" ht="28.5" customHeight="1" thickBot="1">
      <c r="A27" s="418" t="s">
        <v>301</v>
      </c>
      <c r="B27" s="253" t="s">
        <v>274</v>
      </c>
      <c r="C27" s="172" t="s">
        <v>438</v>
      </c>
      <c r="D27" s="432" t="s">
        <v>339</v>
      </c>
      <c r="E27" s="141">
        <f>E25+E19</f>
        <v>4.8100000000000005</v>
      </c>
    </row>
    <row r="28" spans="1:5" ht="35.25" customHeight="1" thickBot="1">
      <c r="A28" s="419"/>
      <c r="B28" s="290" t="s">
        <v>275</v>
      </c>
      <c r="C28" s="174" t="s">
        <v>439</v>
      </c>
      <c r="D28" s="429"/>
      <c r="E28" s="182">
        <f>ROUND(E27*1.3,2)</f>
        <v>6.25</v>
      </c>
    </row>
    <row r="29" spans="1:5" ht="36.75" customHeight="1" thickBot="1">
      <c r="A29" s="270" t="s">
        <v>264</v>
      </c>
      <c r="B29" s="291" t="s">
        <v>289</v>
      </c>
      <c r="C29" s="308"/>
      <c r="D29" s="272" t="s">
        <v>56</v>
      </c>
      <c r="E29" s="142">
        <f>СПР_ШТ!D14</f>
        <v>77.87</v>
      </c>
    </row>
    <row r="30" spans="1:5" ht="57" customHeight="1" thickBot="1">
      <c r="A30" s="273" t="s">
        <v>302</v>
      </c>
      <c r="B30" s="257" t="s">
        <v>303</v>
      </c>
      <c r="C30" s="274" t="s">
        <v>440</v>
      </c>
      <c r="D30" s="257" t="s">
        <v>56</v>
      </c>
      <c r="E30" s="141">
        <f>ROUND(E29*E28,2)</f>
        <v>486.69</v>
      </c>
    </row>
    <row r="31" spans="1:5" ht="30.75" customHeight="1" thickBot="1">
      <c r="A31" s="275" t="s">
        <v>276</v>
      </c>
      <c r="B31" s="276"/>
      <c r="C31" s="277" t="s">
        <v>441</v>
      </c>
      <c r="D31" s="183" t="s">
        <v>56</v>
      </c>
      <c r="E31" s="143">
        <f>E30+E17+E15</f>
        <v>498.15000000000003</v>
      </c>
    </row>
    <row r="32" spans="1:5" ht="23.25" customHeight="1" thickBot="1">
      <c r="A32" s="270" t="s">
        <v>277</v>
      </c>
      <c r="B32" s="278">
        <v>0.22</v>
      </c>
      <c r="C32" s="277" t="s">
        <v>442</v>
      </c>
      <c r="D32" s="183" t="s">
        <v>56</v>
      </c>
      <c r="E32" s="185">
        <f>ROUND(E31*0.22,2)</f>
        <v>109.59</v>
      </c>
    </row>
    <row r="33" spans="1:11" ht="33" customHeight="1" thickBot="1">
      <c r="A33" s="300" t="s">
        <v>227</v>
      </c>
      <c r="B33" s="280" t="s">
        <v>290</v>
      </c>
      <c r="C33" s="277"/>
      <c r="D33" s="183" t="s">
        <v>56</v>
      </c>
      <c r="E33" s="185">
        <f>МатВит!G33</f>
        <v>75.739999999999995</v>
      </c>
    </row>
    <row r="34" spans="1:11" ht="16.5" customHeight="1" thickBot="1">
      <c r="A34" s="282" t="s">
        <v>278</v>
      </c>
      <c r="B34" s="280"/>
      <c r="C34" s="277" t="s">
        <v>443</v>
      </c>
      <c r="D34" s="257" t="s">
        <v>56</v>
      </c>
      <c r="E34" s="185">
        <f>E32+E31+E33</f>
        <v>683.48</v>
      </c>
    </row>
    <row r="35" spans="1:11" ht="16.5" customHeight="1" thickBot="1">
      <c r="A35" s="282" t="s">
        <v>279</v>
      </c>
      <c r="B35" s="278">
        <v>0.15</v>
      </c>
      <c r="C35" s="277" t="s">
        <v>444</v>
      </c>
      <c r="D35" s="184" t="s">
        <v>56</v>
      </c>
      <c r="E35" s="185">
        <f>ROUND(E34*0.15,2)</f>
        <v>102.52</v>
      </c>
    </row>
    <row r="36" spans="1:11" ht="16.5" customHeight="1" thickBot="1">
      <c r="A36" s="282" t="s">
        <v>298</v>
      </c>
      <c r="B36" s="278">
        <v>0.05</v>
      </c>
      <c r="C36" s="277" t="s">
        <v>445</v>
      </c>
      <c r="D36" s="184" t="s">
        <v>56</v>
      </c>
      <c r="E36" s="185">
        <f>ROUND(E34*0.05,2)</f>
        <v>34.17</v>
      </c>
    </row>
    <row r="37" spans="1:11" ht="16.5" customHeight="1" thickBot="1">
      <c r="A37" s="282" t="s">
        <v>280</v>
      </c>
      <c r="B37" s="280" t="s">
        <v>297</v>
      </c>
      <c r="C37" s="277"/>
      <c r="D37" s="184" t="s">
        <v>56</v>
      </c>
      <c r="E37" s="185">
        <f>ОпВитратиРоз3!D12</f>
        <v>67.489999999999995</v>
      </c>
    </row>
    <row r="38" spans="1:11" ht="27.75" customHeight="1" thickBot="1">
      <c r="A38" s="414" t="s">
        <v>281</v>
      </c>
      <c r="B38" s="416">
        <v>0.12</v>
      </c>
      <c r="C38" s="174" t="s">
        <v>512</v>
      </c>
      <c r="D38" s="184" t="s">
        <v>56</v>
      </c>
      <c r="E38" s="182">
        <f>E34+E35+E37+E36</f>
        <v>887.66</v>
      </c>
    </row>
    <row r="39" spans="1:11" ht="18.75" customHeight="1" thickBot="1">
      <c r="A39" s="415"/>
      <c r="B39" s="417"/>
      <c r="C39" s="277" t="s">
        <v>446</v>
      </c>
      <c r="D39" s="184" t="s">
        <v>56</v>
      </c>
      <c r="E39" s="185">
        <f>ROUND(E38*0.12,2)</f>
        <v>106.52</v>
      </c>
    </row>
    <row r="40" spans="1:11" ht="18.75" customHeight="1" thickBot="1">
      <c r="A40" s="283" t="s">
        <v>282</v>
      </c>
      <c r="B40" s="284"/>
      <c r="C40" s="174" t="s">
        <v>447</v>
      </c>
      <c r="D40" s="184" t="s">
        <v>56</v>
      </c>
      <c r="E40" s="144">
        <f>E39+E38</f>
        <v>994.18</v>
      </c>
    </row>
    <row r="41" spans="1:11">
      <c r="A41" s="130"/>
    </row>
    <row r="42" spans="1:11" ht="6.75" customHeight="1">
      <c r="A42" s="285"/>
    </row>
    <row r="43" spans="1:11" s="45" customFormat="1">
      <c r="A43" s="45" t="s">
        <v>168</v>
      </c>
      <c r="B43" s="48"/>
      <c r="D43" s="45" t="s">
        <v>169</v>
      </c>
      <c r="F43" s="60"/>
      <c r="G43" s="176"/>
      <c r="H43" s="176"/>
      <c r="I43" s="176"/>
      <c r="J43" s="177"/>
      <c r="K43" s="178"/>
    </row>
    <row r="44" spans="1:11">
      <c r="A44" s="130"/>
    </row>
    <row r="45" spans="1:11">
      <c r="A45" s="285"/>
    </row>
    <row r="46" spans="1:11">
      <c r="A46" s="130"/>
    </row>
    <row r="47" spans="1:11">
      <c r="A47" s="286"/>
    </row>
  </sheetData>
  <mergeCells count="45">
    <mergeCell ref="E21:E22"/>
    <mergeCell ref="A23:A24"/>
    <mergeCell ref="C23:C24"/>
    <mergeCell ref="E23:E24"/>
    <mergeCell ref="E25:E26"/>
    <mergeCell ref="D19:D20"/>
    <mergeCell ref="A27:A28"/>
    <mergeCell ref="D27:D28"/>
    <mergeCell ref="A38:A39"/>
    <mergeCell ref="B38:B39"/>
    <mergeCell ref="D25:D26"/>
    <mergeCell ref="D23:D24"/>
    <mergeCell ref="A25:A26"/>
    <mergeCell ref="C25:C26"/>
    <mergeCell ref="A21:A22"/>
    <mergeCell ref="C21:C22"/>
    <mergeCell ref="D21:D22"/>
    <mergeCell ref="A1:B1"/>
    <mergeCell ref="A2:E2"/>
    <mergeCell ref="A3:E3"/>
    <mergeCell ref="A4:E4"/>
    <mergeCell ref="A17:A18"/>
    <mergeCell ref="C17:C18"/>
    <mergeCell ref="D17:D18"/>
    <mergeCell ref="E17:E18"/>
    <mergeCell ref="A15:A16"/>
    <mergeCell ref="C15:C16"/>
    <mergeCell ref="D15:D16"/>
    <mergeCell ref="E15:E16"/>
    <mergeCell ref="E19:E20"/>
    <mergeCell ref="A6:D6"/>
    <mergeCell ref="A8:A9"/>
    <mergeCell ref="C8:C9"/>
    <mergeCell ref="D8:D9"/>
    <mergeCell ref="E12:E13"/>
    <mergeCell ref="E10:E11"/>
    <mergeCell ref="E8:E9"/>
    <mergeCell ref="B9:B12"/>
    <mergeCell ref="A10:A11"/>
    <mergeCell ref="C10:C11"/>
    <mergeCell ref="D10:D11"/>
    <mergeCell ref="C12:C13"/>
    <mergeCell ref="A19:A20"/>
    <mergeCell ref="B19:B20"/>
    <mergeCell ref="C19:C20"/>
  </mergeCells>
  <phoneticPr fontId="5" type="noConversion"/>
  <pageMargins left="0.9055118110236221" right="0.11811023622047245" top="0" bottom="0" header="0.31496062992125984" footer="0.31496062992125984"/>
  <pageSetup paperSize="9" scale="8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52"/>
  <sheetViews>
    <sheetView view="pageBreakPreview" topLeftCell="A43" zoomScaleNormal="100" zoomScaleSheetLayoutView="100" workbookViewId="0">
      <selection activeCell="A2" sqref="A2:E2"/>
    </sheetView>
  </sheetViews>
  <sheetFormatPr defaultColWidth="9.140625" defaultRowHeight="15.75"/>
  <cols>
    <col min="1" max="1" width="30" style="292" customWidth="1"/>
    <col min="2" max="2" width="24" style="301" customWidth="1"/>
    <col min="3" max="3" width="21.140625" style="292" customWidth="1"/>
    <col min="4" max="4" width="11.28515625" style="292" customWidth="1"/>
    <col min="5" max="5" width="13.140625" style="292" customWidth="1"/>
    <col min="6" max="6" width="12.28515625" style="292" customWidth="1"/>
    <col min="7" max="16384" width="9.140625" style="292"/>
  </cols>
  <sheetData>
    <row r="1" spans="1:6" ht="27" customHeight="1">
      <c r="A1" s="453" t="s">
        <v>299</v>
      </c>
      <c r="B1" s="453"/>
      <c r="C1" s="130" t="str">
        <f>К16_ВоенніЗима!A6</f>
        <v>КАЛЬКУЛЯЦІЯ № 16</v>
      </c>
      <c r="D1" s="130"/>
      <c r="E1" s="130"/>
    </row>
    <row r="2" spans="1:6" ht="59.45" customHeight="1">
      <c r="A2" s="454" t="str">
        <f>К14_ВоєнніНеопізнанніЗима!A7</f>
        <v xml:space="preserve">Послуга з організації та проведення поховання невпізнаних тіл (останків) війсковослужбовців, поліцейських та інших осіб, які загинули (померли) внаслідок збройної агресії проти України у зимовий період на кладовищах Южненської міської територіальної громади Одеського району Одеської області </v>
      </c>
      <c r="B2" s="454"/>
      <c r="C2" s="454"/>
      <c r="D2" s="454"/>
      <c r="E2" s="454"/>
    </row>
    <row r="3" spans="1:6" ht="53.25" customHeight="1">
      <c r="A3" s="454" t="s">
        <v>321</v>
      </c>
      <c r="B3" s="454"/>
      <c r="C3" s="454"/>
      <c r="D3" s="454"/>
      <c r="E3" s="454"/>
    </row>
    <row r="4" spans="1:6" ht="65.25" customHeight="1">
      <c r="A4" s="447" t="s">
        <v>322</v>
      </c>
      <c r="B4" s="447"/>
      <c r="C4" s="447"/>
      <c r="D4" s="447"/>
      <c r="E4" s="447"/>
    </row>
    <row r="5" spans="1:6" ht="108.75" customHeight="1">
      <c r="A5" s="447" t="s">
        <v>323</v>
      </c>
      <c r="B5" s="447"/>
      <c r="C5" s="447"/>
      <c r="D5" s="447"/>
      <c r="E5" s="447"/>
    </row>
    <row r="6" spans="1:6" ht="107.45" customHeight="1">
      <c r="A6" s="447" t="s">
        <v>572</v>
      </c>
      <c r="B6" s="447"/>
      <c r="C6" s="447"/>
      <c r="D6" s="447"/>
      <c r="E6" s="447"/>
    </row>
    <row r="7" spans="1:6" ht="10.5" customHeight="1" thickBot="1">
      <c r="A7" s="436"/>
      <c r="B7" s="436"/>
      <c r="C7" s="436"/>
      <c r="D7" s="436"/>
    </row>
    <row r="8" spans="1:6" ht="18.75" customHeight="1" thickBot="1">
      <c r="A8" s="250" t="s">
        <v>1</v>
      </c>
      <c r="B8" s="183" t="s">
        <v>208</v>
      </c>
      <c r="C8" s="251" t="s">
        <v>266</v>
      </c>
      <c r="D8" s="252" t="s">
        <v>193</v>
      </c>
      <c r="E8" s="138" t="s">
        <v>489</v>
      </c>
    </row>
    <row r="9" spans="1:6" ht="17.25" customHeight="1">
      <c r="A9" s="418" t="s">
        <v>268</v>
      </c>
      <c r="B9" s="253" t="s">
        <v>286</v>
      </c>
      <c r="C9" s="449" t="s">
        <v>284</v>
      </c>
      <c r="D9" s="449" t="s">
        <v>283</v>
      </c>
      <c r="E9" s="451">
        <f>2.2*1.9*1</f>
        <v>4.18</v>
      </c>
    </row>
    <row r="10" spans="1:6" ht="28.5" customHeight="1" thickBot="1">
      <c r="A10" s="448"/>
      <c r="B10" s="272" t="s">
        <v>313</v>
      </c>
      <c r="C10" s="450"/>
      <c r="D10" s="450"/>
      <c r="E10" s="452"/>
    </row>
    <row r="11" spans="1:6" ht="21.75" customHeight="1" thickBot="1">
      <c r="A11" s="440" t="s">
        <v>480</v>
      </c>
      <c r="B11" s="441"/>
      <c r="C11" s="442"/>
      <c r="D11" s="254"/>
      <c r="E11" s="302"/>
    </row>
    <row r="12" spans="1:6" ht="41.25" customHeight="1" thickBot="1">
      <c r="A12" s="293" t="s">
        <v>314</v>
      </c>
      <c r="B12" s="438" t="s">
        <v>492</v>
      </c>
      <c r="C12" s="257" t="s">
        <v>327</v>
      </c>
      <c r="D12" s="257" t="s">
        <v>316</v>
      </c>
      <c r="E12" s="258">
        <f>ROUND(0.14*E9,2)</f>
        <v>0.59</v>
      </c>
    </row>
    <row r="13" spans="1:6" ht="51" customHeight="1" thickBot="1">
      <c r="A13" s="294" t="s">
        <v>315</v>
      </c>
      <c r="B13" s="439"/>
      <c r="C13" s="260" t="s">
        <v>317</v>
      </c>
      <c r="D13" s="257" t="s">
        <v>316</v>
      </c>
      <c r="E13" s="303">
        <v>1</v>
      </c>
    </row>
    <row r="14" spans="1:6" ht="49.5" customHeight="1" thickBot="1">
      <c r="A14" s="440" t="s">
        <v>481</v>
      </c>
      <c r="B14" s="441"/>
      <c r="C14" s="442"/>
      <c r="D14" s="262" t="s">
        <v>56</v>
      </c>
      <c r="E14" s="302">
        <f>E15+E16</f>
        <v>267.58</v>
      </c>
      <c r="F14" s="295"/>
    </row>
    <row r="15" spans="1:6" ht="30" customHeight="1" thickBot="1">
      <c r="A15" s="293" t="s">
        <v>314</v>
      </c>
      <c r="B15" s="438" t="s">
        <v>319</v>
      </c>
      <c r="C15" s="257" t="s">
        <v>366</v>
      </c>
      <c r="D15" s="262" t="s">
        <v>56</v>
      </c>
      <c r="E15" s="263">
        <f>ROUND(E12*E17*5*1.08,2)</f>
        <v>187.94</v>
      </c>
    </row>
    <row r="16" spans="1:6" ht="33.75" customHeight="1" thickBot="1">
      <c r="A16" s="296" t="s">
        <v>336</v>
      </c>
      <c r="B16" s="439"/>
      <c r="C16" s="260" t="s">
        <v>373</v>
      </c>
      <c r="D16" s="262" t="s">
        <v>56</v>
      </c>
      <c r="E16" s="263">
        <f>ROUND(E13*E17*10/8*1.08,2)</f>
        <v>79.64</v>
      </c>
    </row>
    <row r="17" spans="1:6" ht="23.25" customHeight="1" thickBot="1">
      <c r="A17" s="265" t="s">
        <v>318</v>
      </c>
      <c r="B17" s="443" t="s">
        <v>320</v>
      </c>
      <c r="C17" s="444"/>
      <c r="D17" s="262" t="s">
        <v>56</v>
      </c>
      <c r="E17" s="141">
        <v>58.99</v>
      </c>
    </row>
    <row r="18" spans="1:6" ht="23.25" customHeight="1" thickBot="1">
      <c r="A18" s="433" t="s">
        <v>482</v>
      </c>
      <c r="B18" s="434"/>
      <c r="C18" s="437"/>
      <c r="D18" s="262" t="s">
        <v>56</v>
      </c>
      <c r="E18" s="302">
        <f>E19+E20</f>
        <v>1314.53</v>
      </c>
      <c r="F18" s="295"/>
    </row>
    <row r="19" spans="1:6" ht="32.25" customHeight="1" thickBot="1">
      <c r="A19" s="297" t="s">
        <v>325</v>
      </c>
      <c r="B19" s="445" t="s">
        <v>367</v>
      </c>
      <c r="C19" s="257" t="s">
        <v>551</v>
      </c>
      <c r="D19" s="262" t="s">
        <v>56</v>
      </c>
      <c r="E19" s="378">
        <f>ROUND(1838.51*E12,2)</f>
        <v>1084.72</v>
      </c>
      <c r="F19" s="295"/>
    </row>
    <row r="20" spans="1:6" ht="31.5" customHeight="1" thickBot="1">
      <c r="A20" s="296" t="s">
        <v>336</v>
      </c>
      <c r="B20" s="446"/>
      <c r="C20" s="267" t="s">
        <v>552</v>
      </c>
      <c r="D20" s="262" t="s">
        <v>56</v>
      </c>
      <c r="E20" s="379">
        <f>ROUND(1838.51*E13/8,2)</f>
        <v>229.81</v>
      </c>
      <c r="F20" s="295"/>
    </row>
    <row r="21" spans="1:6" ht="34.5" customHeight="1" thickBot="1">
      <c r="A21" s="433" t="s">
        <v>483</v>
      </c>
      <c r="B21" s="434"/>
      <c r="C21" s="435"/>
      <c r="D21" s="268" t="s">
        <v>56</v>
      </c>
      <c r="E21" s="379">
        <f>E14+E18</f>
        <v>1582.11</v>
      </c>
    </row>
    <row r="22" spans="1:6" ht="18.75" customHeight="1">
      <c r="A22" s="418" t="s">
        <v>292</v>
      </c>
      <c r="B22" s="253" t="s">
        <v>293</v>
      </c>
      <c r="C22" s="420" t="s">
        <v>359</v>
      </c>
      <c r="D22" s="432" t="s">
        <v>56</v>
      </c>
      <c r="E22" s="424">
        <f>ROUND(E34*2.2*0.1,2)</f>
        <v>17.13</v>
      </c>
    </row>
    <row r="23" spans="1:6" ht="30.75" customHeight="1" thickBot="1">
      <c r="A23" s="419"/>
      <c r="B23" s="290" t="s">
        <v>271</v>
      </c>
      <c r="C23" s="421"/>
      <c r="D23" s="429"/>
      <c r="E23" s="425"/>
    </row>
    <row r="24" spans="1:6" ht="18.75" customHeight="1">
      <c r="A24" s="418" t="s">
        <v>270</v>
      </c>
      <c r="B24" s="253" t="s">
        <v>295</v>
      </c>
      <c r="C24" s="420" t="s">
        <v>360</v>
      </c>
      <c r="D24" s="432" t="s">
        <v>56</v>
      </c>
      <c r="E24" s="424">
        <f>ROUND(E34*2.2*0.13,2)</f>
        <v>22.27</v>
      </c>
    </row>
    <row r="25" spans="1:6" ht="35.25" customHeight="1" thickBot="1">
      <c r="A25" s="419"/>
      <c r="B25" s="290" t="s">
        <v>271</v>
      </c>
      <c r="C25" s="421"/>
      <c r="D25" s="429"/>
      <c r="E25" s="425"/>
    </row>
    <row r="26" spans="1:6" ht="18.75" customHeight="1">
      <c r="A26" s="413" t="s">
        <v>328</v>
      </c>
      <c r="B26" s="428" t="s">
        <v>329</v>
      </c>
      <c r="C26" s="430" t="s">
        <v>517</v>
      </c>
      <c r="D26" s="428" t="s">
        <v>285</v>
      </c>
      <c r="E26" s="431">
        <f>ROUND(0.125*((2.2*1)+(2.2+1 )*2*1.9),2)</f>
        <v>1.8</v>
      </c>
    </row>
    <row r="27" spans="1:6" ht="41.25" customHeight="1" thickBot="1">
      <c r="A27" s="413"/>
      <c r="B27" s="429"/>
      <c r="C27" s="430"/>
      <c r="D27" s="429"/>
      <c r="E27" s="431"/>
    </row>
    <row r="28" spans="1:6" ht="34.5" customHeight="1">
      <c r="A28" s="418" t="s">
        <v>491</v>
      </c>
      <c r="B28" s="183"/>
      <c r="C28" s="420" t="s">
        <v>331</v>
      </c>
      <c r="D28" s="426" t="s">
        <v>285</v>
      </c>
      <c r="E28" s="424">
        <f>E26*1.3</f>
        <v>2.3400000000000003</v>
      </c>
    </row>
    <row r="29" spans="1:6" ht="60" customHeight="1" thickBot="1">
      <c r="A29" s="419"/>
      <c r="B29" s="184" t="s">
        <v>269</v>
      </c>
      <c r="C29" s="421"/>
      <c r="D29" s="427"/>
      <c r="E29" s="425"/>
    </row>
    <row r="30" spans="1:6" ht="24" customHeight="1">
      <c r="A30" s="418" t="s">
        <v>272</v>
      </c>
      <c r="B30" s="253" t="s">
        <v>332</v>
      </c>
      <c r="C30" s="420" t="s">
        <v>361</v>
      </c>
      <c r="D30" s="422" t="s">
        <v>285</v>
      </c>
      <c r="E30" s="424">
        <f>ROUND(0.79*E9,2)</f>
        <v>3.3</v>
      </c>
    </row>
    <row r="31" spans="1:6" ht="30" customHeight="1" thickBot="1">
      <c r="A31" s="419"/>
      <c r="B31" s="290" t="s">
        <v>273</v>
      </c>
      <c r="C31" s="421"/>
      <c r="D31" s="423"/>
      <c r="E31" s="425"/>
    </row>
    <row r="32" spans="1:6" ht="28.5" customHeight="1" thickBot="1">
      <c r="A32" s="418" t="s">
        <v>301</v>
      </c>
      <c r="B32" s="253" t="s">
        <v>274</v>
      </c>
      <c r="C32" s="172" t="s">
        <v>368</v>
      </c>
      <c r="D32" s="422" t="s">
        <v>285</v>
      </c>
      <c r="E32" s="141">
        <f>E30+E28</f>
        <v>5.6400000000000006</v>
      </c>
    </row>
    <row r="33" spans="1:11" ht="35.25" customHeight="1" thickBot="1">
      <c r="A33" s="419"/>
      <c r="B33" s="290" t="s">
        <v>275</v>
      </c>
      <c r="C33" s="174" t="s">
        <v>369</v>
      </c>
      <c r="D33" s="423"/>
      <c r="E33" s="182">
        <f>ROUND(E32*1.3,2)</f>
        <v>7.33</v>
      </c>
    </row>
    <row r="34" spans="1:11" ht="36.75" customHeight="1" thickBot="1">
      <c r="A34" s="270" t="s">
        <v>264</v>
      </c>
      <c r="B34" s="291" t="s">
        <v>289</v>
      </c>
      <c r="C34" s="298"/>
      <c r="D34" s="272" t="s">
        <v>56</v>
      </c>
      <c r="E34" s="142">
        <f>СПР_ШТ!D14</f>
        <v>77.87</v>
      </c>
    </row>
    <row r="35" spans="1:11" ht="94.5" customHeight="1" thickBot="1">
      <c r="A35" s="273" t="s">
        <v>333</v>
      </c>
      <c r="B35" s="257" t="s">
        <v>303</v>
      </c>
      <c r="C35" s="274" t="s">
        <v>370</v>
      </c>
      <c r="D35" s="257" t="s">
        <v>56</v>
      </c>
      <c r="E35" s="141">
        <f>ROUND(E34*E33,2)</f>
        <v>570.79</v>
      </c>
    </row>
    <row r="36" spans="1:11" ht="47.25" customHeight="1" thickBot="1">
      <c r="A36" s="275" t="s">
        <v>276</v>
      </c>
      <c r="B36" s="299"/>
      <c r="C36" s="277" t="s">
        <v>371</v>
      </c>
      <c r="D36" s="183" t="s">
        <v>56</v>
      </c>
      <c r="E36" s="143">
        <f>E35+E24+E22</f>
        <v>610.18999999999994</v>
      </c>
    </row>
    <row r="37" spans="1:11" ht="32.25" customHeight="1" thickBot="1">
      <c r="A37" s="270" t="s">
        <v>277</v>
      </c>
      <c r="B37" s="278">
        <v>0.22</v>
      </c>
      <c r="C37" s="277" t="s">
        <v>372</v>
      </c>
      <c r="D37" s="183" t="s">
        <v>56</v>
      </c>
      <c r="E37" s="185">
        <f>ROUND(E36*0.22,2)</f>
        <v>134.24</v>
      </c>
    </row>
    <row r="38" spans="1:11" ht="33" customHeight="1" thickBot="1">
      <c r="A38" s="300" t="s">
        <v>227</v>
      </c>
      <c r="B38" s="280" t="s">
        <v>290</v>
      </c>
      <c r="C38" s="281"/>
      <c r="D38" s="183" t="s">
        <v>56</v>
      </c>
      <c r="E38" s="185">
        <f>МатВит!G33</f>
        <v>75.739999999999995</v>
      </c>
    </row>
    <row r="39" spans="1:11" ht="33" customHeight="1" thickBot="1">
      <c r="A39" s="282" t="s">
        <v>278</v>
      </c>
      <c r="B39" s="280"/>
      <c r="C39" s="277" t="s">
        <v>565</v>
      </c>
      <c r="D39" s="257" t="s">
        <v>56</v>
      </c>
      <c r="E39" s="185">
        <f>E37+E36+E38+E21</f>
        <v>2402.2799999999997</v>
      </c>
    </row>
    <row r="40" spans="1:11" ht="21" customHeight="1" thickBot="1">
      <c r="A40" s="282" t="s">
        <v>279</v>
      </c>
      <c r="B40" s="278">
        <v>0.15</v>
      </c>
      <c r="C40" s="277" t="s">
        <v>566</v>
      </c>
      <c r="D40" s="184" t="s">
        <v>56</v>
      </c>
      <c r="E40" s="185">
        <f>ROUND(E39*B40,2)</f>
        <v>360.34</v>
      </c>
    </row>
    <row r="41" spans="1:11" ht="21" customHeight="1" thickBot="1">
      <c r="A41" s="282" t="s">
        <v>298</v>
      </c>
      <c r="B41" s="278">
        <v>0.05</v>
      </c>
      <c r="C41" s="277" t="s">
        <v>567</v>
      </c>
      <c r="D41" s="184" t="s">
        <v>56</v>
      </c>
      <c r="E41" s="185">
        <f>ROUND(E39*B41,2)</f>
        <v>120.11</v>
      </c>
    </row>
    <row r="42" spans="1:11" ht="18.75" customHeight="1" thickBot="1">
      <c r="A42" s="282" t="s">
        <v>280</v>
      </c>
      <c r="B42" s="280" t="s">
        <v>297</v>
      </c>
      <c r="C42" s="277"/>
      <c r="D42" s="184" t="s">
        <v>56</v>
      </c>
      <c r="E42" s="185">
        <f>ОпВитратиРоз3!D12</f>
        <v>67.489999999999995</v>
      </c>
    </row>
    <row r="43" spans="1:11" ht="30" customHeight="1" thickBot="1">
      <c r="A43" s="414" t="s">
        <v>281</v>
      </c>
      <c r="B43" s="416">
        <v>0.12</v>
      </c>
      <c r="C43" s="277" t="s">
        <v>568</v>
      </c>
      <c r="D43" s="184" t="s">
        <v>56</v>
      </c>
      <c r="E43" s="182">
        <f>E39+E40+E42+E41</f>
        <v>2950.22</v>
      </c>
    </row>
    <row r="44" spans="1:11" ht="21" customHeight="1" thickBot="1">
      <c r="A44" s="415"/>
      <c r="B44" s="417"/>
      <c r="C44" s="277" t="s">
        <v>570</v>
      </c>
      <c r="D44" s="184" t="s">
        <v>56</v>
      </c>
      <c r="E44" s="185">
        <f>ROUND(E43*B43,2)</f>
        <v>354.03</v>
      </c>
    </row>
    <row r="45" spans="1:11" ht="21" customHeight="1" thickBot="1">
      <c r="A45" s="283" t="s">
        <v>282</v>
      </c>
      <c r="B45" s="290"/>
      <c r="C45" s="174" t="s">
        <v>570</v>
      </c>
      <c r="D45" s="184" t="s">
        <v>56</v>
      </c>
      <c r="E45" s="144">
        <f>E44+E43</f>
        <v>3304.25</v>
      </c>
      <c r="F45" s="295"/>
    </row>
    <row r="46" spans="1:11" ht="9.75" customHeight="1">
      <c r="A46" s="130"/>
    </row>
    <row r="47" spans="1:11">
      <c r="A47" s="285"/>
    </row>
    <row r="48" spans="1:11" s="45" customFormat="1" ht="24.75" customHeight="1">
      <c r="A48" s="45" t="s">
        <v>168</v>
      </c>
      <c r="B48" s="176"/>
      <c r="D48" s="45" t="s">
        <v>169</v>
      </c>
      <c r="F48" s="60"/>
      <c r="G48" s="176"/>
      <c r="H48" s="176"/>
      <c r="I48" s="176"/>
      <c r="J48" s="177"/>
      <c r="K48" s="178"/>
    </row>
    <row r="49" spans="1:1">
      <c r="A49" s="130"/>
    </row>
    <row r="50" spans="1:1">
      <c r="A50" s="285"/>
    </row>
    <row r="51" spans="1:1">
      <c r="A51" s="130"/>
    </row>
    <row r="52" spans="1:1">
      <c r="A52" s="286"/>
    </row>
  </sheetData>
  <mergeCells count="44">
    <mergeCell ref="A1:B1"/>
    <mergeCell ref="A2:E2"/>
    <mergeCell ref="A3:E3"/>
    <mergeCell ref="A4:E4"/>
    <mergeCell ref="A5:E5"/>
    <mergeCell ref="A6:E6"/>
    <mergeCell ref="A9:A10"/>
    <mergeCell ref="C9:C10"/>
    <mergeCell ref="D9:D10"/>
    <mergeCell ref="E9:E10"/>
    <mergeCell ref="A21:C21"/>
    <mergeCell ref="A7:D7"/>
    <mergeCell ref="A18:C18"/>
    <mergeCell ref="A24:A25"/>
    <mergeCell ref="C24:C25"/>
    <mergeCell ref="D24:D25"/>
    <mergeCell ref="A22:A23"/>
    <mergeCell ref="C22:C23"/>
    <mergeCell ref="B12:B13"/>
    <mergeCell ref="A14:C14"/>
    <mergeCell ref="B15:B16"/>
    <mergeCell ref="B17:C17"/>
    <mergeCell ref="B19:B20"/>
    <mergeCell ref="A11:C11"/>
    <mergeCell ref="E24:E25"/>
    <mergeCell ref="E22:E23"/>
    <mergeCell ref="E28:E29"/>
    <mergeCell ref="B26:B27"/>
    <mergeCell ref="C26:C27"/>
    <mergeCell ref="E26:E27"/>
    <mergeCell ref="D22:D23"/>
    <mergeCell ref="D26:D27"/>
    <mergeCell ref="D30:D31"/>
    <mergeCell ref="E30:E31"/>
    <mergeCell ref="D32:D33"/>
    <mergeCell ref="A28:A29"/>
    <mergeCell ref="C28:C29"/>
    <mergeCell ref="D28:D29"/>
    <mergeCell ref="A26:A27"/>
    <mergeCell ref="A43:A44"/>
    <mergeCell ref="B43:B44"/>
    <mergeCell ref="A30:A31"/>
    <mergeCell ref="C30:C31"/>
    <mergeCell ref="A32:A33"/>
  </mergeCells>
  <phoneticPr fontId="5" type="noConversion"/>
  <pageMargins left="1.1023622047244095" right="0.11811023622047245" top="0.55118110236220474" bottom="0.15748031496062992" header="0.31496062992125984" footer="0.31496062992125984"/>
  <pageSetup paperSize="9" scale="90" orientation="portrait" horizontalDpi="300" verticalDpi="300" r:id="rId1"/>
  <rowBreaks count="1" manualBreakCount="1">
    <brk id="2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C31"/>
  <sheetViews>
    <sheetView view="pageBreakPreview" topLeftCell="A25" zoomScale="76" zoomScaleNormal="100" zoomScaleSheetLayoutView="76" workbookViewId="0">
      <selection activeCell="B42" sqref="B42"/>
    </sheetView>
  </sheetViews>
  <sheetFormatPr defaultColWidth="9.140625" defaultRowHeight="15"/>
  <cols>
    <col min="1" max="1" width="5.85546875" style="25" customWidth="1"/>
    <col min="2" max="2" width="45.140625" style="25" customWidth="1"/>
    <col min="3" max="3" width="24.7109375" style="25" customWidth="1"/>
    <col min="4" max="16384" width="9.140625" style="25"/>
  </cols>
  <sheetData>
    <row r="1" spans="1:3" ht="12" customHeight="1">
      <c r="C1" s="80" t="s">
        <v>34</v>
      </c>
    </row>
    <row r="2" spans="1:3" ht="13.15" customHeight="1">
      <c r="C2" s="80" t="s">
        <v>35</v>
      </c>
    </row>
    <row r="3" spans="1:3" ht="9" customHeight="1">
      <c r="C3" s="80" t="s">
        <v>36</v>
      </c>
    </row>
    <row r="4" spans="1:3" ht="9" customHeight="1">
      <c r="C4" s="80" t="s">
        <v>37</v>
      </c>
    </row>
    <row r="5" spans="1:3" ht="9" customHeight="1">
      <c r="C5" s="80" t="s">
        <v>38</v>
      </c>
    </row>
    <row r="6" spans="1:3" ht="26.25" customHeight="1">
      <c r="A6" s="404" t="s">
        <v>119</v>
      </c>
      <c r="B6" s="404"/>
      <c r="C6" s="404"/>
    </row>
    <row r="7" spans="1:3" ht="34.5" customHeight="1">
      <c r="A7" s="490" t="s">
        <v>340</v>
      </c>
      <c r="B7" s="490"/>
      <c r="C7" s="490"/>
    </row>
    <row r="8" spans="1:3" ht="9" customHeight="1"/>
    <row r="9" spans="1:3" ht="9" customHeight="1"/>
    <row r="10" spans="1:3" ht="14.45" customHeight="1">
      <c r="A10" s="406" t="s">
        <v>33</v>
      </c>
      <c r="B10" s="408" t="s">
        <v>1</v>
      </c>
      <c r="C10" s="408" t="s">
        <v>2</v>
      </c>
    </row>
    <row r="11" spans="1:3" ht="14.45" customHeight="1">
      <c r="A11" s="407"/>
      <c r="B11" s="408"/>
      <c r="C11" s="408"/>
    </row>
    <row r="12" spans="1:3" ht="24" customHeight="1">
      <c r="A12" s="1">
        <v>1</v>
      </c>
      <c r="B12" s="2" t="s">
        <v>3</v>
      </c>
      <c r="C12" s="3">
        <f>C13+C18</f>
        <v>413.49440000000004</v>
      </c>
    </row>
    <row r="13" spans="1:3" ht="19.5" customHeight="1">
      <c r="A13" s="1" t="s">
        <v>13</v>
      </c>
      <c r="B13" s="2" t="s">
        <v>4</v>
      </c>
      <c r="C13" s="131">
        <f>C14+C15+C16</f>
        <v>288.33440000000007</v>
      </c>
    </row>
    <row r="14" spans="1:3" ht="36" customHeight="1">
      <c r="A14" s="1" t="s">
        <v>14</v>
      </c>
      <c r="B14" s="2" t="s">
        <v>202</v>
      </c>
      <c r="C14" s="131">
        <f>МатВит!G33</f>
        <v>75.739999999999995</v>
      </c>
    </row>
    <row r="15" spans="1:3" ht="27.75" customHeight="1">
      <c r="A15" s="1" t="s">
        <v>22</v>
      </c>
      <c r="B15" s="2" t="s">
        <v>27</v>
      </c>
      <c r="C15" s="131">
        <f>Роз9!E22</f>
        <v>174.25440000000003</v>
      </c>
    </row>
    <row r="16" spans="1:3" ht="17.25" customHeight="1">
      <c r="A16" s="486" t="s">
        <v>23</v>
      </c>
      <c r="B16" s="2" t="s">
        <v>5</v>
      </c>
      <c r="C16" s="488">
        <f>ROUND(C15*22%,2)</f>
        <v>38.340000000000003</v>
      </c>
    </row>
    <row r="17" spans="1:3" ht="36.75" customHeight="1">
      <c r="A17" s="487"/>
      <c r="B17" s="2" t="s">
        <v>6</v>
      </c>
      <c r="C17" s="489"/>
    </row>
    <row r="18" spans="1:3" ht="19.5" customHeight="1">
      <c r="A18" s="1" t="s">
        <v>24</v>
      </c>
      <c r="B18" s="2" t="s">
        <v>7</v>
      </c>
      <c r="C18" s="131">
        <f>C21+C20+C19</f>
        <v>125.16</v>
      </c>
    </row>
    <row r="19" spans="1:3" ht="32.450000000000003" customHeight="1">
      <c r="A19" s="1" t="s">
        <v>85</v>
      </c>
      <c r="B19" s="2" t="s">
        <v>84</v>
      </c>
      <c r="C19" s="131">
        <f>ROUND(C13*15%,2)</f>
        <v>43.25</v>
      </c>
    </row>
    <row r="20" spans="1:3" ht="24" customHeight="1">
      <c r="A20" s="1" t="s">
        <v>87</v>
      </c>
      <c r="B20" s="2" t="s">
        <v>86</v>
      </c>
      <c r="C20" s="131">
        <f>ROUND(C13*5%,2)</f>
        <v>14.42</v>
      </c>
    </row>
    <row r="21" spans="1:3" ht="24" customHeight="1">
      <c r="A21" s="1" t="s">
        <v>88</v>
      </c>
      <c r="B21" s="2" t="s">
        <v>28</v>
      </c>
      <c r="C21" s="131">
        <f>ОпВитратиРоз3!D12</f>
        <v>67.489999999999995</v>
      </c>
    </row>
    <row r="22" spans="1:3" ht="24" customHeight="1">
      <c r="A22" s="1">
        <v>2</v>
      </c>
      <c r="B22" s="2" t="s">
        <v>29</v>
      </c>
      <c r="C22" s="131"/>
    </row>
    <row r="23" spans="1:3" ht="21" customHeight="1">
      <c r="A23" s="1" t="s">
        <v>89</v>
      </c>
      <c r="B23" s="2" t="s">
        <v>30</v>
      </c>
      <c r="C23" s="131">
        <f>C13+C18</f>
        <v>413.49440000000004</v>
      </c>
    </row>
    <row r="24" spans="1:3" ht="34.15" customHeight="1">
      <c r="A24" s="1" t="s">
        <v>90</v>
      </c>
      <c r="B24" s="2" t="s">
        <v>9</v>
      </c>
      <c r="C24" s="131">
        <f>ROUND(C23*12%,2)</f>
        <v>49.62</v>
      </c>
    </row>
    <row r="25" spans="1:3" ht="21" customHeight="1">
      <c r="A25" s="1" t="s">
        <v>91</v>
      </c>
      <c r="B25" s="2" t="s">
        <v>31</v>
      </c>
      <c r="C25" s="131">
        <f>C23+C24</f>
        <v>463.11440000000005</v>
      </c>
    </row>
    <row r="26" spans="1:3" ht="30" customHeight="1">
      <c r="A26" s="1" t="s">
        <v>92</v>
      </c>
      <c r="B26" s="2" t="s">
        <v>11</v>
      </c>
      <c r="C26" s="132">
        <v>1</v>
      </c>
    </row>
    <row r="27" spans="1:3" ht="21" customHeight="1">
      <c r="A27" s="1" t="s">
        <v>93</v>
      </c>
      <c r="B27" s="2" t="s">
        <v>32</v>
      </c>
      <c r="C27" s="133">
        <f>C25*C26</f>
        <v>463.11440000000005</v>
      </c>
    </row>
    <row r="29" spans="1:3" ht="15.75">
      <c r="A29" s="130" t="s">
        <v>611</v>
      </c>
    </row>
    <row r="31" spans="1:3">
      <c r="A31" s="403" t="s">
        <v>55</v>
      </c>
      <c r="B31" s="403"/>
      <c r="C31" s="6" t="s">
        <v>528</v>
      </c>
    </row>
  </sheetData>
  <mergeCells count="8">
    <mergeCell ref="A31:B31"/>
    <mergeCell ref="A16:A17"/>
    <mergeCell ref="C16:C17"/>
    <mergeCell ref="A6:C6"/>
    <mergeCell ref="A7:C7"/>
    <mergeCell ref="A10:A11"/>
    <mergeCell ref="B10:B11"/>
    <mergeCell ref="C10:C11"/>
  </mergeCells>
  <phoneticPr fontId="5" type="noConversion"/>
  <pageMargins left="1.299212598425197" right="0.31496062992125984" top="0.74803149606299213" bottom="0.55118110236220474" header="0.31496062992125984" footer="0.31496062992125984"/>
  <pageSetup paperSize="9" scale="110"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sheetPr>
  <dimension ref="A1:K38"/>
  <sheetViews>
    <sheetView view="pageBreakPreview" zoomScaleNormal="100" zoomScaleSheetLayoutView="100" workbookViewId="0">
      <selection activeCell="E14" sqref="E14:E15"/>
    </sheetView>
  </sheetViews>
  <sheetFormatPr defaultColWidth="9.140625" defaultRowHeight="15.75"/>
  <cols>
    <col min="1" max="1" width="31.5703125" style="292" customWidth="1"/>
    <col min="2" max="2" width="22.5703125" style="292" customWidth="1"/>
    <col min="3" max="3" width="22" style="311" customWidth="1"/>
    <col min="4" max="4" width="10.5703125" style="292" customWidth="1"/>
    <col min="5" max="5" width="15.28515625" style="292" customWidth="1"/>
    <col min="6" max="16384" width="9.140625" style="292"/>
  </cols>
  <sheetData>
    <row r="1" spans="1:5" ht="22.5" customHeight="1">
      <c r="A1" s="453" t="s">
        <v>299</v>
      </c>
      <c r="B1" s="453"/>
      <c r="C1" s="179" t="str">
        <f>К9урнаЛ!A6</f>
        <v>КАЛЬКУЛЯЦІЯ № 9</v>
      </c>
      <c r="D1" s="130"/>
      <c r="E1" s="130"/>
    </row>
    <row r="2" spans="1:5" ht="33.75" customHeight="1">
      <c r="A2" s="454" t="str">
        <f>К9урнаЛ!A7</f>
        <v>Поховання та підпоховання урни з прахом померлих в літку                                                                               у колумбарну нішу, в існуючу могилу, у землю</v>
      </c>
      <c r="B2" s="454"/>
      <c r="C2" s="454"/>
      <c r="D2" s="454"/>
      <c r="E2" s="454"/>
    </row>
    <row r="3" spans="1:5" ht="48.75" customHeight="1">
      <c r="A3" s="500" t="s">
        <v>344</v>
      </c>
      <c r="B3" s="500"/>
      <c r="C3" s="500"/>
      <c r="D3" s="500"/>
      <c r="E3" s="500"/>
    </row>
    <row r="4" spans="1:5" ht="84" customHeight="1" thickBot="1">
      <c r="A4" s="501" t="s">
        <v>345</v>
      </c>
      <c r="B4" s="501"/>
      <c r="C4" s="501"/>
      <c r="D4" s="501"/>
      <c r="E4" s="501"/>
    </row>
    <row r="5" spans="1:5" ht="7.5" hidden="1" customHeight="1" thickBot="1">
      <c r="A5" s="304"/>
    </row>
    <row r="6" spans="1:5" ht="6" hidden="1" customHeight="1" thickBot="1">
      <c r="A6" s="436"/>
      <c r="B6" s="436"/>
      <c r="C6" s="436"/>
      <c r="D6" s="436"/>
    </row>
    <row r="7" spans="1:5" ht="18.75" customHeight="1" thickBot="1">
      <c r="A7" s="250" t="s">
        <v>1</v>
      </c>
      <c r="B7" s="257" t="s">
        <v>208</v>
      </c>
      <c r="C7" s="310" t="s">
        <v>266</v>
      </c>
      <c r="D7" s="252" t="s">
        <v>193</v>
      </c>
      <c r="E7" s="138" t="s">
        <v>267</v>
      </c>
    </row>
    <row r="8" spans="1:5" ht="18.75" customHeight="1">
      <c r="A8" s="414" t="s">
        <v>268</v>
      </c>
      <c r="B8" s="269" t="s">
        <v>341</v>
      </c>
      <c r="C8" s="492" t="s">
        <v>342</v>
      </c>
      <c r="D8" s="519" t="s">
        <v>283</v>
      </c>
      <c r="E8" s="523">
        <f>0.8*0.8*0.8</f>
        <v>0.51200000000000012</v>
      </c>
    </row>
    <row r="9" spans="1:5" ht="26.25" customHeight="1" thickBot="1">
      <c r="A9" s="448"/>
      <c r="B9" s="280" t="s">
        <v>494</v>
      </c>
      <c r="C9" s="493"/>
      <c r="D9" s="520"/>
      <c r="E9" s="524"/>
    </row>
    <row r="10" spans="1:5" ht="18.75" customHeight="1">
      <c r="A10" s="414" t="s">
        <v>292</v>
      </c>
      <c r="B10" s="269" t="s">
        <v>293</v>
      </c>
      <c r="C10" s="502" t="s">
        <v>434</v>
      </c>
      <c r="D10" s="445" t="s">
        <v>56</v>
      </c>
      <c r="E10" s="504">
        <f>ROUND(E20*E8*0.1,2)</f>
        <v>3.99</v>
      </c>
    </row>
    <row r="11" spans="1:5" ht="18.75" customHeight="1" thickBot="1">
      <c r="A11" s="415"/>
      <c r="B11" s="287" t="s">
        <v>496</v>
      </c>
      <c r="C11" s="503"/>
      <c r="D11" s="446"/>
      <c r="E11" s="505"/>
    </row>
    <row r="12" spans="1:5" ht="18" customHeight="1">
      <c r="A12" s="414" t="s">
        <v>270</v>
      </c>
      <c r="B12" s="269" t="s">
        <v>295</v>
      </c>
      <c r="C12" s="502" t="s">
        <v>435</v>
      </c>
      <c r="D12" s="445" t="s">
        <v>56</v>
      </c>
      <c r="E12" s="504">
        <f>ROUND(E20*E8*0.13,2)</f>
        <v>5.18</v>
      </c>
    </row>
    <row r="13" spans="1:5" ht="18" customHeight="1" thickBot="1">
      <c r="A13" s="415"/>
      <c r="B13" s="288" t="s">
        <v>496</v>
      </c>
      <c r="C13" s="503"/>
      <c r="D13" s="446"/>
      <c r="E13" s="505"/>
    </row>
    <row r="14" spans="1:5" ht="18" customHeight="1">
      <c r="A14" s="508" t="s">
        <v>300</v>
      </c>
      <c r="B14" s="183" t="s">
        <v>294</v>
      </c>
      <c r="C14" s="511" t="s">
        <v>436</v>
      </c>
      <c r="D14" s="521" t="s">
        <v>339</v>
      </c>
      <c r="E14" s="527">
        <f>ROUND(2.6*E8,2)</f>
        <v>1.33</v>
      </c>
    </row>
    <row r="15" spans="1:5" ht="18.75" customHeight="1" thickBot="1">
      <c r="A15" s="413"/>
      <c r="B15" s="289" t="s">
        <v>502</v>
      </c>
      <c r="C15" s="512"/>
      <c r="D15" s="522"/>
      <c r="E15" s="428"/>
    </row>
    <row r="16" spans="1:5" ht="18.75" customHeight="1">
      <c r="A16" s="418" t="s">
        <v>272</v>
      </c>
      <c r="B16" s="253" t="s">
        <v>296</v>
      </c>
      <c r="C16" s="420" t="s">
        <v>437</v>
      </c>
      <c r="D16" s="521" t="s">
        <v>339</v>
      </c>
      <c r="E16" s="525">
        <f>ROUND(0.58*E8,2)</f>
        <v>0.3</v>
      </c>
    </row>
    <row r="17" spans="1:5" ht="30" customHeight="1" thickBot="1">
      <c r="A17" s="419"/>
      <c r="B17" s="289" t="s">
        <v>498</v>
      </c>
      <c r="C17" s="421"/>
      <c r="D17" s="522"/>
      <c r="E17" s="526"/>
    </row>
    <row r="18" spans="1:5" ht="28.5" customHeight="1" thickBot="1">
      <c r="A18" s="418" t="s">
        <v>301</v>
      </c>
      <c r="B18" s="253" t="s">
        <v>274</v>
      </c>
      <c r="C18" s="172" t="s">
        <v>419</v>
      </c>
      <c r="D18" s="445" t="s">
        <v>339</v>
      </c>
      <c r="E18" s="258">
        <f>E14+E16</f>
        <v>1.6300000000000001</v>
      </c>
    </row>
    <row r="19" spans="1:5" ht="35.25" customHeight="1" thickBot="1">
      <c r="A19" s="419"/>
      <c r="B19" s="290" t="s">
        <v>275</v>
      </c>
      <c r="C19" s="174" t="s">
        <v>420</v>
      </c>
      <c r="D19" s="446"/>
      <c r="E19" s="314">
        <f>ROUND(E18*1.3,2)</f>
        <v>2.12</v>
      </c>
    </row>
    <row r="20" spans="1:5" ht="36.75" customHeight="1" thickBot="1">
      <c r="A20" s="270" t="s">
        <v>264</v>
      </c>
      <c r="B20" s="291" t="s">
        <v>289</v>
      </c>
      <c r="C20" s="308"/>
      <c r="D20" s="269" t="s">
        <v>56</v>
      </c>
      <c r="E20" s="315">
        <f>СПР_ШТ!D14</f>
        <v>77.87</v>
      </c>
    </row>
    <row r="21" spans="1:5" ht="65.25" customHeight="1" thickBot="1">
      <c r="A21" s="273" t="s">
        <v>302</v>
      </c>
      <c r="B21" s="257" t="s">
        <v>508</v>
      </c>
      <c r="C21" s="274" t="s">
        <v>421</v>
      </c>
      <c r="D21" s="312" t="s">
        <v>56</v>
      </c>
      <c r="E21" s="258">
        <f>E20*E19</f>
        <v>165.08440000000002</v>
      </c>
    </row>
    <row r="22" spans="1:5" ht="35.25" customHeight="1" thickBot="1">
      <c r="A22" s="275" t="s">
        <v>276</v>
      </c>
      <c r="B22" s="276"/>
      <c r="C22" s="277" t="s">
        <v>422</v>
      </c>
      <c r="D22" s="250" t="s">
        <v>56</v>
      </c>
      <c r="E22" s="316">
        <f>E21+E12+E10</f>
        <v>174.25440000000003</v>
      </c>
    </row>
    <row r="23" spans="1:5" ht="24" customHeight="1" thickBot="1">
      <c r="A23" s="270" t="s">
        <v>277</v>
      </c>
      <c r="B23" s="278">
        <v>0.22</v>
      </c>
      <c r="C23" s="277" t="s">
        <v>423</v>
      </c>
      <c r="D23" s="250" t="s">
        <v>56</v>
      </c>
      <c r="E23" s="317">
        <f>ROUND(E22*0.22,2)</f>
        <v>38.340000000000003</v>
      </c>
    </row>
    <row r="24" spans="1:5" ht="33" customHeight="1" thickBot="1">
      <c r="A24" s="300" t="s">
        <v>227</v>
      </c>
      <c r="B24" s="280" t="s">
        <v>290</v>
      </c>
      <c r="C24" s="277"/>
      <c r="D24" s="250" t="s">
        <v>56</v>
      </c>
      <c r="E24" s="317">
        <f>МатВит!G33</f>
        <v>75.739999999999995</v>
      </c>
    </row>
    <row r="25" spans="1:5" ht="18.75" customHeight="1" thickBot="1">
      <c r="A25" s="282" t="s">
        <v>278</v>
      </c>
      <c r="B25" s="280"/>
      <c r="C25" s="277" t="s">
        <v>424</v>
      </c>
      <c r="D25" s="312" t="s">
        <v>56</v>
      </c>
      <c r="E25" s="317">
        <f>E23+E22+E24</f>
        <v>288.33440000000002</v>
      </c>
    </row>
    <row r="26" spans="1:5" ht="18.75" customHeight="1" thickBot="1">
      <c r="A26" s="282" t="s">
        <v>279</v>
      </c>
      <c r="B26" s="278">
        <v>0.15</v>
      </c>
      <c r="C26" s="277" t="s">
        <v>425</v>
      </c>
      <c r="D26" s="313" t="s">
        <v>56</v>
      </c>
      <c r="E26" s="317">
        <f>ROUND(E25*0.15,2)</f>
        <v>43.25</v>
      </c>
    </row>
    <row r="27" spans="1:5" ht="18.75" customHeight="1" thickBot="1">
      <c r="A27" s="282" t="s">
        <v>298</v>
      </c>
      <c r="B27" s="278">
        <v>0.05</v>
      </c>
      <c r="C27" s="277" t="s">
        <v>426</v>
      </c>
      <c r="D27" s="313" t="s">
        <v>56</v>
      </c>
      <c r="E27" s="317">
        <f>ROUND(E25*0.05,2)</f>
        <v>14.42</v>
      </c>
    </row>
    <row r="28" spans="1:5" ht="18.75" customHeight="1" thickBot="1">
      <c r="A28" s="282" t="s">
        <v>280</v>
      </c>
      <c r="B28" s="280" t="s">
        <v>297</v>
      </c>
      <c r="C28" s="277"/>
      <c r="D28" s="313" t="s">
        <v>56</v>
      </c>
      <c r="E28" s="317">
        <f>ОпВитратиРоз3!D12</f>
        <v>67.489999999999995</v>
      </c>
    </row>
    <row r="29" spans="1:5" ht="33" customHeight="1" thickBot="1">
      <c r="A29" s="414" t="s">
        <v>281</v>
      </c>
      <c r="B29" s="416">
        <v>0.12</v>
      </c>
      <c r="C29" s="174" t="s">
        <v>509</v>
      </c>
      <c r="D29" s="313" t="s">
        <v>56</v>
      </c>
      <c r="E29" s="314">
        <f>E25+E26+E28+E27</f>
        <v>413.49440000000004</v>
      </c>
    </row>
    <row r="30" spans="1:5" ht="18.75" customHeight="1" thickBot="1">
      <c r="A30" s="448"/>
      <c r="B30" s="518"/>
      <c r="C30" s="318" t="s">
        <v>427</v>
      </c>
      <c r="D30" s="319" t="s">
        <v>56</v>
      </c>
      <c r="E30" s="315">
        <f>ROUND(E29*0.12,2)</f>
        <v>49.62</v>
      </c>
    </row>
    <row r="31" spans="1:5" ht="18.75" customHeight="1" thickBot="1">
      <c r="A31" s="320" t="s">
        <v>282</v>
      </c>
      <c r="B31" s="321"/>
      <c r="C31" s="172" t="s">
        <v>428</v>
      </c>
      <c r="D31" s="312" t="s">
        <v>56</v>
      </c>
      <c r="E31" s="322">
        <f>E30+E29</f>
        <v>463.11440000000005</v>
      </c>
    </row>
    <row r="32" spans="1:5">
      <c r="A32" s="130"/>
    </row>
    <row r="33" spans="1:11">
      <c r="A33" s="285"/>
    </row>
    <row r="34" spans="1:11" s="45" customFormat="1">
      <c r="A34" s="45" t="s">
        <v>168</v>
      </c>
      <c r="B34" s="48"/>
      <c r="D34" s="45" t="s">
        <v>169</v>
      </c>
      <c r="F34" s="60"/>
      <c r="G34" s="176"/>
      <c r="H34" s="176"/>
      <c r="I34" s="176"/>
      <c r="J34" s="177"/>
      <c r="K34" s="178"/>
    </row>
    <row r="35" spans="1:11">
      <c r="A35" s="130"/>
    </row>
    <row r="36" spans="1:11">
      <c r="A36" s="285"/>
    </row>
    <row r="37" spans="1:11">
      <c r="A37" s="130"/>
    </row>
    <row r="38" spans="1:11">
      <c r="A38" s="286"/>
    </row>
  </sheetData>
  <mergeCells count="29">
    <mergeCell ref="E8:E9"/>
    <mergeCell ref="E16:E17"/>
    <mergeCell ref="E14:E15"/>
    <mergeCell ref="A8:A9"/>
    <mergeCell ref="C8:C9"/>
    <mergeCell ref="D8:D9"/>
    <mergeCell ref="D16:D17"/>
    <mergeCell ref="C14:C15"/>
    <mergeCell ref="D14:D15"/>
    <mergeCell ref="A14:A15"/>
    <mergeCell ref="C10:C11"/>
    <mergeCell ref="A16:A17"/>
    <mergeCell ref="C16:C17"/>
    <mergeCell ref="A29:A30"/>
    <mergeCell ref="B29:B30"/>
    <mergeCell ref="E10:E11"/>
    <mergeCell ref="A12:A13"/>
    <mergeCell ref="C12:C13"/>
    <mergeCell ref="D12:D13"/>
    <mergeCell ref="E12:E13"/>
    <mergeCell ref="D10:D11"/>
    <mergeCell ref="A10:A11"/>
    <mergeCell ref="A18:A19"/>
    <mergeCell ref="D18:D19"/>
    <mergeCell ref="A1:B1"/>
    <mergeCell ref="A3:E3"/>
    <mergeCell ref="A4:E4"/>
    <mergeCell ref="A6:D6"/>
    <mergeCell ref="A2:E2"/>
  </mergeCells>
  <phoneticPr fontId="5" type="noConversion"/>
  <pageMargins left="0.9055118110236221" right="0.31496062992125984" top="0.55118110236220474" bottom="0.55118110236220474" header="0.31496062992125984" footer="0.31496062992125984"/>
  <pageSetup paperSize="9" scale="82"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Лист8">
    <tabColor theme="6" tint="-0.249977111117893"/>
  </sheetPr>
  <dimension ref="A1:C31"/>
  <sheetViews>
    <sheetView view="pageBreakPreview" zoomScale="83" zoomScaleNormal="100" zoomScaleSheetLayoutView="83" workbookViewId="0">
      <selection activeCell="F27" sqref="F27"/>
    </sheetView>
  </sheetViews>
  <sheetFormatPr defaultColWidth="9.140625" defaultRowHeight="15"/>
  <cols>
    <col min="1" max="1" width="5.85546875" style="25" customWidth="1"/>
    <col min="2" max="2" width="45.140625" style="25" customWidth="1"/>
    <col min="3" max="3" width="24.7109375" style="25" customWidth="1"/>
    <col min="4" max="4" width="3.28515625" style="25" customWidth="1"/>
    <col min="5" max="16384" width="9.140625" style="25"/>
  </cols>
  <sheetData>
    <row r="1" spans="1:3" ht="12" customHeight="1">
      <c r="C1" s="80" t="s">
        <v>34</v>
      </c>
    </row>
    <row r="2" spans="1:3" ht="13.15" customHeight="1">
      <c r="C2" s="80" t="s">
        <v>35</v>
      </c>
    </row>
    <row r="3" spans="1:3" ht="9" customHeight="1">
      <c r="C3" s="80" t="s">
        <v>36</v>
      </c>
    </row>
    <row r="4" spans="1:3" ht="9" customHeight="1">
      <c r="C4" s="80" t="s">
        <v>37</v>
      </c>
    </row>
    <row r="5" spans="1:3" ht="9" customHeight="1">
      <c r="C5" s="80" t="s">
        <v>38</v>
      </c>
    </row>
    <row r="6" spans="1:3" ht="26.25" customHeight="1">
      <c r="A6" s="404" t="s">
        <v>128</v>
      </c>
      <c r="B6" s="404"/>
      <c r="C6" s="404"/>
    </row>
    <row r="7" spans="1:3" ht="26.25" customHeight="1">
      <c r="A7" s="404" t="s">
        <v>118</v>
      </c>
      <c r="B7" s="404"/>
      <c r="C7" s="404"/>
    </row>
    <row r="8" spans="1:3" ht="9" customHeight="1"/>
    <row r="9" spans="1:3" ht="9" customHeight="1"/>
    <row r="10" spans="1:3" ht="14.45" customHeight="1">
      <c r="A10" s="406" t="s">
        <v>33</v>
      </c>
      <c r="B10" s="408" t="s">
        <v>1</v>
      </c>
      <c r="C10" s="408" t="s">
        <v>2</v>
      </c>
    </row>
    <row r="11" spans="1:3" ht="14.45" customHeight="1">
      <c r="A11" s="407"/>
      <c r="B11" s="408"/>
      <c r="C11" s="408"/>
    </row>
    <row r="12" spans="1:3" ht="25.5" customHeight="1">
      <c r="A12" s="1">
        <v>1</v>
      </c>
      <c r="B12" s="2" t="s">
        <v>3</v>
      </c>
      <c r="C12" s="3">
        <f>C13+C18</f>
        <v>3917.0801999999994</v>
      </c>
    </row>
    <row r="13" spans="1:3" ht="19.5" customHeight="1">
      <c r="A13" s="1" t="s">
        <v>13</v>
      </c>
      <c r="B13" s="2" t="s">
        <v>4</v>
      </c>
      <c r="C13" s="131">
        <f>C14+C15+C16</f>
        <v>3207.9901999999997</v>
      </c>
    </row>
    <row r="14" spans="1:3" ht="36" customHeight="1">
      <c r="A14" s="1" t="s">
        <v>14</v>
      </c>
      <c r="B14" s="2" t="s">
        <v>202</v>
      </c>
      <c r="C14" s="131">
        <f>МатВит!G33</f>
        <v>75.739999999999995</v>
      </c>
    </row>
    <row r="15" spans="1:3" ht="27.75" customHeight="1">
      <c r="A15" s="1" t="s">
        <v>22</v>
      </c>
      <c r="B15" s="2" t="s">
        <v>27</v>
      </c>
      <c r="C15" s="131">
        <f>Роз8!E31</f>
        <v>2567.4202</v>
      </c>
    </row>
    <row r="16" spans="1:3" ht="17.25" customHeight="1">
      <c r="A16" s="486" t="s">
        <v>23</v>
      </c>
      <c r="B16" s="2" t="s">
        <v>5</v>
      </c>
      <c r="C16" s="488">
        <f>ROUND(C15*22%,2)</f>
        <v>564.83000000000004</v>
      </c>
    </row>
    <row r="17" spans="1:3" ht="36.75" customHeight="1">
      <c r="A17" s="487"/>
      <c r="B17" s="2" t="s">
        <v>6</v>
      </c>
      <c r="C17" s="489"/>
    </row>
    <row r="18" spans="1:3" ht="19.5" customHeight="1">
      <c r="A18" s="1" t="s">
        <v>24</v>
      </c>
      <c r="B18" s="2" t="s">
        <v>7</v>
      </c>
      <c r="C18" s="131">
        <f>C21+C20+C19</f>
        <v>709.08999999999992</v>
      </c>
    </row>
    <row r="19" spans="1:3" ht="32.450000000000003" customHeight="1">
      <c r="A19" s="1" t="s">
        <v>85</v>
      </c>
      <c r="B19" s="2" t="s">
        <v>84</v>
      </c>
      <c r="C19" s="131">
        <f>ROUND(C13*15%,2)</f>
        <v>481.2</v>
      </c>
    </row>
    <row r="20" spans="1:3" ht="24" customHeight="1">
      <c r="A20" s="1" t="s">
        <v>87</v>
      </c>
      <c r="B20" s="2" t="s">
        <v>86</v>
      </c>
      <c r="C20" s="131">
        <f>ROUND(C13*5%,2)</f>
        <v>160.4</v>
      </c>
    </row>
    <row r="21" spans="1:3" ht="24" customHeight="1">
      <c r="A21" s="1" t="s">
        <v>88</v>
      </c>
      <c r="B21" s="2" t="s">
        <v>28</v>
      </c>
      <c r="C21" s="131">
        <f>ОпВитратиРоз3!D12</f>
        <v>67.489999999999995</v>
      </c>
    </row>
    <row r="22" spans="1:3" ht="24" customHeight="1">
      <c r="A22" s="1">
        <v>2</v>
      </c>
      <c r="B22" s="2" t="s">
        <v>29</v>
      </c>
      <c r="C22" s="131"/>
    </row>
    <row r="23" spans="1:3" ht="21" customHeight="1">
      <c r="A23" s="1" t="s">
        <v>89</v>
      </c>
      <c r="B23" s="2" t="s">
        <v>30</v>
      </c>
      <c r="C23" s="131">
        <f>C13+C18</f>
        <v>3917.0801999999994</v>
      </c>
    </row>
    <row r="24" spans="1:3" ht="34.15" customHeight="1">
      <c r="A24" s="1" t="s">
        <v>90</v>
      </c>
      <c r="B24" s="2" t="s">
        <v>9</v>
      </c>
      <c r="C24" s="131">
        <f>ROUND(C23*12%,2)</f>
        <v>470.05</v>
      </c>
    </row>
    <row r="25" spans="1:3" ht="21" customHeight="1">
      <c r="A25" s="1" t="s">
        <v>91</v>
      </c>
      <c r="B25" s="2" t="s">
        <v>31</v>
      </c>
      <c r="C25" s="131">
        <f>C23+C24</f>
        <v>4387.1301999999996</v>
      </c>
    </row>
    <row r="26" spans="1:3" ht="30" customHeight="1">
      <c r="A26" s="1" t="s">
        <v>92</v>
      </c>
      <c r="B26" s="2" t="s">
        <v>11</v>
      </c>
      <c r="C26" s="132">
        <v>1</v>
      </c>
    </row>
    <row r="27" spans="1:3" ht="21" customHeight="1">
      <c r="A27" s="1" t="s">
        <v>93</v>
      </c>
      <c r="B27" s="2" t="s">
        <v>32</v>
      </c>
      <c r="C27" s="133">
        <f>C25*C26</f>
        <v>4387.1301999999996</v>
      </c>
    </row>
    <row r="29" spans="1:3" ht="15.75">
      <c r="A29" s="130" t="s">
        <v>610</v>
      </c>
    </row>
    <row r="31" spans="1:3">
      <c r="A31" s="403" t="s">
        <v>55</v>
      </c>
      <c r="B31" s="403"/>
      <c r="C31" s="6" t="s">
        <v>528</v>
      </c>
    </row>
  </sheetData>
  <mergeCells count="8">
    <mergeCell ref="A6:C6"/>
    <mergeCell ref="A7:C7"/>
    <mergeCell ref="B10:B11"/>
    <mergeCell ref="C10:C11"/>
    <mergeCell ref="A31:B31"/>
    <mergeCell ref="A16:A17"/>
    <mergeCell ref="C16:C17"/>
    <mergeCell ref="A10:A11"/>
  </mergeCells>
  <phoneticPr fontId="5" type="noConversion"/>
  <pageMargins left="1.299212598425197" right="0.31496062992125984" top="0.74803149606299213" bottom="0.74803149606299213" header="0.31496062992125984" footer="0.31496062992125984"/>
  <pageSetup paperSize="9" scale="107"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249977111117893"/>
  </sheetPr>
  <dimension ref="A1:K47"/>
  <sheetViews>
    <sheetView view="pageBreakPreview" topLeftCell="A31" zoomScaleNormal="100" zoomScaleSheetLayoutView="100" workbookViewId="0">
      <selection activeCell="C13" sqref="C13:C14"/>
    </sheetView>
  </sheetViews>
  <sheetFormatPr defaultColWidth="9.140625" defaultRowHeight="15.75"/>
  <cols>
    <col min="1" max="1" width="32" style="292" customWidth="1"/>
    <col min="2" max="2" width="24.42578125" style="292" customWidth="1"/>
    <col min="3" max="3" width="25.5703125" style="311" customWidth="1"/>
    <col min="4" max="4" width="11.85546875" style="292" customWidth="1"/>
    <col min="5" max="5" width="13.28515625" style="292" customWidth="1"/>
    <col min="6" max="16384" width="9.140625" style="292"/>
  </cols>
  <sheetData>
    <row r="1" spans="1:5" ht="20.25" customHeight="1">
      <c r="A1" s="453" t="s">
        <v>299</v>
      </c>
      <c r="B1" s="453"/>
      <c r="C1" s="179" t="str">
        <f>к8броньЗ!A6</f>
        <v>КАЛЬКУЛЯЦІЯ № 8</v>
      </c>
      <c r="D1" s="130"/>
      <c r="E1" s="130"/>
    </row>
    <row r="2" spans="1:5" ht="19.5" customHeight="1">
      <c r="A2" s="535" t="str">
        <f>к8броньЗ!A7</f>
        <v>Копка могили вручну взимку всередині, раніше встановленої огорожі</v>
      </c>
      <c r="B2" s="535"/>
      <c r="C2" s="535"/>
      <c r="D2" s="535"/>
      <c r="E2" s="535"/>
    </row>
    <row r="3" spans="1:5" ht="48.75" customHeight="1">
      <c r="A3" s="454" t="s">
        <v>337</v>
      </c>
      <c r="B3" s="454"/>
      <c r="C3" s="454"/>
      <c r="D3" s="454"/>
      <c r="E3" s="454"/>
    </row>
    <row r="4" spans="1:5" ht="72" customHeight="1">
      <c r="A4" s="536" t="s">
        <v>505</v>
      </c>
      <c r="B4" s="536"/>
      <c r="C4" s="536"/>
      <c r="D4" s="536"/>
      <c r="E4" s="536"/>
    </row>
    <row r="5" spans="1:5" ht="2.25" customHeight="1">
      <c r="A5" s="304"/>
    </row>
    <row r="6" spans="1:5" ht="1.5" customHeight="1" thickBot="1">
      <c r="A6" s="436"/>
      <c r="B6" s="436"/>
      <c r="C6" s="436"/>
      <c r="D6" s="436"/>
    </row>
    <row r="7" spans="1:5" ht="18.75" customHeight="1" thickBot="1">
      <c r="A7" s="250" t="s">
        <v>1</v>
      </c>
      <c r="B7" s="183" t="s">
        <v>208</v>
      </c>
      <c r="C7" s="310" t="s">
        <v>266</v>
      </c>
      <c r="D7" s="252" t="s">
        <v>193</v>
      </c>
      <c r="E7" s="138" t="s">
        <v>489</v>
      </c>
    </row>
    <row r="8" spans="1:5" ht="15" customHeight="1">
      <c r="A8" s="418" t="s">
        <v>268</v>
      </c>
      <c r="B8" s="253" t="s">
        <v>286</v>
      </c>
      <c r="C8" s="530" t="s">
        <v>284</v>
      </c>
      <c r="D8" s="449" t="s">
        <v>283</v>
      </c>
      <c r="E8" s="531">
        <f>2.2*1.9*1</f>
        <v>4.18</v>
      </c>
    </row>
    <row r="9" spans="1:5" ht="5.25" customHeight="1" thickBot="1">
      <c r="A9" s="448"/>
      <c r="B9" s="427" t="s">
        <v>308</v>
      </c>
      <c r="C9" s="493"/>
      <c r="D9" s="450"/>
      <c r="E9" s="532"/>
    </row>
    <row r="10" spans="1:5" ht="18.75" customHeight="1">
      <c r="A10" s="418" t="s">
        <v>215</v>
      </c>
      <c r="B10" s="427"/>
      <c r="C10" s="420" t="s">
        <v>306</v>
      </c>
      <c r="D10" s="426" t="s">
        <v>283</v>
      </c>
      <c r="E10" s="533">
        <f>ROUND(2.2*0.5,2)</f>
        <v>1.1000000000000001</v>
      </c>
    </row>
    <row r="11" spans="1:5" ht="14.25" customHeight="1" thickBot="1">
      <c r="A11" s="419"/>
      <c r="B11" s="427"/>
      <c r="C11" s="421"/>
      <c r="D11" s="499"/>
      <c r="E11" s="534"/>
    </row>
    <row r="12" spans="1:5" ht="18.75" customHeight="1" thickBot="1">
      <c r="A12" s="265" t="s">
        <v>219</v>
      </c>
      <c r="B12" s="423"/>
      <c r="C12" s="172" t="s">
        <v>307</v>
      </c>
      <c r="D12" s="262" t="s">
        <v>283</v>
      </c>
      <c r="E12" s="139">
        <f>ROUND(2.2*1.4,2)</f>
        <v>3.08</v>
      </c>
    </row>
    <row r="13" spans="1:5" ht="18.75" customHeight="1">
      <c r="A13" s="508" t="s">
        <v>338</v>
      </c>
      <c r="B13" s="309">
        <v>8.9999999999999993E-3</v>
      </c>
      <c r="C13" s="511"/>
      <c r="D13" s="426"/>
      <c r="E13" s="528">
        <v>8.9999999999999993E-3</v>
      </c>
    </row>
    <row r="14" spans="1:5" ht="24.75" customHeight="1" thickBot="1">
      <c r="A14" s="413"/>
      <c r="B14" s="184" t="s">
        <v>502</v>
      </c>
      <c r="C14" s="512"/>
      <c r="D14" s="427"/>
      <c r="E14" s="529"/>
    </row>
    <row r="15" spans="1:5" ht="16.5" customHeight="1">
      <c r="A15" s="414" t="s">
        <v>292</v>
      </c>
      <c r="B15" s="269" t="s">
        <v>293</v>
      </c>
      <c r="C15" s="502" t="s">
        <v>353</v>
      </c>
      <c r="D15" s="432" t="s">
        <v>56</v>
      </c>
      <c r="E15" s="506">
        <f>ROUND(E29*2.2*0.1*1.009,2)</f>
        <v>17.29</v>
      </c>
    </row>
    <row r="16" spans="1:5" ht="17.25" customHeight="1" thickBot="1">
      <c r="A16" s="415"/>
      <c r="B16" s="184" t="s">
        <v>496</v>
      </c>
      <c r="C16" s="503"/>
      <c r="D16" s="429"/>
      <c r="E16" s="507"/>
    </row>
    <row r="17" spans="1:5" ht="15" customHeight="1">
      <c r="A17" s="414" t="s">
        <v>270</v>
      </c>
      <c r="B17" s="269" t="s">
        <v>295</v>
      </c>
      <c r="C17" s="502" t="s">
        <v>354</v>
      </c>
      <c r="D17" s="432" t="s">
        <v>56</v>
      </c>
      <c r="E17" s="506">
        <f>ROUND(E29*2.2*0.13*1.009,2)</f>
        <v>22.47</v>
      </c>
    </row>
    <row r="18" spans="1:5" ht="18" customHeight="1" thickBot="1">
      <c r="A18" s="415"/>
      <c r="B18" s="184" t="s">
        <v>496</v>
      </c>
      <c r="C18" s="503"/>
      <c r="D18" s="429"/>
      <c r="E18" s="507"/>
    </row>
    <row r="19" spans="1:5" ht="19.5" customHeight="1">
      <c r="A19" s="508" t="s">
        <v>300</v>
      </c>
      <c r="B19" s="509" t="s">
        <v>516</v>
      </c>
      <c r="C19" s="511" t="s">
        <v>355</v>
      </c>
      <c r="D19" s="426" t="s">
        <v>285</v>
      </c>
      <c r="E19" s="537">
        <f>ROUND((E21+E23)*1.009,2)</f>
        <v>21.64</v>
      </c>
    </row>
    <row r="20" spans="1:5" ht="16.5" customHeight="1" thickBot="1">
      <c r="A20" s="413"/>
      <c r="B20" s="510"/>
      <c r="C20" s="512"/>
      <c r="D20" s="427"/>
      <c r="E20" s="538"/>
    </row>
    <row r="21" spans="1:5" ht="34.5" customHeight="1">
      <c r="A21" s="418" t="s">
        <v>491</v>
      </c>
      <c r="B21" s="183" t="s">
        <v>309</v>
      </c>
      <c r="C21" s="420" t="s">
        <v>312</v>
      </c>
      <c r="D21" s="426" t="s">
        <v>285</v>
      </c>
      <c r="E21" s="533">
        <f>ROUND(E10*9.4*1.3,2)</f>
        <v>13.44</v>
      </c>
    </row>
    <row r="22" spans="1:5" ht="57" customHeight="1" thickBot="1">
      <c r="A22" s="419"/>
      <c r="B22" s="184" t="s">
        <v>502</v>
      </c>
      <c r="C22" s="421"/>
      <c r="D22" s="427"/>
      <c r="E22" s="534"/>
    </row>
    <row r="23" spans="1:5" ht="18.75" customHeight="1">
      <c r="A23" s="508" t="s">
        <v>219</v>
      </c>
      <c r="B23" s="183" t="s">
        <v>294</v>
      </c>
      <c r="C23" s="514" t="s">
        <v>310</v>
      </c>
      <c r="D23" s="432" t="s">
        <v>285</v>
      </c>
      <c r="E23" s="432">
        <f>ROUND(2.6*E12,2)</f>
        <v>8.01</v>
      </c>
    </row>
    <row r="24" spans="1:5" ht="18" customHeight="1" thickBot="1">
      <c r="A24" s="513"/>
      <c r="B24" s="184" t="s">
        <v>502</v>
      </c>
      <c r="C24" s="515"/>
      <c r="D24" s="429"/>
      <c r="E24" s="429"/>
    </row>
    <row r="25" spans="1:5" ht="18.75" customHeight="1">
      <c r="A25" s="418" t="s">
        <v>272</v>
      </c>
      <c r="B25" s="253" t="s">
        <v>332</v>
      </c>
      <c r="C25" s="420" t="s">
        <v>433</v>
      </c>
      <c r="D25" s="422" t="s">
        <v>285</v>
      </c>
      <c r="E25" s="533">
        <f>ROUND(0.79*E8*1.009,2)</f>
        <v>3.33</v>
      </c>
    </row>
    <row r="26" spans="1:5" ht="30" customHeight="1" thickBot="1">
      <c r="A26" s="419"/>
      <c r="B26" s="184" t="s">
        <v>498</v>
      </c>
      <c r="C26" s="421"/>
      <c r="D26" s="423"/>
      <c r="E26" s="534"/>
    </row>
    <row r="27" spans="1:5" ht="28.5" customHeight="1" thickBot="1">
      <c r="A27" s="418" t="s">
        <v>301</v>
      </c>
      <c r="B27" s="253" t="s">
        <v>274</v>
      </c>
      <c r="C27" s="172" t="s">
        <v>408</v>
      </c>
      <c r="D27" s="422" t="s">
        <v>285</v>
      </c>
      <c r="E27" s="141">
        <f>E25+E19</f>
        <v>24.97</v>
      </c>
    </row>
    <row r="28" spans="1:5" ht="35.25" customHeight="1" thickBot="1">
      <c r="A28" s="419"/>
      <c r="B28" s="290" t="s">
        <v>275</v>
      </c>
      <c r="C28" s="174" t="s">
        <v>409</v>
      </c>
      <c r="D28" s="423"/>
      <c r="E28" s="182">
        <f>ROUND(E27*1.3,2)</f>
        <v>32.46</v>
      </c>
    </row>
    <row r="29" spans="1:5" ht="34.5" customHeight="1" thickBot="1">
      <c r="A29" s="270" t="s">
        <v>264</v>
      </c>
      <c r="B29" s="291" t="s">
        <v>289</v>
      </c>
      <c r="C29" s="308"/>
      <c r="D29" s="272" t="s">
        <v>56</v>
      </c>
      <c r="E29" s="142">
        <f>СПР_ШТ!D14</f>
        <v>77.87</v>
      </c>
    </row>
    <row r="30" spans="1:5" ht="63" customHeight="1" thickBot="1">
      <c r="A30" s="273" t="s">
        <v>302</v>
      </c>
      <c r="B30" s="257" t="s">
        <v>303</v>
      </c>
      <c r="C30" s="274" t="s">
        <v>410</v>
      </c>
      <c r="D30" s="257" t="s">
        <v>56</v>
      </c>
      <c r="E30" s="141">
        <f>E29*E28</f>
        <v>2527.6602000000003</v>
      </c>
    </row>
    <row r="31" spans="1:5" ht="30.75" customHeight="1" thickBot="1">
      <c r="A31" s="275" t="s">
        <v>276</v>
      </c>
      <c r="B31" s="276"/>
      <c r="C31" s="277" t="s">
        <v>411</v>
      </c>
      <c r="D31" s="183" t="s">
        <v>56</v>
      </c>
      <c r="E31" s="143">
        <f>E30+E17+E15</f>
        <v>2567.4202</v>
      </c>
    </row>
    <row r="32" spans="1:5" ht="27" customHeight="1" thickBot="1">
      <c r="A32" s="270" t="s">
        <v>277</v>
      </c>
      <c r="B32" s="278">
        <v>0.22</v>
      </c>
      <c r="C32" s="277" t="s">
        <v>412</v>
      </c>
      <c r="D32" s="183" t="s">
        <v>56</v>
      </c>
      <c r="E32" s="185">
        <f>ROUND(E31*0.22,2)</f>
        <v>564.83000000000004</v>
      </c>
    </row>
    <row r="33" spans="1:11" ht="33" customHeight="1" thickBot="1">
      <c r="A33" s="300" t="s">
        <v>227</v>
      </c>
      <c r="B33" s="280" t="s">
        <v>290</v>
      </c>
      <c r="C33" s="277"/>
      <c r="D33" s="183" t="s">
        <v>56</v>
      </c>
      <c r="E33" s="185">
        <f>МатВит!G33</f>
        <v>75.739999999999995</v>
      </c>
    </row>
    <row r="34" spans="1:11" ht="18.75" customHeight="1" thickBot="1">
      <c r="A34" s="282" t="s">
        <v>278</v>
      </c>
      <c r="B34" s="280"/>
      <c r="C34" s="277" t="s">
        <v>413</v>
      </c>
      <c r="D34" s="257" t="s">
        <v>56</v>
      </c>
      <c r="E34" s="185">
        <f>E32+E31+E33</f>
        <v>3207.9901999999997</v>
      </c>
    </row>
    <row r="35" spans="1:11" ht="18.75" customHeight="1" thickBot="1">
      <c r="A35" s="282" t="s">
        <v>279</v>
      </c>
      <c r="B35" s="278">
        <v>0.15</v>
      </c>
      <c r="C35" s="277" t="s">
        <v>414</v>
      </c>
      <c r="D35" s="184" t="s">
        <v>56</v>
      </c>
      <c r="E35" s="185">
        <f>ROUND(E34*0.15,2)</f>
        <v>481.2</v>
      </c>
    </row>
    <row r="36" spans="1:11" ht="18.75" customHeight="1" thickBot="1">
      <c r="A36" s="282" t="s">
        <v>298</v>
      </c>
      <c r="B36" s="278">
        <v>0.05</v>
      </c>
      <c r="C36" s="277" t="s">
        <v>415</v>
      </c>
      <c r="D36" s="184" t="s">
        <v>56</v>
      </c>
      <c r="E36" s="185">
        <f>ROUND(E34*0.05,2)</f>
        <v>160.4</v>
      </c>
    </row>
    <row r="37" spans="1:11" ht="18.75" customHeight="1" thickBot="1">
      <c r="A37" s="282" t="s">
        <v>280</v>
      </c>
      <c r="B37" s="280" t="s">
        <v>297</v>
      </c>
      <c r="C37" s="277"/>
      <c r="D37" s="184" t="s">
        <v>56</v>
      </c>
      <c r="E37" s="185">
        <f>ОпВитратиРоз3!D12</f>
        <v>67.489999999999995</v>
      </c>
    </row>
    <row r="38" spans="1:11" ht="28.5" customHeight="1" thickBot="1">
      <c r="A38" s="414" t="s">
        <v>281</v>
      </c>
      <c r="B38" s="416">
        <v>0.12</v>
      </c>
      <c r="C38" s="174" t="s">
        <v>416</v>
      </c>
      <c r="D38" s="184" t="s">
        <v>56</v>
      </c>
      <c r="E38" s="182">
        <f>E34+E35+E37+E36</f>
        <v>3917.0801999999994</v>
      </c>
    </row>
    <row r="39" spans="1:11" ht="18.75" customHeight="1" thickBot="1">
      <c r="A39" s="415"/>
      <c r="B39" s="417"/>
      <c r="C39" s="277" t="s">
        <v>417</v>
      </c>
      <c r="D39" s="184" t="s">
        <v>56</v>
      </c>
      <c r="E39" s="185">
        <f>ROUND(E38*0.12,2)</f>
        <v>470.05</v>
      </c>
    </row>
    <row r="40" spans="1:11" ht="18.75" customHeight="1" thickBot="1">
      <c r="A40" s="283" t="s">
        <v>282</v>
      </c>
      <c r="B40" s="284"/>
      <c r="C40" s="277" t="s">
        <v>418</v>
      </c>
      <c r="D40" s="184" t="s">
        <v>56</v>
      </c>
      <c r="E40" s="144">
        <f>E39+E38</f>
        <v>4387.1301999999996</v>
      </c>
    </row>
    <row r="41" spans="1:11" ht="9" customHeight="1">
      <c r="A41" s="130"/>
    </row>
    <row r="42" spans="1:11" ht="9" customHeight="1">
      <c r="A42" s="285"/>
    </row>
    <row r="43" spans="1:11" s="45" customFormat="1">
      <c r="A43" s="45" t="s">
        <v>168</v>
      </c>
      <c r="B43" s="48"/>
      <c r="D43" s="45" t="s">
        <v>169</v>
      </c>
      <c r="F43" s="60"/>
      <c r="G43" s="176"/>
      <c r="H43" s="176"/>
      <c r="I43" s="176"/>
      <c r="J43" s="177"/>
      <c r="K43" s="178"/>
    </row>
    <row r="44" spans="1:11">
      <c r="A44" s="130"/>
    </row>
    <row r="45" spans="1:11">
      <c r="A45" s="285"/>
    </row>
    <row r="46" spans="1:11">
      <c r="A46" s="130"/>
    </row>
    <row r="47" spans="1:11">
      <c r="A47" s="286"/>
    </row>
  </sheetData>
  <mergeCells count="47">
    <mergeCell ref="E19:E20"/>
    <mergeCell ref="D17:D18"/>
    <mergeCell ref="E17:E18"/>
    <mergeCell ref="A15:A16"/>
    <mergeCell ref="C15:C16"/>
    <mergeCell ref="D15:D16"/>
    <mergeCell ref="E15:E16"/>
    <mergeCell ref="A17:A18"/>
    <mergeCell ref="C17:C18"/>
    <mergeCell ref="C19:C20"/>
    <mergeCell ref="B19:B20"/>
    <mergeCell ref="A19:A20"/>
    <mergeCell ref="D19:D20"/>
    <mergeCell ref="A38:A39"/>
    <mergeCell ref="B38:B39"/>
    <mergeCell ref="E25:E26"/>
    <mergeCell ref="E21:E22"/>
    <mergeCell ref="E23:E24"/>
    <mergeCell ref="C25:C26"/>
    <mergeCell ref="D27:D28"/>
    <mergeCell ref="D25:D26"/>
    <mergeCell ref="A27:A28"/>
    <mergeCell ref="A25:A26"/>
    <mergeCell ref="A23:A24"/>
    <mergeCell ref="C23:C24"/>
    <mergeCell ref="D23:D24"/>
    <mergeCell ref="A21:A22"/>
    <mergeCell ref="C21:C22"/>
    <mergeCell ref="D21:D22"/>
    <mergeCell ref="A1:B1"/>
    <mergeCell ref="A2:E2"/>
    <mergeCell ref="A3:E3"/>
    <mergeCell ref="A4:E4"/>
    <mergeCell ref="D10:D11"/>
    <mergeCell ref="D13:D14"/>
    <mergeCell ref="A13:A14"/>
    <mergeCell ref="C13:C14"/>
    <mergeCell ref="A6:D6"/>
    <mergeCell ref="E13:E14"/>
    <mergeCell ref="A8:A9"/>
    <mergeCell ref="C8:C9"/>
    <mergeCell ref="D8:D9"/>
    <mergeCell ref="E8:E9"/>
    <mergeCell ref="E10:E11"/>
    <mergeCell ref="B9:B12"/>
    <mergeCell ref="A10:A11"/>
    <mergeCell ref="C10:C11"/>
  </mergeCells>
  <phoneticPr fontId="5" type="noConversion"/>
  <pageMargins left="0.9055118110236221" right="0.31496062992125984" top="0" bottom="0" header="0.31496062992125984" footer="0.31496062992125984"/>
  <pageSetup paperSize="9" scale="83"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Лист3">
    <tabColor indexed="14"/>
  </sheetPr>
  <dimension ref="A1:C31"/>
  <sheetViews>
    <sheetView view="pageBreakPreview" topLeftCell="A13" zoomScale="78" zoomScaleNormal="100" zoomScaleSheetLayoutView="78" workbookViewId="0">
      <selection activeCell="E25" sqref="E25"/>
    </sheetView>
  </sheetViews>
  <sheetFormatPr defaultRowHeight="15"/>
  <cols>
    <col min="1" max="1" width="5.85546875" customWidth="1"/>
    <col min="2" max="2" width="44.28515625" customWidth="1"/>
    <col min="3" max="3" width="25.140625" customWidth="1"/>
  </cols>
  <sheetData>
    <row r="1" spans="1:3" ht="12" customHeight="1">
      <c r="C1" s="80" t="s">
        <v>34</v>
      </c>
    </row>
    <row r="2" spans="1:3" ht="13.15" customHeight="1">
      <c r="C2" s="80" t="s">
        <v>35</v>
      </c>
    </row>
    <row r="3" spans="1:3" ht="9" customHeight="1">
      <c r="C3" s="80" t="s">
        <v>36</v>
      </c>
    </row>
    <row r="4" spans="1:3" ht="9" customHeight="1">
      <c r="C4" s="80" t="s">
        <v>37</v>
      </c>
    </row>
    <row r="5" spans="1:3" ht="9" customHeight="1">
      <c r="C5" s="80" t="s">
        <v>38</v>
      </c>
    </row>
    <row r="6" spans="1:3" ht="33" customHeight="1">
      <c r="A6" s="404" t="s">
        <v>115</v>
      </c>
      <c r="B6" s="404"/>
      <c r="C6" s="404"/>
    </row>
    <row r="7" spans="1:3" ht="25.5" customHeight="1">
      <c r="A7" s="404" t="s">
        <v>117</v>
      </c>
      <c r="B7" s="404"/>
      <c r="C7" s="404"/>
    </row>
    <row r="8" spans="1:3" ht="3.75" customHeight="1"/>
    <row r="9" spans="1:3" ht="3.75" customHeight="1"/>
    <row r="10" spans="1:3" ht="14.45" customHeight="1">
      <c r="A10" s="406" t="s">
        <v>33</v>
      </c>
      <c r="B10" s="408" t="s">
        <v>1</v>
      </c>
      <c r="C10" s="408" t="s">
        <v>2</v>
      </c>
    </row>
    <row r="11" spans="1:3" ht="14.45" customHeight="1">
      <c r="A11" s="407"/>
      <c r="B11" s="408"/>
      <c r="C11" s="408"/>
    </row>
    <row r="12" spans="1:3" ht="25.5" customHeight="1">
      <c r="A12" s="1">
        <v>1</v>
      </c>
      <c r="B12" s="2" t="s">
        <v>3</v>
      </c>
      <c r="C12" s="3">
        <f>C18+C13</f>
        <v>2205.9115000000002</v>
      </c>
    </row>
    <row r="13" spans="1:3" ht="19.5" customHeight="1">
      <c r="A13" s="1" t="s">
        <v>13</v>
      </c>
      <c r="B13" s="2" t="s">
        <v>4</v>
      </c>
      <c r="C13" s="131">
        <f>C14+C15+C16</f>
        <v>1782.0215000000001</v>
      </c>
    </row>
    <row r="14" spans="1:3" ht="36" customHeight="1">
      <c r="A14" s="1" t="s">
        <v>14</v>
      </c>
      <c r="B14" s="2" t="s">
        <v>202</v>
      </c>
      <c r="C14" s="131">
        <f>МатВит!G33</f>
        <v>75.739999999999995</v>
      </c>
    </row>
    <row r="15" spans="1:3" ht="27.75" customHeight="1">
      <c r="A15" s="1" t="s">
        <v>22</v>
      </c>
      <c r="B15" s="2" t="s">
        <v>27</v>
      </c>
      <c r="C15" s="131">
        <f>Роз7!E23</f>
        <v>1398.5915</v>
      </c>
    </row>
    <row r="16" spans="1:3" ht="17.25" customHeight="1">
      <c r="A16" s="486" t="s">
        <v>23</v>
      </c>
      <c r="B16" s="2" t="s">
        <v>5</v>
      </c>
      <c r="C16" s="488">
        <f>ROUND(C15*22%,2)</f>
        <v>307.69</v>
      </c>
    </row>
    <row r="17" spans="1:3" s="32" customFormat="1" ht="27.75" customHeight="1">
      <c r="A17" s="487"/>
      <c r="B17" s="22" t="s">
        <v>6</v>
      </c>
      <c r="C17" s="489"/>
    </row>
    <row r="18" spans="1:3" ht="19.5" customHeight="1">
      <c r="A18" s="1" t="s">
        <v>24</v>
      </c>
      <c r="B18" s="2" t="s">
        <v>7</v>
      </c>
      <c r="C18" s="131">
        <f>C21+C20+C19</f>
        <v>423.89</v>
      </c>
    </row>
    <row r="19" spans="1:3" ht="32.450000000000003" customHeight="1">
      <c r="A19" s="1" t="s">
        <v>85</v>
      </c>
      <c r="B19" s="2" t="s">
        <v>84</v>
      </c>
      <c r="C19" s="131">
        <f>ROUND(C13*15%,2)</f>
        <v>267.3</v>
      </c>
    </row>
    <row r="20" spans="1:3" ht="27" customHeight="1">
      <c r="A20" s="1" t="s">
        <v>87</v>
      </c>
      <c r="B20" s="2" t="s">
        <v>86</v>
      </c>
      <c r="C20" s="131">
        <f>ROUND(C13*5%,2)</f>
        <v>89.1</v>
      </c>
    </row>
    <row r="21" spans="1:3" ht="24" customHeight="1">
      <c r="A21" s="1" t="s">
        <v>88</v>
      </c>
      <c r="B21" s="2" t="s">
        <v>28</v>
      </c>
      <c r="C21" s="131">
        <f>ОпВитратиРоз3!D12</f>
        <v>67.489999999999995</v>
      </c>
    </row>
    <row r="22" spans="1:3" ht="24" customHeight="1">
      <c r="A22" s="1">
        <v>2</v>
      </c>
      <c r="B22" s="2" t="s">
        <v>29</v>
      </c>
      <c r="C22" s="131"/>
    </row>
    <row r="23" spans="1:3" ht="21" customHeight="1">
      <c r="A23" s="1" t="s">
        <v>89</v>
      </c>
      <c r="B23" s="2" t="s">
        <v>30</v>
      </c>
      <c r="C23" s="131">
        <f>C13+C18</f>
        <v>2205.9115000000002</v>
      </c>
    </row>
    <row r="24" spans="1:3" ht="34.15" customHeight="1">
      <c r="A24" s="1" t="s">
        <v>90</v>
      </c>
      <c r="B24" s="2" t="s">
        <v>9</v>
      </c>
      <c r="C24" s="131">
        <f>ROUND(C23*12%,2)</f>
        <v>264.70999999999998</v>
      </c>
    </row>
    <row r="25" spans="1:3" ht="21" customHeight="1">
      <c r="A25" s="1" t="s">
        <v>91</v>
      </c>
      <c r="B25" s="2" t="s">
        <v>31</v>
      </c>
      <c r="C25" s="131">
        <f>C23+C24</f>
        <v>2470.6215000000002</v>
      </c>
    </row>
    <row r="26" spans="1:3" ht="30" customHeight="1">
      <c r="A26" s="1" t="s">
        <v>92</v>
      </c>
      <c r="B26" s="2" t="s">
        <v>11</v>
      </c>
      <c r="C26" s="132">
        <v>1</v>
      </c>
    </row>
    <row r="27" spans="1:3" ht="21" customHeight="1">
      <c r="A27" s="1" t="s">
        <v>93</v>
      </c>
      <c r="B27" s="2" t="s">
        <v>32</v>
      </c>
      <c r="C27" s="133">
        <f>C25*C26</f>
        <v>2470.6215000000002</v>
      </c>
    </row>
    <row r="29" spans="1:3" s="25" customFormat="1" ht="15.75">
      <c r="A29" s="130" t="s">
        <v>609</v>
      </c>
    </row>
    <row r="31" spans="1:3" ht="27.6" customHeight="1">
      <c r="A31" s="403" t="s">
        <v>55</v>
      </c>
      <c r="B31" s="403"/>
      <c r="C31" s="6" t="s">
        <v>528</v>
      </c>
    </row>
  </sheetData>
  <mergeCells count="8">
    <mergeCell ref="A6:C6"/>
    <mergeCell ref="A7:C7"/>
    <mergeCell ref="B10:B11"/>
    <mergeCell ref="C10:C11"/>
    <mergeCell ref="A31:B31"/>
    <mergeCell ref="A16:A17"/>
    <mergeCell ref="C16:C17"/>
    <mergeCell ref="A10:A11"/>
  </mergeCells>
  <phoneticPr fontId="5" type="noConversion"/>
  <pageMargins left="1.299212598425197" right="0.11811023622047245" top="0.74803149606299213" bottom="0.74803149606299213" header="0.31496062992125984" footer="0.31496062992125984"/>
  <pageSetup paperSize="9" scale="110"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FF"/>
  </sheetPr>
  <dimension ref="A1:K39"/>
  <sheetViews>
    <sheetView view="pageBreakPreview" topLeftCell="A31" zoomScaleNormal="100" zoomScaleSheetLayoutView="100" workbookViewId="0">
      <selection activeCell="E13" sqref="E13:E14"/>
    </sheetView>
  </sheetViews>
  <sheetFormatPr defaultColWidth="9.140625" defaultRowHeight="15.75"/>
  <cols>
    <col min="1" max="1" width="29.140625" style="292" customWidth="1"/>
    <col min="2" max="2" width="22.5703125" style="292" customWidth="1"/>
    <col min="3" max="3" width="23.85546875" style="292" customWidth="1"/>
    <col min="4" max="4" width="10.5703125" style="292" customWidth="1"/>
    <col min="5" max="5" width="15.28515625" style="292" customWidth="1"/>
    <col min="6" max="16384" width="9.140625" style="292"/>
  </cols>
  <sheetData>
    <row r="1" spans="1:5" ht="27" customHeight="1">
      <c r="A1" s="453" t="s">
        <v>299</v>
      </c>
      <c r="B1" s="453"/>
      <c r="C1" s="130" t="str">
        <f>к7броньЛ!A6</f>
        <v>КАЛЬКУЛЯЦІЯ № 7</v>
      </c>
      <c r="D1" s="130"/>
      <c r="E1" s="130"/>
    </row>
    <row r="2" spans="1:5" ht="22.5" customHeight="1">
      <c r="A2" s="535" t="str">
        <f>к7броньЛ!A7</f>
        <v>Копка могили вручну влітку всередині, раніше встановленої огорожі</v>
      </c>
      <c r="B2" s="535"/>
      <c r="C2" s="535"/>
      <c r="D2" s="535"/>
      <c r="E2" s="535"/>
    </row>
    <row r="3" spans="1:5" ht="49.5" customHeight="1">
      <c r="A3" s="454" t="s">
        <v>337</v>
      </c>
      <c r="B3" s="454"/>
      <c r="C3" s="454"/>
      <c r="D3" s="454"/>
      <c r="E3" s="454"/>
    </row>
    <row r="4" spans="1:5" ht="81" customHeight="1" thickBot="1">
      <c r="A4" s="536" t="s">
        <v>505</v>
      </c>
      <c r="B4" s="536"/>
      <c r="C4" s="536"/>
      <c r="D4" s="536"/>
      <c r="E4" s="536"/>
    </row>
    <row r="5" spans="1:5" ht="12" hidden="1" customHeight="1" thickBot="1">
      <c r="A5" s="436"/>
      <c r="B5" s="436"/>
      <c r="C5" s="436"/>
      <c r="D5" s="436"/>
    </row>
    <row r="6" spans="1:5" ht="18.75" customHeight="1" thickBot="1">
      <c r="A6" s="250" t="s">
        <v>1</v>
      </c>
      <c r="B6" s="257" t="s">
        <v>208</v>
      </c>
      <c r="C6" s="251" t="s">
        <v>266</v>
      </c>
      <c r="D6" s="252" t="s">
        <v>193</v>
      </c>
      <c r="E6" s="138" t="s">
        <v>489</v>
      </c>
    </row>
    <row r="7" spans="1:5" ht="16.5" customHeight="1">
      <c r="A7" s="414" t="s">
        <v>268</v>
      </c>
      <c r="B7" s="269" t="s">
        <v>286</v>
      </c>
      <c r="C7" s="494" t="s">
        <v>284</v>
      </c>
      <c r="D7" s="494" t="s">
        <v>283</v>
      </c>
      <c r="E7" s="539">
        <f>2.2*1.9*1</f>
        <v>4.18</v>
      </c>
    </row>
    <row r="8" spans="1:5" ht="16.5" customHeight="1" thickBot="1">
      <c r="A8" s="448"/>
      <c r="B8" s="280" t="s">
        <v>507</v>
      </c>
      <c r="C8" s="450"/>
      <c r="D8" s="450"/>
      <c r="E8" s="532"/>
    </row>
    <row r="9" spans="1:5" ht="18.75" customHeight="1">
      <c r="A9" s="508" t="s">
        <v>338</v>
      </c>
      <c r="B9" s="309">
        <v>8.9999999999999993E-3</v>
      </c>
      <c r="C9" s="542"/>
      <c r="D9" s="426"/>
      <c r="E9" s="540">
        <v>8.9999999999999993E-3</v>
      </c>
    </row>
    <row r="10" spans="1:5" ht="24.75" customHeight="1" thickBot="1">
      <c r="A10" s="413"/>
      <c r="B10" s="289" t="s">
        <v>502</v>
      </c>
      <c r="C10" s="430"/>
      <c r="D10" s="427"/>
      <c r="E10" s="541"/>
    </row>
    <row r="11" spans="1:5" ht="16.5" customHeight="1">
      <c r="A11" s="414" t="s">
        <v>292</v>
      </c>
      <c r="B11" s="269" t="s">
        <v>293</v>
      </c>
      <c r="C11" s="502" t="s">
        <v>353</v>
      </c>
      <c r="D11" s="432" t="s">
        <v>56</v>
      </c>
      <c r="E11" s="506">
        <f>ROUND(E21*2.2*0.1*1.009,2)</f>
        <v>17.29</v>
      </c>
    </row>
    <row r="12" spans="1:5" ht="16.5" customHeight="1" thickBot="1">
      <c r="A12" s="415"/>
      <c r="B12" s="287" t="s">
        <v>496</v>
      </c>
      <c r="C12" s="503"/>
      <c r="D12" s="429"/>
      <c r="E12" s="507"/>
    </row>
    <row r="13" spans="1:5" ht="16.5" customHeight="1">
      <c r="A13" s="414" t="s">
        <v>270</v>
      </c>
      <c r="B13" s="269" t="s">
        <v>295</v>
      </c>
      <c r="C13" s="502" t="s">
        <v>354</v>
      </c>
      <c r="D13" s="432" t="s">
        <v>56</v>
      </c>
      <c r="E13" s="506">
        <f>ROUND(E21*2.2*0.13*1.009,2)</f>
        <v>22.47</v>
      </c>
    </row>
    <row r="14" spans="1:5" ht="16.5" customHeight="1" thickBot="1">
      <c r="A14" s="415"/>
      <c r="B14" s="288" t="s">
        <v>496</v>
      </c>
      <c r="C14" s="503"/>
      <c r="D14" s="429"/>
      <c r="E14" s="507"/>
    </row>
    <row r="15" spans="1:5" ht="18.75" customHeight="1">
      <c r="A15" s="508" t="s">
        <v>300</v>
      </c>
      <c r="B15" s="183" t="s">
        <v>294</v>
      </c>
      <c r="C15" s="542" t="s">
        <v>506</v>
      </c>
      <c r="D15" s="426" t="s">
        <v>339</v>
      </c>
      <c r="E15" s="537">
        <f>ROUND(2.6*E7*1.009,2)</f>
        <v>10.97</v>
      </c>
    </row>
    <row r="16" spans="1:5" ht="16.5" customHeight="1" thickBot="1">
      <c r="A16" s="413"/>
      <c r="B16" s="289" t="s">
        <v>502</v>
      </c>
      <c r="C16" s="430"/>
      <c r="D16" s="427"/>
      <c r="E16" s="538"/>
    </row>
    <row r="17" spans="1:5" ht="18.75" customHeight="1">
      <c r="A17" s="418" t="s">
        <v>272</v>
      </c>
      <c r="B17" s="253" t="s">
        <v>296</v>
      </c>
      <c r="C17" s="543" t="s">
        <v>385</v>
      </c>
      <c r="D17" s="426" t="s">
        <v>339</v>
      </c>
      <c r="E17" s="533">
        <f>ROUND(0.58*E7*1.009,2)</f>
        <v>2.4500000000000002</v>
      </c>
    </row>
    <row r="18" spans="1:5" ht="30" customHeight="1" thickBot="1">
      <c r="A18" s="419"/>
      <c r="B18" s="289" t="s">
        <v>498</v>
      </c>
      <c r="C18" s="544"/>
      <c r="D18" s="427"/>
      <c r="E18" s="534"/>
    </row>
    <row r="19" spans="1:5" ht="34.5" customHeight="1" thickBot="1">
      <c r="A19" s="418" t="s">
        <v>301</v>
      </c>
      <c r="B19" s="253" t="s">
        <v>274</v>
      </c>
      <c r="C19" s="172" t="s">
        <v>387</v>
      </c>
      <c r="D19" s="432" t="s">
        <v>339</v>
      </c>
      <c r="E19" s="141">
        <f>E15+E17</f>
        <v>13.420000000000002</v>
      </c>
    </row>
    <row r="20" spans="1:5" ht="28.5" customHeight="1" thickBot="1">
      <c r="A20" s="419"/>
      <c r="B20" s="290" t="s">
        <v>275</v>
      </c>
      <c r="C20" s="174" t="s">
        <v>388</v>
      </c>
      <c r="D20" s="429"/>
      <c r="E20" s="182">
        <f>ROUND(E19*1.3,2)</f>
        <v>17.45</v>
      </c>
    </row>
    <row r="21" spans="1:5" ht="31.5" customHeight="1" thickBot="1">
      <c r="A21" s="270" t="s">
        <v>264</v>
      </c>
      <c r="B21" s="291" t="s">
        <v>289</v>
      </c>
      <c r="C21" s="298"/>
      <c r="D21" s="272" t="s">
        <v>56</v>
      </c>
      <c r="E21" s="142">
        <f>СПР_ШТ!D14</f>
        <v>77.87</v>
      </c>
    </row>
    <row r="22" spans="1:5" ht="62.25" customHeight="1" thickBot="1">
      <c r="A22" s="273" t="s">
        <v>302</v>
      </c>
      <c r="B22" s="257" t="s">
        <v>303</v>
      </c>
      <c r="C22" s="274" t="s">
        <v>386</v>
      </c>
      <c r="D22" s="257" t="s">
        <v>56</v>
      </c>
      <c r="E22" s="141">
        <f>E21*E20</f>
        <v>1358.8315</v>
      </c>
    </row>
    <row r="23" spans="1:5" ht="45" customHeight="1" thickBot="1">
      <c r="A23" s="275" t="s">
        <v>276</v>
      </c>
      <c r="B23" s="276"/>
      <c r="C23" s="277" t="s">
        <v>389</v>
      </c>
      <c r="D23" s="183" t="s">
        <v>56</v>
      </c>
      <c r="E23" s="143">
        <f>E22+E13+E11</f>
        <v>1398.5915</v>
      </c>
    </row>
    <row r="24" spans="1:5" ht="31.5" customHeight="1" thickBot="1">
      <c r="A24" s="270" t="s">
        <v>277</v>
      </c>
      <c r="B24" s="278">
        <v>0.22</v>
      </c>
      <c r="C24" s="277" t="s">
        <v>390</v>
      </c>
      <c r="D24" s="183" t="s">
        <v>56</v>
      </c>
      <c r="E24" s="185">
        <f>ROUND(E23*0.22,2)</f>
        <v>307.69</v>
      </c>
    </row>
    <row r="25" spans="1:5" ht="33" customHeight="1" thickBot="1">
      <c r="A25" s="300" t="s">
        <v>227</v>
      </c>
      <c r="B25" s="280" t="s">
        <v>290</v>
      </c>
      <c r="C25" s="277"/>
      <c r="D25" s="183" t="s">
        <v>56</v>
      </c>
      <c r="E25" s="185">
        <f>МатВит!G33</f>
        <v>75.739999999999995</v>
      </c>
    </row>
    <row r="26" spans="1:5" ht="18.75" customHeight="1" thickBot="1">
      <c r="A26" s="282" t="s">
        <v>278</v>
      </c>
      <c r="B26" s="280"/>
      <c r="C26" s="277" t="s">
        <v>391</v>
      </c>
      <c r="D26" s="257" t="s">
        <v>56</v>
      </c>
      <c r="E26" s="185">
        <f>E24+E23+E25</f>
        <v>1782.0215000000001</v>
      </c>
    </row>
    <row r="27" spans="1:5" ht="18.75" customHeight="1" thickBot="1">
      <c r="A27" s="282" t="s">
        <v>279</v>
      </c>
      <c r="B27" s="278">
        <v>0.15</v>
      </c>
      <c r="C27" s="277" t="s">
        <v>392</v>
      </c>
      <c r="D27" s="184" t="s">
        <v>56</v>
      </c>
      <c r="E27" s="185">
        <f>ROUND(E26*0.15,2)</f>
        <v>267.3</v>
      </c>
    </row>
    <row r="28" spans="1:5" ht="18.75" customHeight="1" thickBot="1">
      <c r="A28" s="282" t="s">
        <v>298</v>
      </c>
      <c r="B28" s="278">
        <v>0.05</v>
      </c>
      <c r="C28" s="277" t="s">
        <v>393</v>
      </c>
      <c r="D28" s="184" t="s">
        <v>56</v>
      </c>
      <c r="E28" s="185">
        <f>ROUND(E26*0.05,2)</f>
        <v>89.1</v>
      </c>
    </row>
    <row r="29" spans="1:5" ht="18.75" customHeight="1" thickBot="1">
      <c r="A29" s="282" t="s">
        <v>280</v>
      </c>
      <c r="B29" s="280" t="s">
        <v>297</v>
      </c>
      <c r="C29" s="281"/>
      <c r="D29" s="184" t="s">
        <v>56</v>
      </c>
      <c r="E29" s="185">
        <f>ОпВитратиРоз3!D12</f>
        <v>67.489999999999995</v>
      </c>
    </row>
    <row r="30" spans="1:5" ht="27.75" customHeight="1" thickBot="1">
      <c r="A30" s="414" t="s">
        <v>281</v>
      </c>
      <c r="B30" s="416">
        <v>0.12</v>
      </c>
      <c r="C30" s="174" t="s">
        <v>394</v>
      </c>
      <c r="D30" s="184" t="s">
        <v>56</v>
      </c>
      <c r="E30" s="182">
        <f>E26+E27+E29+E28</f>
        <v>2205.9114999999997</v>
      </c>
    </row>
    <row r="31" spans="1:5" ht="18.75" customHeight="1" thickBot="1">
      <c r="A31" s="415"/>
      <c r="B31" s="417"/>
      <c r="C31" s="277" t="s">
        <v>395</v>
      </c>
      <c r="D31" s="184" t="s">
        <v>56</v>
      </c>
      <c r="E31" s="185">
        <f>ROUND(E30*0.12,2)</f>
        <v>264.70999999999998</v>
      </c>
    </row>
    <row r="32" spans="1:5" ht="18.75" customHeight="1" thickBot="1">
      <c r="A32" s="283" t="s">
        <v>282</v>
      </c>
      <c r="B32" s="284"/>
      <c r="C32" s="277" t="s">
        <v>396</v>
      </c>
      <c r="D32" s="184" t="s">
        <v>56</v>
      </c>
      <c r="E32" s="144">
        <f>E31+E30</f>
        <v>2470.6214999999997</v>
      </c>
    </row>
    <row r="33" spans="1:11">
      <c r="A33" s="130"/>
    </row>
    <row r="34" spans="1:11" ht="11.25" customHeight="1">
      <c r="A34" s="285"/>
    </row>
    <row r="35" spans="1:11" s="45" customFormat="1">
      <c r="A35" s="45" t="s">
        <v>168</v>
      </c>
      <c r="B35" s="48"/>
      <c r="D35" s="45" t="s">
        <v>169</v>
      </c>
      <c r="F35" s="60"/>
      <c r="G35" s="176"/>
      <c r="H35" s="176"/>
      <c r="I35" s="176"/>
      <c r="J35" s="177"/>
      <c r="K35" s="178"/>
    </row>
    <row r="36" spans="1:11">
      <c r="A36" s="130"/>
    </row>
    <row r="37" spans="1:11">
      <c r="A37" s="285"/>
    </row>
    <row r="38" spans="1:11">
      <c r="A38" s="130"/>
    </row>
    <row r="39" spans="1:11">
      <c r="A39" s="286"/>
    </row>
  </sheetData>
  <mergeCells count="33">
    <mergeCell ref="E17:E18"/>
    <mergeCell ref="A17:A18"/>
    <mergeCell ref="C17:C18"/>
    <mergeCell ref="D17:D18"/>
    <mergeCell ref="A30:A31"/>
    <mergeCell ref="B30:B31"/>
    <mergeCell ref="D9:D10"/>
    <mergeCell ref="C11:C12"/>
    <mergeCell ref="D11:D12"/>
    <mergeCell ref="A15:A16"/>
    <mergeCell ref="C15:C16"/>
    <mergeCell ref="D15:D16"/>
    <mergeCell ref="A9:A10"/>
    <mergeCell ref="C9:C10"/>
    <mergeCell ref="A19:A20"/>
    <mergeCell ref="D19:D20"/>
    <mergeCell ref="A13:A14"/>
    <mergeCell ref="C13:C14"/>
    <mergeCell ref="A1:B1"/>
    <mergeCell ref="A2:E2"/>
    <mergeCell ref="A3:E3"/>
    <mergeCell ref="A4:E4"/>
    <mergeCell ref="E15:E16"/>
    <mergeCell ref="A5:D5"/>
    <mergeCell ref="E7:E8"/>
    <mergeCell ref="D13:D14"/>
    <mergeCell ref="E11:E12"/>
    <mergeCell ref="E9:E10"/>
    <mergeCell ref="A7:A8"/>
    <mergeCell ref="C7:C8"/>
    <mergeCell ref="D7:D8"/>
    <mergeCell ref="A11:A12"/>
    <mergeCell ref="E13:E14"/>
  </mergeCells>
  <phoneticPr fontId="5" type="noConversion"/>
  <pageMargins left="0.9055118110236221" right="0.31496062992125984" top="0.55118110236220474" bottom="0.55118110236220474" header="0.31496062992125984" footer="0.31496062992125984"/>
  <pageSetup paperSize="9" scale="8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Лист5">
    <tabColor theme="5" tint="-0.249977111117893"/>
  </sheetPr>
  <dimension ref="A1:C31"/>
  <sheetViews>
    <sheetView view="pageBreakPreview" topLeftCell="A18" zoomScale="94" zoomScaleNormal="100" zoomScaleSheetLayoutView="94" workbookViewId="0">
      <selection activeCell="B20" sqref="B20"/>
    </sheetView>
  </sheetViews>
  <sheetFormatPr defaultRowHeight="15"/>
  <cols>
    <col min="1" max="1" width="5.85546875" customWidth="1"/>
    <col min="2" max="2" width="48.85546875" customWidth="1"/>
    <col min="3" max="3" width="23.85546875" customWidth="1"/>
    <col min="4" max="4" width="4.7109375" customWidth="1"/>
  </cols>
  <sheetData>
    <row r="1" spans="1:3" ht="12" customHeight="1">
      <c r="C1" s="80" t="s">
        <v>34</v>
      </c>
    </row>
    <row r="2" spans="1:3" ht="13.15" customHeight="1">
      <c r="C2" s="80" t="s">
        <v>35</v>
      </c>
    </row>
    <row r="3" spans="1:3" ht="9" customHeight="1">
      <c r="C3" s="80" t="s">
        <v>36</v>
      </c>
    </row>
    <row r="4" spans="1:3" ht="9" customHeight="1">
      <c r="C4" s="80" t="s">
        <v>37</v>
      </c>
    </row>
    <row r="5" spans="1:3" ht="9" customHeight="1">
      <c r="C5" s="80" t="s">
        <v>38</v>
      </c>
    </row>
    <row r="6" spans="1:3" ht="30.75" customHeight="1">
      <c r="A6" s="404" t="s">
        <v>116</v>
      </c>
      <c r="B6" s="404"/>
      <c r="C6" s="404"/>
    </row>
    <row r="7" spans="1:3" ht="25.5" customHeight="1">
      <c r="A7" s="404" t="s">
        <v>352</v>
      </c>
      <c r="B7" s="404"/>
      <c r="C7" s="404"/>
    </row>
    <row r="8" spans="1:3" ht="11.25" customHeight="1"/>
    <row r="9" spans="1:3" ht="11.25" customHeight="1"/>
    <row r="10" spans="1:3" ht="14.45" customHeight="1">
      <c r="A10" s="406" t="s">
        <v>33</v>
      </c>
      <c r="B10" s="408" t="s">
        <v>1</v>
      </c>
      <c r="C10" s="408" t="s">
        <v>2</v>
      </c>
    </row>
    <row r="11" spans="1:3" ht="14.45" customHeight="1">
      <c r="A11" s="407"/>
      <c r="B11" s="408"/>
      <c r="C11" s="408"/>
    </row>
    <row r="12" spans="1:3" ht="24.75" customHeight="1">
      <c r="A12" s="1">
        <v>1</v>
      </c>
      <c r="B12" s="2" t="s">
        <v>3</v>
      </c>
      <c r="C12" s="3">
        <f>C18+C13</f>
        <v>3884.6365999999998</v>
      </c>
    </row>
    <row r="13" spans="1:3" ht="19.5" customHeight="1">
      <c r="A13" s="1" t="s">
        <v>13</v>
      </c>
      <c r="B13" s="2" t="s">
        <v>4</v>
      </c>
      <c r="C13" s="131">
        <f>C14+C15+C16</f>
        <v>3180.9566</v>
      </c>
    </row>
    <row r="14" spans="1:3" ht="36" customHeight="1">
      <c r="A14" s="1" t="s">
        <v>14</v>
      </c>
      <c r="B14" s="2" t="s">
        <v>202</v>
      </c>
      <c r="C14" s="131">
        <f>МатВит!G33</f>
        <v>75.739999999999995</v>
      </c>
    </row>
    <row r="15" spans="1:3" ht="27.75" customHeight="1">
      <c r="A15" s="1" t="s">
        <v>22</v>
      </c>
      <c r="B15" s="2" t="s">
        <v>27</v>
      </c>
      <c r="C15" s="131">
        <f>Роз6!E31</f>
        <v>2545.2566000000002</v>
      </c>
    </row>
    <row r="16" spans="1:3" ht="17.25" customHeight="1">
      <c r="A16" s="486" t="s">
        <v>23</v>
      </c>
      <c r="B16" s="2" t="s">
        <v>5</v>
      </c>
      <c r="C16" s="488">
        <f>ROUND(C15*22%,2)</f>
        <v>559.96</v>
      </c>
    </row>
    <row r="17" spans="1:3" ht="36.75" customHeight="1">
      <c r="A17" s="487"/>
      <c r="B17" s="2" t="s">
        <v>6</v>
      </c>
      <c r="C17" s="489"/>
    </row>
    <row r="18" spans="1:3" ht="19.5" customHeight="1">
      <c r="A18" s="1" t="s">
        <v>24</v>
      </c>
      <c r="B18" s="2" t="s">
        <v>7</v>
      </c>
      <c r="C18" s="131">
        <f>C21+C20+C19</f>
        <v>703.68000000000006</v>
      </c>
    </row>
    <row r="19" spans="1:3" ht="32.450000000000003" customHeight="1">
      <c r="A19" s="1" t="s">
        <v>85</v>
      </c>
      <c r="B19" s="2" t="s">
        <v>84</v>
      </c>
      <c r="C19" s="131">
        <f>ROUND(C13*15%,2)</f>
        <v>477.14</v>
      </c>
    </row>
    <row r="20" spans="1:3" ht="29.25" customHeight="1">
      <c r="A20" s="1" t="s">
        <v>87</v>
      </c>
      <c r="B20" s="2" t="s">
        <v>86</v>
      </c>
      <c r="C20" s="131">
        <f>ROUND(C13*5%,2)</f>
        <v>159.05000000000001</v>
      </c>
    </row>
    <row r="21" spans="1:3" ht="24" customHeight="1">
      <c r="A21" s="1" t="s">
        <v>88</v>
      </c>
      <c r="B21" s="2" t="s">
        <v>28</v>
      </c>
      <c r="C21" s="131">
        <f>ОпВитратиРоз3!D12</f>
        <v>67.489999999999995</v>
      </c>
    </row>
    <row r="22" spans="1:3" ht="24" customHeight="1">
      <c r="A22" s="1">
        <v>2</v>
      </c>
      <c r="B22" s="2" t="s">
        <v>29</v>
      </c>
      <c r="C22" s="131">
        <v>0</v>
      </c>
    </row>
    <row r="23" spans="1:3" ht="21" customHeight="1">
      <c r="A23" s="1" t="s">
        <v>89</v>
      </c>
      <c r="B23" s="2" t="s">
        <v>30</v>
      </c>
      <c r="C23" s="131">
        <f>C13+C18</f>
        <v>3884.6365999999998</v>
      </c>
    </row>
    <row r="24" spans="1:3" ht="34.15" customHeight="1">
      <c r="A24" s="1" t="s">
        <v>90</v>
      </c>
      <c r="B24" s="2" t="s">
        <v>9</v>
      </c>
      <c r="C24" s="131">
        <f>ROUND(C23*12%,2)</f>
        <v>466.16</v>
      </c>
    </row>
    <row r="25" spans="1:3" ht="21" customHeight="1">
      <c r="A25" s="1" t="s">
        <v>91</v>
      </c>
      <c r="B25" s="2" t="s">
        <v>31</v>
      </c>
      <c r="C25" s="131">
        <f>C23+C24</f>
        <v>4350.7965999999997</v>
      </c>
    </row>
    <row r="26" spans="1:3" ht="30" customHeight="1">
      <c r="A26" s="1" t="s">
        <v>92</v>
      </c>
      <c r="B26" s="2" t="s">
        <v>11</v>
      </c>
      <c r="C26" s="132">
        <v>1</v>
      </c>
    </row>
    <row r="27" spans="1:3" ht="21" customHeight="1">
      <c r="A27" s="1" t="s">
        <v>93</v>
      </c>
      <c r="B27" s="2" t="s">
        <v>32</v>
      </c>
      <c r="C27" s="133">
        <f>C25*C26</f>
        <v>4350.7965999999997</v>
      </c>
    </row>
    <row r="29" spans="1:3" s="25" customFormat="1" ht="15.75">
      <c r="A29" s="130" t="s">
        <v>608</v>
      </c>
    </row>
    <row r="31" spans="1:3" ht="39" customHeight="1">
      <c r="A31" s="403" t="s">
        <v>55</v>
      </c>
      <c r="B31" s="403"/>
      <c r="C31" s="6" t="s">
        <v>528</v>
      </c>
    </row>
  </sheetData>
  <mergeCells count="8">
    <mergeCell ref="A6:C6"/>
    <mergeCell ref="A7:C7"/>
    <mergeCell ref="B10:B11"/>
    <mergeCell ref="C10:C11"/>
    <mergeCell ref="A31:B31"/>
    <mergeCell ref="A16:A17"/>
    <mergeCell ref="C16:C17"/>
    <mergeCell ref="A10:A11"/>
  </mergeCells>
  <phoneticPr fontId="5" type="noConversion"/>
  <pageMargins left="1.299212598425197" right="0.31496062992125984" top="0.74803149606299213" bottom="0.74803149606299213" header="0.31496062992125984" footer="0.31496062992125984"/>
  <pageSetup paperSize="9" scale="105"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249977111117893"/>
  </sheetPr>
  <dimension ref="A1:K47"/>
  <sheetViews>
    <sheetView view="pageBreakPreview" zoomScaleNormal="100" zoomScaleSheetLayoutView="100" workbookViewId="0">
      <selection activeCell="E14" sqref="E14"/>
    </sheetView>
  </sheetViews>
  <sheetFormatPr defaultColWidth="9.140625" defaultRowHeight="15.75"/>
  <cols>
    <col min="1" max="1" width="34.140625" style="292" customWidth="1"/>
    <col min="2" max="2" width="22" style="301" customWidth="1"/>
    <col min="3" max="3" width="22.7109375" style="292" customWidth="1"/>
    <col min="4" max="4" width="9.140625" style="292"/>
    <col min="5" max="5" width="13.5703125" style="292" customWidth="1"/>
    <col min="6" max="16384" width="9.140625" style="292"/>
  </cols>
  <sheetData>
    <row r="1" spans="1:5" ht="22.5" customHeight="1">
      <c r="A1" s="453" t="s">
        <v>299</v>
      </c>
      <c r="B1" s="453"/>
      <c r="C1" s="130" t="str">
        <f>к6ручЗ!A6</f>
        <v>КАЛЬКУЛЯЦІЯ № 6</v>
      </c>
      <c r="D1" s="130"/>
      <c r="E1" s="130"/>
    </row>
    <row r="2" spans="1:5" ht="25.5" customHeight="1">
      <c r="A2" s="535" t="str">
        <f>к6ручЗ!A7</f>
        <v>Копання могил ручним способом та поховання померлого в зимку</v>
      </c>
      <c r="B2" s="535"/>
      <c r="C2" s="535"/>
      <c r="D2" s="535"/>
      <c r="E2" s="535"/>
    </row>
    <row r="3" spans="1:5" ht="47.25" customHeight="1">
      <c r="A3" s="454" t="s">
        <v>265</v>
      </c>
      <c r="B3" s="454"/>
      <c r="C3" s="454"/>
      <c r="D3" s="454"/>
      <c r="E3" s="454"/>
    </row>
    <row r="4" spans="1:5" ht="63" customHeight="1" thickBot="1">
      <c r="A4" s="536" t="s">
        <v>493</v>
      </c>
      <c r="B4" s="536"/>
      <c r="C4" s="536"/>
      <c r="D4" s="536"/>
      <c r="E4" s="536"/>
    </row>
    <row r="5" spans="1:5" ht="7.5" hidden="1" customHeight="1" thickBot="1">
      <c r="A5" s="304"/>
    </row>
    <row r="6" spans="1:5" ht="5.25" hidden="1" customHeight="1" thickBot="1">
      <c r="A6" s="436"/>
      <c r="B6" s="436"/>
      <c r="C6" s="436"/>
      <c r="D6" s="436"/>
    </row>
    <row r="7" spans="1:5" ht="25.5" customHeight="1" thickBot="1">
      <c r="A7" s="250" t="s">
        <v>1</v>
      </c>
      <c r="B7" s="183" t="s">
        <v>208</v>
      </c>
      <c r="C7" s="251" t="s">
        <v>266</v>
      </c>
      <c r="D7" s="252" t="s">
        <v>195</v>
      </c>
      <c r="E7" s="138" t="s">
        <v>489</v>
      </c>
    </row>
    <row r="8" spans="1:5" ht="14.25" customHeight="1">
      <c r="A8" s="418" t="s">
        <v>268</v>
      </c>
      <c r="B8" s="253" t="s">
        <v>286</v>
      </c>
      <c r="C8" s="449" t="s">
        <v>284</v>
      </c>
      <c r="D8" s="449" t="s">
        <v>283</v>
      </c>
      <c r="E8" s="531">
        <f>2.2*1.9*1</f>
        <v>4.18</v>
      </c>
    </row>
    <row r="9" spans="1:5" ht="4.5" customHeight="1" thickBot="1">
      <c r="A9" s="448"/>
      <c r="B9" s="427" t="s">
        <v>500</v>
      </c>
      <c r="C9" s="450"/>
      <c r="D9" s="450"/>
      <c r="E9" s="532"/>
    </row>
    <row r="10" spans="1:5" ht="17.25" customHeight="1">
      <c r="A10" s="418" t="s">
        <v>215</v>
      </c>
      <c r="B10" s="427"/>
      <c r="C10" s="420" t="s">
        <v>306</v>
      </c>
      <c r="D10" s="426" t="s">
        <v>283</v>
      </c>
      <c r="E10" s="533">
        <f>ROUND(2.2*0.5,2)</f>
        <v>1.1000000000000001</v>
      </c>
    </row>
    <row r="11" spans="1:5" ht="17.25" customHeight="1" thickBot="1">
      <c r="A11" s="419"/>
      <c r="B11" s="427"/>
      <c r="C11" s="421"/>
      <c r="D11" s="499"/>
      <c r="E11" s="534"/>
    </row>
    <row r="12" spans="1:5" ht="19.5" customHeight="1" thickBot="1">
      <c r="A12" s="265" t="s">
        <v>219</v>
      </c>
      <c r="B12" s="423"/>
      <c r="C12" s="172" t="s">
        <v>307</v>
      </c>
      <c r="D12" s="262" t="s">
        <v>283</v>
      </c>
      <c r="E12" s="139">
        <f>ROUND(2.2*1.4,2)</f>
        <v>3.08</v>
      </c>
    </row>
    <row r="13" spans="1:5" ht="26.25" hidden="1" customHeight="1">
      <c r="A13" s="305"/>
      <c r="B13" s="269"/>
      <c r="C13" s="306"/>
      <c r="D13" s="307"/>
      <c r="E13" s="140"/>
    </row>
    <row r="14" spans="1:5" ht="26.25" hidden="1" customHeight="1" thickBot="1">
      <c r="A14" s="305"/>
      <c r="B14" s="269"/>
      <c r="C14" s="306"/>
      <c r="D14" s="307"/>
      <c r="E14" s="140"/>
    </row>
    <row r="15" spans="1:5" ht="16.5" customHeight="1">
      <c r="A15" s="414" t="s">
        <v>292</v>
      </c>
      <c r="B15" s="269" t="s">
        <v>293</v>
      </c>
      <c r="C15" s="502" t="s">
        <v>359</v>
      </c>
      <c r="D15" s="432" t="s">
        <v>56</v>
      </c>
      <c r="E15" s="506">
        <f>ROUND(E29*2.2*0.1,2)</f>
        <v>17.13</v>
      </c>
    </row>
    <row r="16" spans="1:5" ht="16.5" customHeight="1" thickBot="1">
      <c r="A16" s="415"/>
      <c r="B16" s="280" t="s">
        <v>496</v>
      </c>
      <c r="C16" s="503"/>
      <c r="D16" s="429"/>
      <c r="E16" s="507"/>
    </row>
    <row r="17" spans="1:5" ht="16.5" customHeight="1">
      <c r="A17" s="414" t="s">
        <v>270</v>
      </c>
      <c r="B17" s="269" t="s">
        <v>295</v>
      </c>
      <c r="C17" s="502" t="s">
        <v>360</v>
      </c>
      <c r="D17" s="432" t="s">
        <v>56</v>
      </c>
      <c r="E17" s="506">
        <f>ROUND(E29*2.2*0.13,2)</f>
        <v>22.27</v>
      </c>
    </row>
    <row r="18" spans="1:5" ht="16.5" customHeight="1" thickBot="1">
      <c r="A18" s="415"/>
      <c r="B18" s="269" t="s">
        <v>501</v>
      </c>
      <c r="C18" s="503"/>
      <c r="D18" s="429"/>
      <c r="E18" s="507"/>
    </row>
    <row r="19" spans="1:5" ht="21.75" customHeight="1">
      <c r="A19" s="508" t="s">
        <v>300</v>
      </c>
      <c r="B19" s="509" t="s">
        <v>516</v>
      </c>
      <c r="C19" s="511" t="s">
        <v>384</v>
      </c>
      <c r="D19" s="426" t="s">
        <v>339</v>
      </c>
      <c r="E19" s="537">
        <f>ROUND((E21+E23),2)</f>
        <v>21.45</v>
      </c>
    </row>
    <row r="20" spans="1:5" ht="18.75" customHeight="1" thickBot="1">
      <c r="A20" s="413"/>
      <c r="B20" s="510"/>
      <c r="C20" s="512"/>
      <c r="D20" s="427"/>
      <c r="E20" s="538"/>
    </row>
    <row r="21" spans="1:5" ht="34.5" customHeight="1">
      <c r="A21" s="418" t="s">
        <v>491</v>
      </c>
      <c r="B21" s="183" t="s">
        <v>309</v>
      </c>
      <c r="C21" s="420" t="s">
        <v>312</v>
      </c>
      <c r="D21" s="426" t="s">
        <v>339</v>
      </c>
      <c r="E21" s="533">
        <f>ROUND(E10*9.4*1.3,2)</f>
        <v>13.44</v>
      </c>
    </row>
    <row r="22" spans="1:5" ht="42" customHeight="1" thickBot="1">
      <c r="A22" s="419"/>
      <c r="B22" s="184" t="s">
        <v>269</v>
      </c>
      <c r="C22" s="421"/>
      <c r="D22" s="427"/>
      <c r="E22" s="534"/>
    </row>
    <row r="23" spans="1:5" ht="16.5" customHeight="1">
      <c r="A23" s="508" t="s">
        <v>219</v>
      </c>
      <c r="B23" s="183" t="s">
        <v>294</v>
      </c>
      <c r="C23" s="514" t="s">
        <v>310</v>
      </c>
      <c r="D23" s="426" t="s">
        <v>339</v>
      </c>
      <c r="E23" s="432">
        <f>ROUND(E12*2.6,2)</f>
        <v>8.01</v>
      </c>
    </row>
    <row r="24" spans="1:5" ht="16.5" customHeight="1" thickBot="1">
      <c r="A24" s="513"/>
      <c r="B24" s="184" t="s">
        <v>502</v>
      </c>
      <c r="C24" s="515"/>
      <c r="D24" s="427"/>
      <c r="E24" s="429"/>
    </row>
    <row r="25" spans="1:5" ht="19.5" customHeight="1">
      <c r="A25" s="418" t="s">
        <v>272</v>
      </c>
      <c r="B25" s="253" t="s">
        <v>332</v>
      </c>
      <c r="C25" s="420" t="s">
        <v>361</v>
      </c>
      <c r="D25" s="426" t="s">
        <v>339</v>
      </c>
      <c r="E25" s="424">
        <f>ROUND(0.79*E8,2)</f>
        <v>3.3</v>
      </c>
    </row>
    <row r="26" spans="1:5" ht="30" customHeight="1" thickBot="1">
      <c r="A26" s="419"/>
      <c r="B26" s="290" t="s">
        <v>498</v>
      </c>
      <c r="C26" s="421"/>
      <c r="D26" s="427"/>
      <c r="E26" s="425"/>
    </row>
    <row r="27" spans="1:5" ht="26.25" customHeight="1" thickBot="1">
      <c r="A27" s="418" t="s">
        <v>499</v>
      </c>
      <c r="B27" s="253" t="s">
        <v>274</v>
      </c>
      <c r="C27" s="172" t="s">
        <v>398</v>
      </c>
      <c r="D27" s="514" t="s">
        <v>339</v>
      </c>
      <c r="E27" s="173">
        <f>E25+E19</f>
        <v>24.75</v>
      </c>
    </row>
    <row r="28" spans="1:5" ht="30" customHeight="1" thickBot="1">
      <c r="A28" s="419"/>
      <c r="B28" s="290" t="s">
        <v>275</v>
      </c>
      <c r="C28" s="174" t="s">
        <v>399</v>
      </c>
      <c r="D28" s="515"/>
      <c r="E28" s="175">
        <f>ROUND(E27*1.3,2)</f>
        <v>32.18</v>
      </c>
    </row>
    <row r="29" spans="1:5" ht="33" customHeight="1" thickBot="1">
      <c r="A29" s="270" t="s">
        <v>264</v>
      </c>
      <c r="B29" s="291" t="s">
        <v>289</v>
      </c>
      <c r="C29" s="308"/>
      <c r="D29" s="272" t="s">
        <v>56</v>
      </c>
      <c r="E29" s="142">
        <f>СПР_ШТ!D14</f>
        <v>77.87</v>
      </c>
    </row>
    <row r="30" spans="1:5" ht="47.25" customHeight="1" thickBot="1">
      <c r="A30" s="273" t="s">
        <v>302</v>
      </c>
      <c r="B30" s="257" t="s">
        <v>503</v>
      </c>
      <c r="C30" s="274" t="s">
        <v>400</v>
      </c>
      <c r="D30" s="257" t="s">
        <v>56</v>
      </c>
      <c r="E30" s="141">
        <f>E29*E28</f>
        <v>2505.8566000000001</v>
      </c>
    </row>
    <row r="31" spans="1:5" ht="33" customHeight="1" thickBot="1">
      <c r="A31" s="275" t="s">
        <v>276</v>
      </c>
      <c r="B31" s="299"/>
      <c r="C31" s="277" t="s">
        <v>401</v>
      </c>
      <c r="D31" s="183" t="s">
        <v>56</v>
      </c>
      <c r="E31" s="143">
        <f>E30+E17+E15</f>
        <v>2545.2566000000002</v>
      </c>
    </row>
    <row r="32" spans="1:5" ht="18.75" customHeight="1" thickBot="1">
      <c r="A32" s="270" t="s">
        <v>277</v>
      </c>
      <c r="B32" s="278">
        <v>0.22</v>
      </c>
      <c r="C32" s="277" t="s">
        <v>402</v>
      </c>
      <c r="D32" s="183" t="s">
        <v>56</v>
      </c>
      <c r="E32" s="185">
        <f>ROUND(E31*0.22,2)</f>
        <v>559.96</v>
      </c>
    </row>
    <row r="33" spans="1:11" ht="30" customHeight="1" thickBot="1">
      <c r="A33" s="300" t="s">
        <v>227</v>
      </c>
      <c r="B33" s="280" t="s">
        <v>290</v>
      </c>
      <c r="C33" s="277"/>
      <c r="D33" s="183" t="s">
        <v>56</v>
      </c>
      <c r="E33" s="185">
        <f>МатВит!G33</f>
        <v>75.739999999999995</v>
      </c>
    </row>
    <row r="34" spans="1:11" ht="18.75" customHeight="1" thickBot="1">
      <c r="A34" s="282" t="s">
        <v>278</v>
      </c>
      <c r="B34" s="280"/>
      <c r="C34" s="277" t="s">
        <v>403</v>
      </c>
      <c r="D34" s="257" t="s">
        <v>56</v>
      </c>
      <c r="E34" s="185">
        <f>E32+E31+E33</f>
        <v>3180.9566</v>
      </c>
    </row>
    <row r="35" spans="1:11" ht="18.75" customHeight="1" thickBot="1">
      <c r="A35" s="282" t="s">
        <v>279</v>
      </c>
      <c r="B35" s="278">
        <v>0.15</v>
      </c>
      <c r="C35" s="277" t="s">
        <v>404</v>
      </c>
      <c r="D35" s="184" t="s">
        <v>56</v>
      </c>
      <c r="E35" s="185">
        <f>ROUND(E34*0.15,2)</f>
        <v>477.14</v>
      </c>
    </row>
    <row r="36" spans="1:11" ht="18.75" customHeight="1" thickBot="1">
      <c r="A36" s="282" t="s">
        <v>298</v>
      </c>
      <c r="B36" s="278">
        <v>0.05</v>
      </c>
      <c r="C36" s="277" t="s">
        <v>405</v>
      </c>
      <c r="D36" s="184" t="s">
        <v>56</v>
      </c>
      <c r="E36" s="185">
        <f>ROUND(E34*0.05,2)</f>
        <v>159.05000000000001</v>
      </c>
    </row>
    <row r="37" spans="1:11" ht="18.75" customHeight="1" thickBot="1">
      <c r="A37" s="282" t="s">
        <v>280</v>
      </c>
      <c r="B37" s="280" t="s">
        <v>297</v>
      </c>
      <c r="C37" s="277"/>
      <c r="D37" s="184" t="s">
        <v>56</v>
      </c>
      <c r="E37" s="185">
        <f>ОпВитратиРоз3!D12</f>
        <v>67.489999999999995</v>
      </c>
    </row>
    <row r="38" spans="1:11" ht="32.25" customHeight="1" thickBot="1">
      <c r="A38" s="414" t="s">
        <v>281</v>
      </c>
      <c r="B38" s="416">
        <v>0.12</v>
      </c>
      <c r="C38" s="174" t="s">
        <v>504</v>
      </c>
      <c r="D38" s="184" t="s">
        <v>56</v>
      </c>
      <c r="E38" s="182">
        <f>E34+E35+E37+E36</f>
        <v>3884.6365999999998</v>
      </c>
    </row>
    <row r="39" spans="1:11" ht="18.75" customHeight="1" thickBot="1">
      <c r="A39" s="415"/>
      <c r="B39" s="417"/>
      <c r="C39" s="277" t="s">
        <v>406</v>
      </c>
      <c r="D39" s="184" t="s">
        <v>56</v>
      </c>
      <c r="E39" s="185">
        <f>ROUND(E38*0.12,2)</f>
        <v>466.16</v>
      </c>
    </row>
    <row r="40" spans="1:11" ht="18.75" customHeight="1" thickBot="1">
      <c r="A40" s="283" t="s">
        <v>282</v>
      </c>
      <c r="B40" s="290"/>
      <c r="C40" s="174" t="s">
        <v>407</v>
      </c>
      <c r="D40" s="184" t="s">
        <v>56</v>
      </c>
      <c r="E40" s="144">
        <f>E39+E38</f>
        <v>4350.7965999999997</v>
      </c>
    </row>
    <row r="41" spans="1:11">
      <c r="A41" s="130"/>
    </row>
    <row r="42" spans="1:11" ht="3" customHeight="1">
      <c r="A42" s="285"/>
    </row>
    <row r="43" spans="1:11" s="45" customFormat="1">
      <c r="A43" s="45" t="s">
        <v>168</v>
      </c>
      <c r="B43" s="176"/>
      <c r="D43" s="45" t="s">
        <v>169</v>
      </c>
      <c r="F43" s="60"/>
      <c r="G43" s="176"/>
      <c r="H43" s="176"/>
      <c r="I43" s="176"/>
      <c r="J43" s="177"/>
      <c r="K43" s="178"/>
    </row>
    <row r="44" spans="1:11">
      <c r="A44" s="130"/>
    </row>
    <row r="45" spans="1:11">
      <c r="A45" s="285"/>
    </row>
    <row r="46" spans="1:11">
      <c r="A46" s="130"/>
    </row>
    <row r="47" spans="1:11">
      <c r="A47" s="286"/>
    </row>
  </sheetData>
  <mergeCells count="43">
    <mergeCell ref="A1:B1"/>
    <mergeCell ref="A2:E2"/>
    <mergeCell ref="A3:E3"/>
    <mergeCell ref="A4:E4"/>
    <mergeCell ref="D27:D28"/>
    <mergeCell ref="A6:D6"/>
    <mergeCell ref="E19:E20"/>
    <mergeCell ref="E25:E26"/>
    <mergeCell ref="D10:D11"/>
    <mergeCell ref="E10:E11"/>
    <mergeCell ref="E21:E22"/>
    <mergeCell ref="D23:D24"/>
    <mergeCell ref="E23:E24"/>
    <mergeCell ref="D19:D20"/>
    <mergeCell ref="D21:D22"/>
    <mergeCell ref="C15:C16"/>
    <mergeCell ref="A38:A39"/>
    <mergeCell ref="B38:B39"/>
    <mergeCell ref="A19:A20"/>
    <mergeCell ref="C19:C20"/>
    <mergeCell ref="A21:A22"/>
    <mergeCell ref="C21:C22"/>
    <mergeCell ref="A25:A26"/>
    <mergeCell ref="A27:A28"/>
    <mergeCell ref="B19:B20"/>
    <mergeCell ref="D25:D26"/>
    <mergeCell ref="A23:A24"/>
    <mergeCell ref="C23:C24"/>
    <mergeCell ref="C25:C26"/>
    <mergeCell ref="A17:A18"/>
    <mergeCell ref="C17:C18"/>
    <mergeCell ref="D17:D18"/>
    <mergeCell ref="E17:E18"/>
    <mergeCell ref="E8:E9"/>
    <mergeCell ref="A10:A11"/>
    <mergeCell ref="C10:C11"/>
    <mergeCell ref="D15:D16"/>
    <mergeCell ref="E15:E16"/>
    <mergeCell ref="A15:A16"/>
    <mergeCell ref="B9:B12"/>
    <mergeCell ref="A8:A9"/>
    <mergeCell ref="C8:C9"/>
    <mergeCell ref="D8:D9"/>
  </mergeCells>
  <phoneticPr fontId="5" type="noConversion"/>
  <pageMargins left="0.9055118110236221" right="0.31496062992125984" top="0.35433070866141736" bottom="0.15748031496062992" header="0.31496062992125984" footer="0.31496062992125984"/>
  <pageSetup paperSize="9" scale="88"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Лист25">
    <tabColor theme="9" tint="-0.249977111117893"/>
  </sheetPr>
  <dimension ref="A1:C31"/>
  <sheetViews>
    <sheetView view="pageBreakPreview" topLeftCell="A22" zoomScaleNormal="100" zoomScaleSheetLayoutView="100" workbookViewId="0">
      <selection activeCell="C31" sqref="C31"/>
    </sheetView>
  </sheetViews>
  <sheetFormatPr defaultColWidth="9.140625" defaultRowHeight="15"/>
  <cols>
    <col min="1" max="1" width="6.28515625" style="25" customWidth="1"/>
    <col min="2" max="2" width="46" style="25" customWidth="1"/>
    <col min="3" max="3" width="24.140625" style="134" customWidth="1"/>
    <col min="4" max="4" width="4.5703125" style="25" customWidth="1"/>
    <col min="5" max="16384" width="9.140625" style="25"/>
  </cols>
  <sheetData>
    <row r="1" spans="1:3" ht="12" customHeight="1">
      <c r="C1" s="135" t="s">
        <v>34</v>
      </c>
    </row>
    <row r="2" spans="1:3" ht="12" customHeight="1">
      <c r="C2" s="135" t="s">
        <v>35</v>
      </c>
    </row>
    <row r="3" spans="1:3" ht="12" customHeight="1">
      <c r="C3" s="135" t="s">
        <v>36</v>
      </c>
    </row>
    <row r="4" spans="1:3" ht="12" customHeight="1">
      <c r="C4" s="135" t="s">
        <v>37</v>
      </c>
    </row>
    <row r="5" spans="1:3" ht="12" customHeight="1">
      <c r="C5" s="135" t="s">
        <v>38</v>
      </c>
    </row>
    <row r="6" spans="1:3" ht="19.5" customHeight="1">
      <c r="A6" s="404" t="s">
        <v>114</v>
      </c>
      <c r="B6" s="404"/>
      <c r="C6" s="404"/>
    </row>
    <row r="7" spans="1:3" ht="24" customHeight="1">
      <c r="A7" s="490" t="s">
        <v>113</v>
      </c>
      <c r="B7" s="490"/>
      <c r="C7" s="490"/>
    </row>
    <row r="10" spans="1:3">
      <c r="A10" s="406" t="s">
        <v>33</v>
      </c>
      <c r="B10" s="408" t="s">
        <v>1</v>
      </c>
      <c r="C10" s="409" t="s">
        <v>2</v>
      </c>
    </row>
    <row r="11" spans="1:3" ht="25.15" customHeight="1">
      <c r="A11" s="407"/>
      <c r="B11" s="408"/>
      <c r="C11" s="409"/>
    </row>
    <row r="12" spans="1:3" ht="19.5" customHeight="1">
      <c r="A12" s="1">
        <v>1</v>
      </c>
      <c r="B12" s="2" t="s">
        <v>3</v>
      </c>
      <c r="C12" s="131">
        <f>C13+C18</f>
        <v>2186</v>
      </c>
    </row>
    <row r="13" spans="1:3" ht="24" customHeight="1">
      <c r="A13" s="1" t="s">
        <v>13</v>
      </c>
      <c r="B13" s="2" t="s">
        <v>4</v>
      </c>
      <c r="C13" s="131">
        <f>C14+C15+C16</f>
        <v>1765.43</v>
      </c>
    </row>
    <row r="14" spans="1:3" ht="32.450000000000003" customHeight="1">
      <c r="A14" s="1" t="s">
        <v>14</v>
      </c>
      <c r="B14" s="2" t="s">
        <v>202</v>
      </c>
      <c r="C14" s="3">
        <f>МатВит!G33</f>
        <v>75.739999999999995</v>
      </c>
    </row>
    <row r="15" spans="1:3">
      <c r="A15" s="1" t="s">
        <v>22</v>
      </c>
      <c r="B15" s="23" t="s">
        <v>27</v>
      </c>
      <c r="C15" s="131">
        <f>'Роз5 '!E22</f>
        <v>1384.99</v>
      </c>
    </row>
    <row r="16" spans="1:3">
      <c r="A16" s="410" t="s">
        <v>23</v>
      </c>
      <c r="B16" s="23" t="s">
        <v>5</v>
      </c>
      <c r="C16" s="488">
        <f>ROUND(C15*22%,2)</f>
        <v>304.7</v>
      </c>
    </row>
    <row r="17" spans="1:3" ht="30">
      <c r="A17" s="411"/>
      <c r="B17" s="24" t="s">
        <v>6</v>
      </c>
      <c r="C17" s="489"/>
    </row>
    <row r="18" spans="1:3">
      <c r="A18" s="1" t="s">
        <v>24</v>
      </c>
      <c r="B18" s="2" t="s">
        <v>7</v>
      </c>
      <c r="C18" s="131">
        <f>C21+C20+C19</f>
        <v>420.57</v>
      </c>
    </row>
    <row r="19" spans="1:3" ht="30">
      <c r="A19" s="1" t="s">
        <v>85</v>
      </c>
      <c r="B19" s="2" t="s">
        <v>84</v>
      </c>
      <c r="C19" s="131">
        <f>ROUND(C13*15%,2)</f>
        <v>264.81</v>
      </c>
    </row>
    <row r="20" spans="1:3" ht="30">
      <c r="A20" s="1" t="s">
        <v>87</v>
      </c>
      <c r="B20" s="2" t="s">
        <v>86</v>
      </c>
      <c r="C20" s="131">
        <f>ROUND(C13*5%,2)</f>
        <v>88.27</v>
      </c>
    </row>
    <row r="21" spans="1:3">
      <c r="A21" s="1" t="s">
        <v>88</v>
      </c>
      <c r="B21" s="2" t="s">
        <v>28</v>
      </c>
      <c r="C21" s="131">
        <f>ОпВитратиРоз3!D12</f>
        <v>67.489999999999995</v>
      </c>
    </row>
    <row r="22" spans="1:3">
      <c r="A22" s="1">
        <v>2</v>
      </c>
      <c r="B22" s="2" t="s">
        <v>29</v>
      </c>
      <c r="C22" s="131"/>
    </row>
    <row r="23" spans="1:3">
      <c r="A23" s="1" t="s">
        <v>89</v>
      </c>
      <c r="B23" s="2" t="s">
        <v>30</v>
      </c>
      <c r="C23" s="131">
        <f>C13+C18</f>
        <v>2186</v>
      </c>
    </row>
    <row r="24" spans="1:3" ht="30">
      <c r="A24" s="1" t="s">
        <v>90</v>
      </c>
      <c r="B24" s="2" t="s">
        <v>9</v>
      </c>
      <c r="C24" s="131">
        <f>ROUND(C23*12%,2)</f>
        <v>262.32</v>
      </c>
    </row>
    <row r="25" spans="1:3">
      <c r="A25" s="1" t="s">
        <v>91</v>
      </c>
      <c r="B25" s="2" t="s">
        <v>31</v>
      </c>
      <c r="C25" s="131">
        <f>C23+C24</f>
        <v>2448.3200000000002</v>
      </c>
    </row>
    <row r="26" spans="1:3">
      <c r="A26" s="1" t="s">
        <v>92</v>
      </c>
      <c r="B26" s="2" t="s">
        <v>11</v>
      </c>
      <c r="C26" s="132">
        <v>1</v>
      </c>
    </row>
    <row r="27" spans="1:3">
      <c r="A27" s="1" t="s">
        <v>93</v>
      </c>
      <c r="B27" s="2" t="s">
        <v>32</v>
      </c>
      <c r="C27" s="133">
        <f>C25*C26</f>
        <v>2448.3200000000002</v>
      </c>
    </row>
    <row r="29" spans="1:3" ht="15.75">
      <c r="A29" s="130" t="s">
        <v>607</v>
      </c>
      <c r="C29" s="25"/>
    </row>
    <row r="31" spans="1:3" customFormat="1" ht="39" customHeight="1">
      <c r="A31" s="403" t="s">
        <v>55</v>
      </c>
      <c r="B31" s="403"/>
      <c r="C31" s="6" t="s">
        <v>528</v>
      </c>
    </row>
  </sheetData>
  <mergeCells count="8">
    <mergeCell ref="A31:B31"/>
    <mergeCell ref="A16:A17"/>
    <mergeCell ref="C16:C17"/>
    <mergeCell ref="A6:C6"/>
    <mergeCell ref="A7:C7"/>
    <mergeCell ref="A10:A11"/>
    <mergeCell ref="B10:B11"/>
    <mergeCell ref="C10:C11"/>
  </mergeCells>
  <phoneticPr fontId="5" type="noConversion"/>
  <pageMargins left="1.3385826771653544" right="0" top="0.98425196850393704" bottom="0.59055118110236227" header="0.51181102362204722" footer="0.51181102362204722"/>
  <pageSetup paperSize="9" scale="110"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K38"/>
  <sheetViews>
    <sheetView view="pageBreakPreview" zoomScaleNormal="100" zoomScaleSheetLayoutView="100" workbookViewId="0">
      <selection activeCell="E14" sqref="E14:E15"/>
    </sheetView>
  </sheetViews>
  <sheetFormatPr defaultColWidth="9.140625" defaultRowHeight="15.75"/>
  <cols>
    <col min="1" max="1" width="29.5703125" style="292" customWidth="1"/>
    <col min="2" max="2" width="23.5703125" style="292" customWidth="1"/>
    <col min="3" max="3" width="19.5703125" style="292" customWidth="1"/>
    <col min="4" max="4" width="11.28515625" style="292" customWidth="1"/>
    <col min="5" max="5" width="15.28515625" style="292" customWidth="1"/>
    <col min="6" max="16384" width="9.140625" style="292"/>
  </cols>
  <sheetData>
    <row r="1" spans="1:5" ht="27" customHeight="1">
      <c r="A1" s="453" t="s">
        <v>299</v>
      </c>
      <c r="B1" s="453"/>
      <c r="C1" s="130" t="str">
        <f>к5ручЛ!A6</f>
        <v>КАЛЬКУЛЯЦІЯ № 5</v>
      </c>
      <c r="D1" s="130"/>
      <c r="E1" s="130"/>
    </row>
    <row r="2" spans="1:5" ht="33.75" customHeight="1">
      <c r="A2" s="535" t="str">
        <f>к5ручЛ!A7</f>
        <v>Копання могили ручним способом та поховання померлого в літку</v>
      </c>
      <c r="B2" s="535"/>
      <c r="C2" s="535"/>
      <c r="D2" s="535"/>
      <c r="E2" s="535"/>
    </row>
    <row r="3" spans="1:5" ht="54" customHeight="1">
      <c r="A3" s="454" t="s">
        <v>265</v>
      </c>
      <c r="B3" s="454"/>
      <c r="C3" s="454"/>
      <c r="D3" s="454"/>
      <c r="E3" s="454"/>
    </row>
    <row r="4" spans="1:5" ht="65.25" customHeight="1">
      <c r="A4" s="536" t="s">
        <v>493</v>
      </c>
      <c r="B4" s="536"/>
      <c r="C4" s="536"/>
      <c r="D4" s="536"/>
      <c r="E4" s="536"/>
    </row>
    <row r="5" spans="1:5" ht="1.5" customHeight="1" thickBot="1">
      <c r="A5" s="304"/>
    </row>
    <row r="6" spans="1:5" ht="6" hidden="1" customHeight="1" thickBot="1">
      <c r="A6" s="436"/>
      <c r="B6" s="436"/>
      <c r="C6" s="436"/>
      <c r="D6" s="436"/>
    </row>
    <row r="7" spans="1:5" ht="18.75" customHeight="1" thickBot="1">
      <c r="A7" s="250" t="s">
        <v>1</v>
      </c>
      <c r="B7" s="257" t="s">
        <v>208</v>
      </c>
      <c r="C7" s="251" t="s">
        <v>266</v>
      </c>
      <c r="D7" s="252" t="s">
        <v>193</v>
      </c>
      <c r="E7" s="138" t="s">
        <v>489</v>
      </c>
    </row>
    <row r="8" spans="1:5" ht="18.75" customHeight="1">
      <c r="A8" s="414" t="s">
        <v>268</v>
      </c>
      <c r="B8" s="269" t="s">
        <v>286</v>
      </c>
      <c r="C8" s="494" t="s">
        <v>284</v>
      </c>
      <c r="D8" s="494" t="s">
        <v>283</v>
      </c>
      <c r="E8" s="545">
        <f>2.2*1.9*1</f>
        <v>4.18</v>
      </c>
    </row>
    <row r="9" spans="1:5" ht="18" customHeight="1" thickBot="1">
      <c r="A9" s="448"/>
      <c r="B9" s="280" t="s">
        <v>494</v>
      </c>
      <c r="C9" s="450"/>
      <c r="D9" s="450"/>
      <c r="E9" s="452"/>
    </row>
    <row r="10" spans="1:5" ht="18" customHeight="1">
      <c r="A10" s="414" t="s">
        <v>292</v>
      </c>
      <c r="B10" s="269" t="s">
        <v>293</v>
      </c>
      <c r="C10" s="502" t="s">
        <v>359</v>
      </c>
      <c r="D10" s="432" t="s">
        <v>56</v>
      </c>
      <c r="E10" s="506">
        <f>ROUND(E20*2.2*0.1,2)</f>
        <v>17.13</v>
      </c>
    </row>
    <row r="11" spans="1:5" ht="18" customHeight="1" thickBot="1">
      <c r="A11" s="415"/>
      <c r="B11" s="287" t="s">
        <v>495</v>
      </c>
      <c r="C11" s="503"/>
      <c r="D11" s="429"/>
      <c r="E11" s="507"/>
    </row>
    <row r="12" spans="1:5" ht="18" customHeight="1">
      <c r="A12" s="414" t="s">
        <v>270</v>
      </c>
      <c r="B12" s="269" t="s">
        <v>295</v>
      </c>
      <c r="C12" s="502" t="s">
        <v>360</v>
      </c>
      <c r="D12" s="432" t="s">
        <v>56</v>
      </c>
      <c r="E12" s="506">
        <f>ROUND(E20*2.2*0.13,2)</f>
        <v>22.27</v>
      </c>
    </row>
    <row r="13" spans="1:5" ht="18" customHeight="1" thickBot="1">
      <c r="A13" s="415"/>
      <c r="B13" s="288" t="s">
        <v>496</v>
      </c>
      <c r="C13" s="503"/>
      <c r="D13" s="429"/>
      <c r="E13" s="507"/>
    </row>
    <row r="14" spans="1:5" ht="18" customHeight="1">
      <c r="A14" s="508" t="s">
        <v>300</v>
      </c>
      <c r="B14" s="183" t="s">
        <v>294</v>
      </c>
      <c r="C14" s="542" t="s">
        <v>287</v>
      </c>
      <c r="D14" s="426" t="s">
        <v>339</v>
      </c>
      <c r="E14" s="491">
        <f>ROUND(2.6*E8,2)</f>
        <v>10.87</v>
      </c>
    </row>
    <row r="15" spans="1:5" ht="18" customHeight="1" thickBot="1">
      <c r="A15" s="413"/>
      <c r="B15" s="289" t="s">
        <v>497</v>
      </c>
      <c r="C15" s="430"/>
      <c r="D15" s="427"/>
      <c r="E15" s="431"/>
    </row>
    <row r="16" spans="1:5" ht="18.75" customHeight="1">
      <c r="A16" s="418" t="s">
        <v>272</v>
      </c>
      <c r="B16" s="253" t="s">
        <v>296</v>
      </c>
      <c r="C16" s="420" t="s">
        <v>374</v>
      </c>
      <c r="D16" s="426" t="s">
        <v>339</v>
      </c>
      <c r="E16" s="424">
        <f>ROUND(0.58*E8,2)</f>
        <v>2.42</v>
      </c>
    </row>
    <row r="17" spans="1:5" ht="30" customHeight="1" thickBot="1">
      <c r="A17" s="419"/>
      <c r="B17" s="284" t="s">
        <v>498</v>
      </c>
      <c r="C17" s="421"/>
      <c r="D17" s="427"/>
      <c r="E17" s="425"/>
    </row>
    <row r="18" spans="1:5" ht="30" customHeight="1" thickBot="1">
      <c r="A18" s="418" t="s">
        <v>301</v>
      </c>
      <c r="B18" s="253" t="s">
        <v>274</v>
      </c>
      <c r="C18" s="172" t="s">
        <v>304</v>
      </c>
      <c r="D18" s="432" t="s">
        <v>339</v>
      </c>
      <c r="E18" s="141">
        <f>E14+E16</f>
        <v>13.29</v>
      </c>
    </row>
    <row r="19" spans="1:5" ht="30" customHeight="1" thickBot="1">
      <c r="A19" s="419"/>
      <c r="B19" s="290" t="s">
        <v>275</v>
      </c>
      <c r="C19" s="174" t="s">
        <v>375</v>
      </c>
      <c r="D19" s="429"/>
      <c r="E19" s="182">
        <f>ROUND(E18*1.3,2)</f>
        <v>17.28</v>
      </c>
    </row>
    <row r="20" spans="1:5" ht="36.75" customHeight="1" thickBot="1">
      <c r="A20" s="270" t="s">
        <v>264</v>
      </c>
      <c r="B20" s="291" t="s">
        <v>289</v>
      </c>
      <c r="C20" s="298"/>
      <c r="D20" s="272" t="s">
        <v>56</v>
      </c>
      <c r="E20" s="142">
        <f>СПР_ШТ!D14</f>
        <v>77.87</v>
      </c>
    </row>
    <row r="21" spans="1:5" ht="62.25" customHeight="1" thickBot="1">
      <c r="A21" s="273" t="s">
        <v>302</v>
      </c>
      <c r="B21" s="257" t="s">
        <v>303</v>
      </c>
      <c r="C21" s="274" t="s">
        <v>305</v>
      </c>
      <c r="D21" s="257" t="s">
        <v>56</v>
      </c>
      <c r="E21" s="141">
        <f>ROUND(E20*E19,2)</f>
        <v>1345.59</v>
      </c>
    </row>
    <row r="22" spans="1:5" ht="48.75" customHeight="1" thickBot="1">
      <c r="A22" s="275" t="s">
        <v>276</v>
      </c>
      <c r="B22" s="276"/>
      <c r="C22" s="277" t="s">
        <v>376</v>
      </c>
      <c r="D22" s="183" t="s">
        <v>56</v>
      </c>
      <c r="E22" s="143">
        <f>E21+E12+E10</f>
        <v>1384.99</v>
      </c>
    </row>
    <row r="23" spans="1:5" ht="33" customHeight="1" thickBot="1">
      <c r="A23" s="270" t="s">
        <v>277</v>
      </c>
      <c r="B23" s="278">
        <v>0.22</v>
      </c>
      <c r="C23" s="277" t="s">
        <v>377</v>
      </c>
      <c r="D23" s="183" t="s">
        <v>56</v>
      </c>
      <c r="E23" s="185">
        <f>ROUND(E22*0.22,2)</f>
        <v>304.7</v>
      </c>
    </row>
    <row r="24" spans="1:5" ht="33" customHeight="1" thickBot="1">
      <c r="A24" s="300" t="s">
        <v>227</v>
      </c>
      <c r="B24" s="280" t="s">
        <v>290</v>
      </c>
      <c r="C24" s="281"/>
      <c r="D24" s="183" t="s">
        <v>56</v>
      </c>
      <c r="E24" s="185">
        <f>МатВит!G33</f>
        <v>75.739999999999995</v>
      </c>
    </row>
    <row r="25" spans="1:5" ht="30" customHeight="1" thickBot="1">
      <c r="A25" s="282" t="s">
        <v>278</v>
      </c>
      <c r="B25" s="280"/>
      <c r="C25" s="277" t="s">
        <v>378</v>
      </c>
      <c r="D25" s="257" t="s">
        <v>56</v>
      </c>
      <c r="E25" s="143">
        <f>E23+E22+E24</f>
        <v>1765.43</v>
      </c>
    </row>
    <row r="26" spans="1:5" ht="21" customHeight="1" thickBot="1">
      <c r="A26" s="282" t="s">
        <v>279</v>
      </c>
      <c r="B26" s="278">
        <v>0.15</v>
      </c>
      <c r="C26" s="277" t="s">
        <v>379</v>
      </c>
      <c r="D26" s="184" t="s">
        <v>56</v>
      </c>
      <c r="E26" s="185">
        <f>ROUND(E25*0.15,2)</f>
        <v>264.81</v>
      </c>
    </row>
    <row r="27" spans="1:5" ht="21" customHeight="1" thickBot="1">
      <c r="A27" s="282" t="s">
        <v>298</v>
      </c>
      <c r="B27" s="278">
        <v>0.05</v>
      </c>
      <c r="C27" s="277" t="s">
        <v>380</v>
      </c>
      <c r="D27" s="184" t="s">
        <v>56</v>
      </c>
      <c r="E27" s="185">
        <f>ROUND(E25*0.05,2)</f>
        <v>88.27</v>
      </c>
    </row>
    <row r="28" spans="1:5" ht="21" customHeight="1" thickBot="1">
      <c r="A28" s="282" t="s">
        <v>280</v>
      </c>
      <c r="B28" s="280" t="s">
        <v>297</v>
      </c>
      <c r="C28" s="277"/>
      <c r="D28" s="184" t="s">
        <v>56</v>
      </c>
      <c r="E28" s="185">
        <f>ОпВитратиРоз3!D12</f>
        <v>67.489999999999995</v>
      </c>
    </row>
    <row r="29" spans="1:5" ht="33" customHeight="1" thickBot="1">
      <c r="A29" s="414" t="s">
        <v>281</v>
      </c>
      <c r="B29" s="416">
        <v>0.12</v>
      </c>
      <c r="C29" s="174" t="s">
        <v>381</v>
      </c>
      <c r="D29" s="184" t="s">
        <v>56</v>
      </c>
      <c r="E29" s="182">
        <f>E25+E26+E28+E27</f>
        <v>2186</v>
      </c>
    </row>
    <row r="30" spans="1:5" ht="18.75" customHeight="1" thickBot="1">
      <c r="A30" s="415"/>
      <c r="B30" s="417"/>
      <c r="C30" s="277" t="s">
        <v>382</v>
      </c>
      <c r="D30" s="184" t="s">
        <v>56</v>
      </c>
      <c r="E30" s="185">
        <f>ROUND(E29*0.12,2)</f>
        <v>262.32</v>
      </c>
    </row>
    <row r="31" spans="1:5" ht="27.75" customHeight="1" thickBot="1">
      <c r="A31" s="283" t="s">
        <v>282</v>
      </c>
      <c r="B31" s="284"/>
      <c r="C31" s="277" t="s">
        <v>383</v>
      </c>
      <c r="D31" s="184" t="s">
        <v>56</v>
      </c>
      <c r="E31" s="144">
        <f>E30+E29</f>
        <v>2448.3200000000002</v>
      </c>
    </row>
    <row r="32" spans="1:5">
      <c r="A32" s="130"/>
    </row>
    <row r="33" spans="1:11">
      <c r="A33" s="285"/>
    </row>
    <row r="34" spans="1:11" s="45" customFormat="1">
      <c r="A34" s="45" t="s">
        <v>168</v>
      </c>
      <c r="B34" s="48"/>
      <c r="D34" s="45" t="s">
        <v>169</v>
      </c>
      <c r="F34" s="60"/>
      <c r="G34" s="176"/>
      <c r="H34" s="176"/>
      <c r="I34" s="176"/>
      <c r="J34" s="177"/>
      <c r="K34" s="178"/>
    </row>
    <row r="35" spans="1:11">
      <c r="A35" s="130"/>
    </row>
    <row r="36" spans="1:11">
      <c r="A36" s="285"/>
    </row>
    <row r="37" spans="1:11">
      <c r="A37" s="130"/>
    </row>
    <row r="38" spans="1:11" ht="16.5" thickBot="1">
      <c r="A38" s="286"/>
    </row>
  </sheetData>
  <mergeCells count="29">
    <mergeCell ref="A29:A30"/>
    <mergeCell ref="B29:B30"/>
    <mergeCell ref="C14:C15"/>
    <mergeCell ref="E14:E15"/>
    <mergeCell ref="D14:D15"/>
    <mergeCell ref="A14:A15"/>
    <mergeCell ref="E16:E17"/>
    <mergeCell ref="A18:A19"/>
    <mergeCell ref="D18:D19"/>
    <mergeCell ref="A16:A17"/>
    <mergeCell ref="C16:C17"/>
    <mergeCell ref="D16:D17"/>
    <mergeCell ref="A2:E2"/>
    <mergeCell ref="A1:B1"/>
    <mergeCell ref="A8:A9"/>
    <mergeCell ref="A6:D6"/>
    <mergeCell ref="A4:E4"/>
    <mergeCell ref="A3:E3"/>
    <mergeCell ref="D8:D9"/>
    <mergeCell ref="C8:C9"/>
    <mergeCell ref="E8:E9"/>
    <mergeCell ref="A12:A13"/>
    <mergeCell ref="E12:E13"/>
    <mergeCell ref="A10:A11"/>
    <mergeCell ref="C12:C13"/>
    <mergeCell ref="D12:D13"/>
    <mergeCell ref="C10:C11"/>
    <mergeCell ref="D10:D11"/>
    <mergeCell ref="E10:E11"/>
  </mergeCells>
  <phoneticPr fontId="5" type="noConversion"/>
  <pageMargins left="1.1023622047244095" right="0.11811023622047245" top="0.55118110236220474" bottom="0.15748031496062992" header="0.31496062992125984" footer="0.31496062992125984"/>
  <pageSetup paperSize="9" scale="8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E35"/>
  <sheetViews>
    <sheetView view="pageBreakPreview" topLeftCell="A19" zoomScale="98" zoomScaleNormal="100" zoomScaleSheetLayoutView="98" workbookViewId="0">
      <selection activeCell="B35" sqref="B35"/>
    </sheetView>
  </sheetViews>
  <sheetFormatPr defaultColWidth="9.140625" defaultRowHeight="15"/>
  <cols>
    <col min="1" max="1" width="6.28515625" style="40" customWidth="1"/>
    <col min="2" max="2" width="50.7109375" style="40" customWidth="1"/>
    <col min="3" max="3" width="20.85546875" style="341" customWidth="1"/>
    <col min="4" max="4" width="9.140625" style="40"/>
    <col min="5" max="5" width="15.42578125" style="40" customWidth="1"/>
    <col min="6" max="16384" width="9.140625" style="40"/>
  </cols>
  <sheetData>
    <row r="1" spans="1:3" ht="12" customHeight="1">
      <c r="A1" s="70"/>
      <c r="B1" s="70"/>
      <c r="C1" s="365" t="s">
        <v>34</v>
      </c>
    </row>
    <row r="2" spans="1:3" ht="12" customHeight="1">
      <c r="A2" s="70"/>
      <c r="B2" s="70"/>
      <c r="C2" s="365" t="s">
        <v>35</v>
      </c>
    </row>
    <row r="3" spans="1:3" ht="12" customHeight="1">
      <c r="A3" s="70"/>
      <c r="B3" s="70"/>
      <c r="C3" s="365" t="s">
        <v>36</v>
      </c>
    </row>
    <row r="4" spans="1:3" ht="12" customHeight="1">
      <c r="A4" s="70"/>
      <c r="B4" s="70"/>
      <c r="C4" s="365" t="s">
        <v>37</v>
      </c>
    </row>
    <row r="5" spans="1:3" ht="12" customHeight="1">
      <c r="A5" s="70"/>
      <c r="B5" s="70"/>
      <c r="C5" s="365" t="s">
        <v>38</v>
      </c>
    </row>
    <row r="6" spans="1:3" ht="23.25" customHeight="1">
      <c r="A6" s="458" t="s">
        <v>582</v>
      </c>
      <c r="B6" s="458"/>
      <c r="C6" s="458"/>
    </row>
    <row r="7" spans="1:3" ht="40.15" customHeight="1">
      <c r="A7" s="405" t="s">
        <v>584</v>
      </c>
      <c r="B7" s="405"/>
      <c r="C7" s="405"/>
    </row>
    <row r="8" spans="1:3" ht="3" customHeight="1">
      <c r="A8" s="70"/>
      <c r="B8" s="70"/>
      <c r="C8" s="187"/>
    </row>
    <row r="9" spans="1:3" ht="3" customHeight="1">
      <c r="A9" s="70"/>
      <c r="B9" s="70"/>
      <c r="C9" s="187"/>
    </row>
    <row r="10" spans="1:3" ht="19.5" customHeight="1">
      <c r="A10" s="459" t="s">
        <v>33</v>
      </c>
      <c r="B10" s="461" t="s">
        <v>1</v>
      </c>
      <c r="C10" s="462" t="s">
        <v>2</v>
      </c>
    </row>
    <row r="11" spans="1:3" ht="21" customHeight="1">
      <c r="A11" s="460"/>
      <c r="B11" s="461"/>
      <c r="C11" s="462"/>
    </row>
    <row r="12" spans="1:3" ht="18.75" customHeight="1">
      <c r="A12" s="346">
        <v>1</v>
      </c>
      <c r="B12" s="347" t="s">
        <v>3</v>
      </c>
      <c r="C12" s="353">
        <f>C13+C18+C24</f>
        <v>2840.86</v>
      </c>
    </row>
    <row r="13" spans="1:3" ht="16.5" customHeight="1">
      <c r="A13" s="346" t="s">
        <v>13</v>
      </c>
      <c r="B13" s="347" t="s">
        <v>4</v>
      </c>
      <c r="C13" s="353">
        <f>C14+C15+C16</f>
        <v>2146.9499999999998</v>
      </c>
    </row>
    <row r="14" spans="1:3" ht="32.450000000000003" customHeight="1">
      <c r="A14" s="346" t="s">
        <v>14</v>
      </c>
      <c r="B14" s="347" t="s">
        <v>202</v>
      </c>
      <c r="C14" s="366">
        <f>МатВит!G33+Роз13_НеопізнаніЛіто!E21</f>
        <v>1577.32</v>
      </c>
    </row>
    <row r="15" spans="1:3">
      <c r="A15" s="346" t="s">
        <v>22</v>
      </c>
      <c r="B15" s="350" t="s">
        <v>27</v>
      </c>
      <c r="C15" s="366">
        <f>Роз13_НеопізнаніЛіто!E36</f>
        <v>466.90999999999997</v>
      </c>
    </row>
    <row r="16" spans="1:3">
      <c r="A16" s="455" t="s">
        <v>23</v>
      </c>
      <c r="B16" s="350" t="s">
        <v>5</v>
      </c>
      <c r="C16" s="457">
        <f>Роз13_НеопізнаніЛіто!E37</f>
        <v>102.72</v>
      </c>
    </row>
    <row r="17" spans="1:5" ht="30">
      <c r="A17" s="456"/>
      <c r="B17" s="351" t="s">
        <v>6</v>
      </c>
      <c r="C17" s="457"/>
    </row>
    <row r="18" spans="1:5">
      <c r="A18" s="346" t="s">
        <v>24</v>
      </c>
      <c r="B18" s="347" t="s">
        <v>7</v>
      </c>
      <c r="C18" s="353">
        <f>C21+C20+C19</f>
        <v>389.53000000000003</v>
      </c>
    </row>
    <row r="19" spans="1:5" ht="30">
      <c r="A19" s="346" t="s">
        <v>85</v>
      </c>
      <c r="B19" s="347" t="s">
        <v>84</v>
      </c>
      <c r="C19" s="366">
        <f>Роз13_НеопізнаніЛіто!E40</f>
        <v>322.04000000000002</v>
      </c>
    </row>
    <row r="20" spans="1:5">
      <c r="A20" s="346" t="s">
        <v>87</v>
      </c>
      <c r="B20" s="347" t="s">
        <v>86</v>
      </c>
      <c r="C20" s="366">
        <f>Роз13_НеопізнаніЛіто!E41</f>
        <v>0</v>
      </c>
    </row>
    <row r="21" spans="1:5">
      <c r="A21" s="346" t="s">
        <v>88</v>
      </c>
      <c r="B21" s="347" t="s">
        <v>28</v>
      </c>
      <c r="C21" s="366">
        <f>Роз13_НеопізнаніЛіто!E42</f>
        <v>67.489999999999995</v>
      </c>
    </row>
    <row r="22" spans="1:5">
      <c r="A22" s="346">
        <v>2</v>
      </c>
      <c r="B22" s="347" t="s">
        <v>29</v>
      </c>
      <c r="C22" s="366"/>
    </row>
    <row r="23" spans="1:5">
      <c r="A23" s="346" t="s">
        <v>89</v>
      </c>
      <c r="B23" s="347" t="s">
        <v>30</v>
      </c>
      <c r="C23" s="353">
        <f>C13+C18</f>
        <v>2536.48</v>
      </c>
    </row>
    <row r="24" spans="1:5" ht="28.15" customHeight="1">
      <c r="A24" s="346" t="s">
        <v>90</v>
      </c>
      <c r="B24" s="347" t="s">
        <v>515</v>
      </c>
      <c r="C24" s="366">
        <f>ROUND(C23*12%,2)</f>
        <v>304.38</v>
      </c>
    </row>
    <row r="25" spans="1:5">
      <c r="A25" s="346" t="s">
        <v>91</v>
      </c>
      <c r="B25" s="347" t="s">
        <v>31</v>
      </c>
      <c r="C25" s="353">
        <f>C23+C24</f>
        <v>2840.86</v>
      </c>
    </row>
    <row r="26" spans="1:5">
      <c r="A26" s="346" t="s">
        <v>92</v>
      </c>
      <c r="B26" s="347" t="s">
        <v>11</v>
      </c>
      <c r="C26" s="367">
        <v>1</v>
      </c>
    </row>
    <row r="27" spans="1:5">
      <c r="A27" s="346" t="s">
        <v>93</v>
      </c>
      <c r="B27" s="347" t="s">
        <v>32</v>
      </c>
      <c r="C27" s="353">
        <f>C25*C26</f>
        <v>2840.86</v>
      </c>
      <c r="E27" s="342"/>
    </row>
    <row r="28" spans="1:5" ht="43.15" customHeight="1">
      <c r="A28" s="346" t="s">
        <v>350</v>
      </c>
      <c r="B28" s="347" t="s">
        <v>573</v>
      </c>
      <c r="C28" s="353">
        <f>Вит_війскових_опізнаних!F11+SUM(Вит_війскових_опізнаних!F13:F18)</f>
        <v>25595.25</v>
      </c>
      <c r="E28" s="342"/>
    </row>
    <row r="29" spans="1:5" ht="60" customHeight="1">
      <c r="A29" s="346" t="s">
        <v>351</v>
      </c>
      <c r="B29" s="347" t="s">
        <v>581</v>
      </c>
      <c r="C29" s="353">
        <f>ROUND(C28+C27,2)</f>
        <v>28436.11</v>
      </c>
      <c r="E29" s="342"/>
    </row>
    <row r="30" spans="1:5">
      <c r="A30" s="368"/>
      <c r="B30" s="369"/>
      <c r="C30" s="370"/>
      <c r="E30" s="342"/>
    </row>
    <row r="31" spans="1:5">
      <c r="A31" s="371" t="s">
        <v>534</v>
      </c>
      <c r="B31" s="70"/>
      <c r="C31" s="375">
        <f>ROUND(C29,0)</f>
        <v>28436</v>
      </c>
    </row>
    <row r="32" spans="1:5">
      <c r="A32" s="70"/>
      <c r="B32" s="70"/>
      <c r="C32" s="187"/>
    </row>
    <row r="33" spans="1:3" ht="16.5">
      <c r="A33" s="339" t="s">
        <v>533</v>
      </c>
      <c r="B33" s="369"/>
      <c r="C33" s="70"/>
    </row>
    <row r="35" spans="1:3">
      <c r="B35" s="342"/>
    </row>
  </sheetData>
  <mergeCells count="7">
    <mergeCell ref="A16:A17"/>
    <mergeCell ref="C16:C17"/>
    <mergeCell ref="A6:C6"/>
    <mergeCell ref="A7:C7"/>
    <mergeCell ref="A10:A11"/>
    <mergeCell ref="B10:B11"/>
    <mergeCell ref="C10:C11"/>
  </mergeCells>
  <phoneticPr fontId="5" type="noConversion"/>
  <pageMargins left="1.3385826771653544" right="0.15748031496062992" top="0.78740157480314965" bottom="0.59055118110236227" header="0.51181102362204722" footer="0.51181102362204722"/>
  <pageSetup paperSize="9" scale="110" orientation="portrait" blackAndWhite="1"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Лист24">
    <tabColor theme="4" tint="-0.249977111117893"/>
  </sheetPr>
  <dimension ref="A1:C31"/>
  <sheetViews>
    <sheetView view="pageBreakPreview" topLeftCell="A10" zoomScale="79" zoomScaleNormal="136" zoomScaleSheetLayoutView="79" workbookViewId="0">
      <selection activeCell="F27" sqref="F27"/>
    </sheetView>
  </sheetViews>
  <sheetFormatPr defaultRowHeight="15"/>
  <cols>
    <col min="1" max="1" width="6.28515625" customWidth="1"/>
    <col min="2" max="2" width="42.140625" customWidth="1"/>
    <col min="3" max="3" width="29.7109375" style="136" customWidth="1"/>
  </cols>
  <sheetData>
    <row r="1" spans="1:3" ht="12" customHeight="1">
      <c r="C1" s="135" t="s">
        <v>34</v>
      </c>
    </row>
    <row r="2" spans="1:3" ht="12" customHeight="1">
      <c r="C2" s="135" t="s">
        <v>35</v>
      </c>
    </row>
    <row r="3" spans="1:3" ht="12" customHeight="1">
      <c r="C3" s="135" t="s">
        <v>36</v>
      </c>
    </row>
    <row r="4" spans="1:3" ht="12" customHeight="1">
      <c r="C4" s="135" t="s">
        <v>37</v>
      </c>
    </row>
    <row r="5" spans="1:3" ht="12" customHeight="1">
      <c r="C5" s="135" t="s">
        <v>38</v>
      </c>
    </row>
    <row r="6" spans="1:3" ht="30.75" customHeight="1">
      <c r="A6" s="404" t="s">
        <v>124</v>
      </c>
      <c r="B6" s="404"/>
      <c r="C6" s="404"/>
    </row>
    <row r="7" spans="1:3" ht="45" customHeight="1">
      <c r="A7" s="490" t="s">
        <v>112</v>
      </c>
      <c r="B7" s="490"/>
      <c r="C7" s="490"/>
    </row>
    <row r="8" spans="1:3" ht="10.5" customHeight="1"/>
    <row r="9" spans="1:3" ht="10.5" customHeight="1"/>
    <row r="10" spans="1:3">
      <c r="A10" s="406" t="s">
        <v>33</v>
      </c>
      <c r="B10" s="408" t="s">
        <v>1</v>
      </c>
      <c r="C10" s="409" t="s">
        <v>2</v>
      </c>
    </row>
    <row r="11" spans="1:3" ht="25.15" customHeight="1">
      <c r="A11" s="407"/>
      <c r="B11" s="408"/>
      <c r="C11" s="409"/>
    </row>
    <row r="12" spans="1:3" ht="22.5" customHeight="1">
      <c r="A12" s="1">
        <v>1</v>
      </c>
      <c r="B12" s="2" t="s">
        <v>3</v>
      </c>
      <c r="C12" s="131">
        <f>C13+C18</f>
        <v>2950.22</v>
      </c>
    </row>
    <row r="13" spans="1:3">
      <c r="A13" s="1" t="s">
        <v>13</v>
      </c>
      <c r="B13" s="2" t="s">
        <v>4</v>
      </c>
      <c r="C13" s="131">
        <f>C14+C15+C16</f>
        <v>2402.2799999999997</v>
      </c>
    </row>
    <row r="14" spans="1:3" ht="42.75" customHeight="1">
      <c r="A14" s="1" t="s">
        <v>14</v>
      </c>
      <c r="B14" s="2" t="s">
        <v>334</v>
      </c>
      <c r="C14" s="131">
        <f>МатВит!G33+Роз4!E21</f>
        <v>1657.85</v>
      </c>
    </row>
    <row r="15" spans="1:3">
      <c r="A15" s="1" t="s">
        <v>22</v>
      </c>
      <c r="B15" s="23" t="s">
        <v>27</v>
      </c>
      <c r="C15" s="131">
        <f>Роз4!E36</f>
        <v>610.18999999999994</v>
      </c>
    </row>
    <row r="16" spans="1:3">
      <c r="A16" s="410" t="s">
        <v>23</v>
      </c>
      <c r="B16" s="23" t="s">
        <v>5</v>
      </c>
      <c r="C16" s="412">
        <f>ROUND(C15*22%,2)</f>
        <v>134.24</v>
      </c>
    </row>
    <row r="17" spans="1:3" ht="30">
      <c r="A17" s="411"/>
      <c r="B17" s="24" t="s">
        <v>6</v>
      </c>
      <c r="C17" s="412"/>
    </row>
    <row r="18" spans="1:3">
      <c r="A18" s="1" t="s">
        <v>24</v>
      </c>
      <c r="B18" s="2" t="s">
        <v>7</v>
      </c>
      <c r="C18" s="131">
        <f>C21+C20+C19</f>
        <v>547.93999999999994</v>
      </c>
    </row>
    <row r="19" spans="1:3" ht="30">
      <c r="A19" s="1" t="s">
        <v>85</v>
      </c>
      <c r="B19" s="2" t="s">
        <v>84</v>
      </c>
      <c r="C19" s="131">
        <f>ROUND(C13*15%,2)</f>
        <v>360.34</v>
      </c>
    </row>
    <row r="20" spans="1:3" ht="30">
      <c r="A20" s="1" t="s">
        <v>87</v>
      </c>
      <c r="B20" s="2" t="s">
        <v>86</v>
      </c>
      <c r="C20" s="131">
        <f>ROUND(C13*5%,2)</f>
        <v>120.11</v>
      </c>
    </row>
    <row r="21" spans="1:3">
      <c r="A21" s="1" t="s">
        <v>88</v>
      </c>
      <c r="B21" s="2" t="s">
        <v>28</v>
      </c>
      <c r="C21" s="131">
        <f>ОпВитратиРоз3!D12</f>
        <v>67.489999999999995</v>
      </c>
    </row>
    <row r="22" spans="1:3">
      <c r="A22" s="1">
        <v>2</v>
      </c>
      <c r="B22" s="2" t="s">
        <v>29</v>
      </c>
      <c r="C22" s="131"/>
    </row>
    <row r="23" spans="1:3">
      <c r="A23" s="1" t="s">
        <v>89</v>
      </c>
      <c r="B23" s="2" t="s">
        <v>30</v>
      </c>
      <c r="C23" s="131">
        <f>C13+C18</f>
        <v>2950.22</v>
      </c>
    </row>
    <row r="24" spans="1:3" ht="30">
      <c r="A24" s="1" t="s">
        <v>90</v>
      </c>
      <c r="B24" s="2" t="s">
        <v>9</v>
      </c>
      <c r="C24" s="131">
        <f>ROUND(C23*12%,2)</f>
        <v>354.03</v>
      </c>
    </row>
    <row r="25" spans="1:3">
      <c r="A25" s="1" t="s">
        <v>91</v>
      </c>
      <c r="B25" s="2" t="s">
        <v>31</v>
      </c>
      <c r="C25" s="131">
        <f>C23+C24</f>
        <v>3304.25</v>
      </c>
    </row>
    <row r="26" spans="1:3" ht="30">
      <c r="A26" s="1" t="s">
        <v>92</v>
      </c>
      <c r="B26" s="2" t="s">
        <v>11</v>
      </c>
      <c r="C26" s="131">
        <v>1</v>
      </c>
    </row>
    <row r="27" spans="1:3">
      <c r="A27" s="1" t="s">
        <v>93</v>
      </c>
      <c r="B27" s="2" t="s">
        <v>32</v>
      </c>
      <c r="C27" s="133">
        <f>C25*C26</f>
        <v>3304.25</v>
      </c>
    </row>
    <row r="29" spans="1:3" s="70" customFormat="1" ht="15.75">
      <c r="A29" s="179" t="s">
        <v>571</v>
      </c>
      <c r="C29" s="187"/>
    </row>
    <row r="31" spans="1:3" ht="28.5" customHeight="1">
      <c r="A31" s="403" t="s">
        <v>55</v>
      </c>
      <c r="B31" s="403"/>
      <c r="C31" s="6" t="s">
        <v>528</v>
      </c>
    </row>
  </sheetData>
  <mergeCells count="8">
    <mergeCell ref="A31:B31"/>
    <mergeCell ref="A16:A17"/>
    <mergeCell ref="C16:C17"/>
    <mergeCell ref="A6:C6"/>
    <mergeCell ref="A7:C7"/>
    <mergeCell ref="A10:A11"/>
    <mergeCell ref="B10:B11"/>
    <mergeCell ref="C10:C11"/>
  </mergeCells>
  <phoneticPr fontId="5" type="noConversion"/>
  <pageMargins left="1.3385826771653544" right="0" top="0.98425196850393704" bottom="0.98425196850393704" header="0.51181102362204722" footer="0.51181102362204722"/>
  <pageSetup paperSize="9" scale="97"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249977111117893"/>
  </sheetPr>
  <dimension ref="A1:K52"/>
  <sheetViews>
    <sheetView view="pageBreakPreview" zoomScaleNormal="100" zoomScaleSheetLayoutView="100" workbookViewId="0">
      <selection activeCell="J24" sqref="J24"/>
    </sheetView>
  </sheetViews>
  <sheetFormatPr defaultColWidth="9.140625" defaultRowHeight="15.75"/>
  <cols>
    <col min="1" max="1" width="30" style="292" customWidth="1"/>
    <col min="2" max="2" width="24" style="301" customWidth="1"/>
    <col min="3" max="3" width="21.140625" style="292" customWidth="1"/>
    <col min="4" max="4" width="11.28515625" style="292" customWidth="1"/>
    <col min="5" max="5" width="13.140625" style="292" customWidth="1"/>
    <col min="6" max="6" width="7.7109375" style="292" customWidth="1"/>
    <col min="7" max="7" width="11.140625" style="292" customWidth="1"/>
    <col min="8" max="16384" width="9.140625" style="292"/>
  </cols>
  <sheetData>
    <row r="1" spans="1:6" ht="27" customHeight="1">
      <c r="A1" s="453" t="s">
        <v>299</v>
      </c>
      <c r="B1" s="453"/>
      <c r="C1" s="130" t="str">
        <f>к4екскЗ!A6</f>
        <v>КАЛЬКУЛЯЦІЯ № 4</v>
      </c>
      <c r="D1" s="130"/>
      <c r="E1" s="130"/>
    </row>
    <row r="2" spans="1:6" ht="45" customHeight="1">
      <c r="A2" s="454" t="str">
        <f>к4екскЗ!A7</f>
        <v>Копання могили механізованим способом із застосуванням ексковатора та поховання померлого в зимку</v>
      </c>
      <c r="B2" s="454"/>
      <c r="C2" s="454"/>
      <c r="D2" s="454"/>
      <c r="E2" s="454"/>
    </row>
    <row r="3" spans="1:6" ht="53.25" customHeight="1">
      <c r="A3" s="454" t="s">
        <v>321</v>
      </c>
      <c r="B3" s="454"/>
      <c r="C3" s="454"/>
      <c r="D3" s="454"/>
      <c r="E3" s="454"/>
    </row>
    <row r="4" spans="1:6" ht="65.25" customHeight="1">
      <c r="A4" s="536" t="s">
        <v>322</v>
      </c>
      <c r="B4" s="536"/>
      <c r="C4" s="536"/>
      <c r="D4" s="536"/>
      <c r="E4" s="536"/>
    </row>
    <row r="5" spans="1:6" ht="108.75" customHeight="1">
      <c r="A5" s="447" t="s">
        <v>323</v>
      </c>
      <c r="B5" s="447"/>
      <c r="C5" s="447"/>
      <c r="D5" s="447"/>
      <c r="E5" s="447"/>
    </row>
    <row r="6" spans="1:6" ht="96.75" customHeight="1">
      <c r="A6" s="447" t="s">
        <v>575</v>
      </c>
      <c r="B6" s="447"/>
      <c r="C6" s="447"/>
      <c r="D6" s="447"/>
      <c r="E6" s="447"/>
    </row>
    <row r="7" spans="1:6" ht="10.5" customHeight="1" thickBot="1">
      <c r="A7" s="436"/>
      <c r="B7" s="436"/>
      <c r="C7" s="436"/>
      <c r="D7" s="436"/>
    </row>
    <row r="8" spans="1:6" ht="18.75" customHeight="1" thickBot="1">
      <c r="A8" s="250" t="s">
        <v>1</v>
      </c>
      <c r="B8" s="183" t="s">
        <v>208</v>
      </c>
      <c r="C8" s="251" t="s">
        <v>266</v>
      </c>
      <c r="D8" s="252" t="s">
        <v>193</v>
      </c>
      <c r="E8" s="138" t="s">
        <v>489</v>
      </c>
    </row>
    <row r="9" spans="1:6" ht="17.25" customHeight="1">
      <c r="A9" s="418" t="s">
        <v>268</v>
      </c>
      <c r="B9" s="253" t="s">
        <v>286</v>
      </c>
      <c r="C9" s="449" t="s">
        <v>284</v>
      </c>
      <c r="D9" s="449" t="s">
        <v>283</v>
      </c>
      <c r="E9" s="451">
        <f>2.2*1.9*1</f>
        <v>4.18</v>
      </c>
    </row>
    <row r="10" spans="1:6" ht="28.5" customHeight="1" thickBot="1">
      <c r="A10" s="448"/>
      <c r="B10" s="272" t="s">
        <v>313</v>
      </c>
      <c r="C10" s="450"/>
      <c r="D10" s="450"/>
      <c r="E10" s="452"/>
    </row>
    <row r="11" spans="1:6" ht="21.75" customHeight="1" thickBot="1">
      <c r="A11" s="440" t="s">
        <v>480</v>
      </c>
      <c r="B11" s="441"/>
      <c r="C11" s="442"/>
      <c r="D11" s="254"/>
      <c r="E11" s="302"/>
    </row>
    <row r="12" spans="1:6" ht="41.25" customHeight="1" thickBot="1">
      <c r="A12" s="293" t="s">
        <v>314</v>
      </c>
      <c r="B12" s="438" t="s">
        <v>492</v>
      </c>
      <c r="C12" s="257" t="s">
        <v>327</v>
      </c>
      <c r="D12" s="257" t="s">
        <v>316</v>
      </c>
      <c r="E12" s="258">
        <f>ROUND(0.14*E9,2)</f>
        <v>0.59</v>
      </c>
    </row>
    <row r="13" spans="1:6" ht="51" customHeight="1" thickBot="1">
      <c r="A13" s="294" t="s">
        <v>315</v>
      </c>
      <c r="B13" s="439"/>
      <c r="C13" s="260" t="s">
        <v>317</v>
      </c>
      <c r="D13" s="257" t="s">
        <v>316</v>
      </c>
      <c r="E13" s="303">
        <v>1</v>
      </c>
    </row>
    <row r="14" spans="1:6" ht="49.5" customHeight="1" thickBot="1">
      <c r="A14" s="440" t="s">
        <v>481</v>
      </c>
      <c r="B14" s="441"/>
      <c r="C14" s="442"/>
      <c r="D14" s="262" t="s">
        <v>56</v>
      </c>
      <c r="E14" s="302">
        <f>E15+E16</f>
        <v>267.58</v>
      </c>
      <c r="F14" s="295"/>
    </row>
    <row r="15" spans="1:6" ht="30" customHeight="1" thickBot="1">
      <c r="A15" s="293" t="s">
        <v>314</v>
      </c>
      <c r="B15" s="438" t="s">
        <v>319</v>
      </c>
      <c r="C15" s="257" t="s">
        <v>366</v>
      </c>
      <c r="D15" s="262" t="s">
        <v>56</v>
      </c>
      <c r="E15" s="263">
        <f>ROUND(E12*E17*5*1.08,2)</f>
        <v>187.94</v>
      </c>
    </row>
    <row r="16" spans="1:6" ht="33.75" customHeight="1" thickBot="1">
      <c r="A16" s="296" t="s">
        <v>336</v>
      </c>
      <c r="B16" s="439"/>
      <c r="C16" s="260" t="s">
        <v>373</v>
      </c>
      <c r="D16" s="262" t="s">
        <v>56</v>
      </c>
      <c r="E16" s="263">
        <f>ROUND(E13*E17*10/8*1.08,2)</f>
        <v>79.64</v>
      </c>
    </row>
    <row r="17" spans="1:6" ht="23.25" customHeight="1" thickBot="1">
      <c r="A17" s="265" t="s">
        <v>318</v>
      </c>
      <c r="B17" s="443" t="s">
        <v>320</v>
      </c>
      <c r="C17" s="444"/>
      <c r="D17" s="262" t="s">
        <v>56</v>
      </c>
      <c r="E17" s="141">
        <v>58.99</v>
      </c>
    </row>
    <row r="18" spans="1:6" ht="23.25" customHeight="1" thickBot="1">
      <c r="A18" s="433" t="s">
        <v>482</v>
      </c>
      <c r="B18" s="434"/>
      <c r="C18" s="437"/>
      <c r="D18" s="262" t="s">
        <v>56</v>
      </c>
      <c r="E18" s="383">
        <f>E19+E20</f>
        <v>1314.53</v>
      </c>
      <c r="F18" s="295"/>
    </row>
    <row r="19" spans="1:6" ht="32.25" customHeight="1" thickBot="1">
      <c r="A19" s="297" t="s">
        <v>325</v>
      </c>
      <c r="B19" s="445" t="s">
        <v>367</v>
      </c>
      <c r="C19" s="257" t="s">
        <v>553</v>
      </c>
      <c r="D19" s="262" t="s">
        <v>56</v>
      </c>
      <c r="E19" s="378">
        <f>ROUND(1838.51*E12,2)</f>
        <v>1084.72</v>
      </c>
      <c r="F19" s="295"/>
    </row>
    <row r="20" spans="1:6" ht="31.5" customHeight="1" thickBot="1">
      <c r="A20" s="296" t="s">
        <v>336</v>
      </c>
      <c r="B20" s="446"/>
      <c r="C20" s="267" t="s">
        <v>554</v>
      </c>
      <c r="D20" s="262" t="s">
        <v>56</v>
      </c>
      <c r="E20" s="379">
        <f>ROUND(1838.51*E13/8,2)</f>
        <v>229.81</v>
      </c>
      <c r="F20" s="295"/>
    </row>
    <row r="21" spans="1:6" ht="34.5" customHeight="1" thickBot="1">
      <c r="A21" s="433" t="s">
        <v>483</v>
      </c>
      <c r="B21" s="434"/>
      <c r="C21" s="435"/>
      <c r="D21" s="268" t="s">
        <v>56</v>
      </c>
      <c r="E21" s="379">
        <f>E14+E18</f>
        <v>1582.11</v>
      </c>
    </row>
    <row r="22" spans="1:6" ht="18.75" customHeight="1">
      <c r="A22" s="418" t="s">
        <v>292</v>
      </c>
      <c r="B22" s="253" t="s">
        <v>293</v>
      </c>
      <c r="C22" s="420" t="s">
        <v>359</v>
      </c>
      <c r="D22" s="432" t="s">
        <v>56</v>
      </c>
      <c r="E22" s="424">
        <f>ROUND(E34*2.2*0.1,2)</f>
        <v>17.13</v>
      </c>
    </row>
    <row r="23" spans="1:6" ht="30.75" customHeight="1" thickBot="1">
      <c r="A23" s="419"/>
      <c r="B23" s="290" t="s">
        <v>271</v>
      </c>
      <c r="C23" s="421"/>
      <c r="D23" s="429"/>
      <c r="E23" s="425"/>
    </row>
    <row r="24" spans="1:6" ht="18.75" customHeight="1">
      <c r="A24" s="418" t="s">
        <v>270</v>
      </c>
      <c r="B24" s="253" t="s">
        <v>295</v>
      </c>
      <c r="C24" s="420" t="s">
        <v>360</v>
      </c>
      <c r="D24" s="432" t="s">
        <v>56</v>
      </c>
      <c r="E24" s="424">
        <f>ROUND(E34*2.2*0.13,2)</f>
        <v>22.27</v>
      </c>
    </row>
    <row r="25" spans="1:6" ht="35.25" customHeight="1" thickBot="1">
      <c r="A25" s="419"/>
      <c r="B25" s="290" t="s">
        <v>271</v>
      </c>
      <c r="C25" s="421"/>
      <c r="D25" s="429"/>
      <c r="E25" s="425"/>
    </row>
    <row r="26" spans="1:6" ht="18.75" customHeight="1">
      <c r="A26" s="413" t="s">
        <v>328</v>
      </c>
      <c r="B26" s="428" t="s">
        <v>329</v>
      </c>
      <c r="C26" s="430" t="s">
        <v>517</v>
      </c>
      <c r="D26" s="428" t="s">
        <v>285</v>
      </c>
      <c r="E26" s="431">
        <f>ROUND(0.125*((2.2*1)+(2.2+1 )*2*1.9),2)</f>
        <v>1.8</v>
      </c>
    </row>
    <row r="27" spans="1:6" ht="41.25" customHeight="1" thickBot="1">
      <c r="A27" s="413"/>
      <c r="B27" s="429"/>
      <c r="C27" s="430"/>
      <c r="D27" s="429"/>
      <c r="E27" s="431"/>
    </row>
    <row r="28" spans="1:6" ht="34.5" customHeight="1">
      <c r="A28" s="418" t="s">
        <v>491</v>
      </c>
      <c r="B28" s="183"/>
      <c r="C28" s="420" t="s">
        <v>331</v>
      </c>
      <c r="D28" s="426" t="s">
        <v>285</v>
      </c>
      <c r="E28" s="424">
        <f>E26*1.3</f>
        <v>2.3400000000000003</v>
      </c>
    </row>
    <row r="29" spans="1:6" ht="60" customHeight="1" thickBot="1">
      <c r="A29" s="419"/>
      <c r="B29" s="184" t="s">
        <v>269</v>
      </c>
      <c r="C29" s="421"/>
      <c r="D29" s="427"/>
      <c r="E29" s="425"/>
    </row>
    <row r="30" spans="1:6" ht="24" customHeight="1">
      <c r="A30" s="418" t="s">
        <v>272</v>
      </c>
      <c r="B30" s="253" t="s">
        <v>332</v>
      </c>
      <c r="C30" s="420" t="s">
        <v>361</v>
      </c>
      <c r="D30" s="422" t="s">
        <v>285</v>
      </c>
      <c r="E30" s="424">
        <f>ROUND(0.79*E9,2)</f>
        <v>3.3</v>
      </c>
    </row>
    <row r="31" spans="1:6" ht="30" customHeight="1" thickBot="1">
      <c r="A31" s="419"/>
      <c r="B31" s="290" t="s">
        <v>273</v>
      </c>
      <c r="C31" s="421"/>
      <c r="D31" s="423"/>
      <c r="E31" s="425"/>
    </row>
    <row r="32" spans="1:6" ht="28.5" customHeight="1" thickBot="1">
      <c r="A32" s="418" t="s">
        <v>301</v>
      </c>
      <c r="B32" s="253" t="s">
        <v>274</v>
      </c>
      <c r="C32" s="172" t="s">
        <v>368</v>
      </c>
      <c r="D32" s="422" t="s">
        <v>285</v>
      </c>
      <c r="E32" s="141">
        <f>E30+E28</f>
        <v>5.6400000000000006</v>
      </c>
    </row>
    <row r="33" spans="1:11" ht="35.25" customHeight="1" thickBot="1">
      <c r="A33" s="419"/>
      <c r="B33" s="290" t="s">
        <v>275</v>
      </c>
      <c r="C33" s="174" t="s">
        <v>369</v>
      </c>
      <c r="D33" s="423"/>
      <c r="E33" s="182">
        <f>ROUND(E32*1.3,2)</f>
        <v>7.33</v>
      </c>
    </row>
    <row r="34" spans="1:11" ht="36.75" customHeight="1" thickBot="1">
      <c r="A34" s="270" t="s">
        <v>264</v>
      </c>
      <c r="B34" s="291" t="s">
        <v>289</v>
      </c>
      <c r="C34" s="298"/>
      <c r="D34" s="272" t="s">
        <v>56</v>
      </c>
      <c r="E34" s="142">
        <f>СПР_ШТ!D14</f>
        <v>77.87</v>
      </c>
    </row>
    <row r="35" spans="1:11" ht="79.900000000000006" customHeight="1" thickBot="1">
      <c r="A35" s="387" t="s">
        <v>333</v>
      </c>
      <c r="B35" s="257" t="s">
        <v>303</v>
      </c>
      <c r="C35" s="274" t="s">
        <v>370</v>
      </c>
      <c r="D35" s="257" t="s">
        <v>56</v>
      </c>
      <c r="E35" s="141">
        <f>ROUND(E34*E33,2)</f>
        <v>570.79</v>
      </c>
    </row>
    <row r="36" spans="1:11" ht="47.25" customHeight="1" thickBot="1">
      <c r="A36" s="275" t="s">
        <v>276</v>
      </c>
      <c r="B36" s="299"/>
      <c r="C36" s="277" t="s">
        <v>371</v>
      </c>
      <c r="D36" s="183" t="s">
        <v>56</v>
      </c>
      <c r="E36" s="143">
        <f>E35+E24+E22</f>
        <v>610.18999999999994</v>
      </c>
    </row>
    <row r="37" spans="1:11" ht="32.25" customHeight="1" thickBot="1">
      <c r="A37" s="270" t="s">
        <v>277</v>
      </c>
      <c r="B37" s="278">
        <v>0.22</v>
      </c>
      <c r="C37" s="277" t="s">
        <v>372</v>
      </c>
      <c r="D37" s="183" t="s">
        <v>56</v>
      </c>
      <c r="E37" s="185">
        <f>ROUND(E36*0.22,2)</f>
        <v>134.24</v>
      </c>
    </row>
    <row r="38" spans="1:11" ht="33" customHeight="1" thickBot="1">
      <c r="A38" s="300" t="s">
        <v>227</v>
      </c>
      <c r="B38" s="280" t="s">
        <v>290</v>
      </c>
      <c r="C38" s="281"/>
      <c r="D38" s="183" t="s">
        <v>56</v>
      </c>
      <c r="E38" s="185">
        <f>МатВит!G33</f>
        <v>75.739999999999995</v>
      </c>
    </row>
    <row r="39" spans="1:11" ht="33" customHeight="1" thickBot="1">
      <c r="A39" s="282" t="s">
        <v>278</v>
      </c>
      <c r="B39" s="280"/>
      <c r="C39" s="277" t="s">
        <v>565</v>
      </c>
      <c r="D39" s="257" t="s">
        <v>56</v>
      </c>
      <c r="E39" s="381">
        <f>E37+E36+E38+E21</f>
        <v>2402.2799999999997</v>
      </c>
    </row>
    <row r="40" spans="1:11" ht="21" customHeight="1" thickBot="1">
      <c r="A40" s="282" t="s">
        <v>279</v>
      </c>
      <c r="B40" s="278">
        <v>0.15</v>
      </c>
      <c r="C40" s="277" t="s">
        <v>566</v>
      </c>
      <c r="D40" s="184" t="s">
        <v>56</v>
      </c>
      <c r="E40" s="381">
        <f>ROUND(E39*0.15,2)</f>
        <v>360.34</v>
      </c>
    </row>
    <row r="41" spans="1:11" ht="21" customHeight="1" thickBot="1">
      <c r="A41" s="282" t="s">
        <v>298</v>
      </c>
      <c r="B41" s="278">
        <v>0.05</v>
      </c>
      <c r="C41" s="277" t="s">
        <v>567</v>
      </c>
      <c r="D41" s="184" t="s">
        <v>56</v>
      </c>
      <c r="E41" s="381">
        <f>ROUND(E39*0.05,2)</f>
        <v>120.11</v>
      </c>
    </row>
    <row r="42" spans="1:11" ht="18.75" customHeight="1" thickBot="1">
      <c r="A42" s="282" t="s">
        <v>280</v>
      </c>
      <c r="B42" s="280" t="s">
        <v>297</v>
      </c>
      <c r="C42" s="277"/>
      <c r="D42" s="184" t="s">
        <v>56</v>
      </c>
      <c r="E42" s="185">
        <f>ОпВитратиРоз3!D12</f>
        <v>67.489999999999995</v>
      </c>
    </row>
    <row r="43" spans="1:11" ht="30" customHeight="1" thickBot="1">
      <c r="A43" s="414" t="s">
        <v>281</v>
      </c>
      <c r="B43" s="416">
        <v>0.12</v>
      </c>
      <c r="C43" s="277" t="s">
        <v>568</v>
      </c>
      <c r="D43" s="184" t="s">
        <v>56</v>
      </c>
      <c r="E43" s="382">
        <f>E39+E40+E42+E41</f>
        <v>2950.22</v>
      </c>
    </row>
    <row r="44" spans="1:11" ht="21" customHeight="1" thickBot="1">
      <c r="A44" s="415"/>
      <c r="B44" s="417"/>
      <c r="C44" s="277" t="s">
        <v>569</v>
      </c>
      <c r="D44" s="184" t="s">
        <v>56</v>
      </c>
      <c r="E44" s="381">
        <f>ROUND(E43*0.12,2)</f>
        <v>354.03</v>
      </c>
    </row>
    <row r="45" spans="1:11" ht="21" customHeight="1" thickBot="1">
      <c r="A45" s="283" t="s">
        <v>282</v>
      </c>
      <c r="B45" s="290"/>
      <c r="C45" s="174" t="s">
        <v>570</v>
      </c>
      <c r="D45" s="184" t="s">
        <v>56</v>
      </c>
      <c r="E45" s="384">
        <f>E44+E43</f>
        <v>3304.25</v>
      </c>
    </row>
    <row r="46" spans="1:11" ht="9.75" customHeight="1">
      <c r="A46" s="130"/>
    </row>
    <row r="47" spans="1:11">
      <c r="A47" s="285"/>
    </row>
    <row r="48" spans="1:11" s="45" customFormat="1" ht="24.75" customHeight="1">
      <c r="A48" s="45" t="s">
        <v>168</v>
      </c>
      <c r="B48" s="176"/>
      <c r="D48" s="45" t="s">
        <v>169</v>
      </c>
      <c r="F48" s="60"/>
      <c r="G48" s="176"/>
      <c r="H48" s="176"/>
      <c r="I48" s="176"/>
      <c r="J48" s="177"/>
      <c r="K48" s="178"/>
    </row>
    <row r="49" spans="1:1">
      <c r="A49" s="130"/>
    </row>
    <row r="50" spans="1:1">
      <c r="A50" s="285"/>
    </row>
    <row r="51" spans="1:1">
      <c r="A51" s="130"/>
    </row>
    <row r="52" spans="1:1">
      <c r="A52" s="286"/>
    </row>
  </sheetData>
  <mergeCells count="44">
    <mergeCell ref="B17:C17"/>
    <mergeCell ref="A18:C18"/>
    <mergeCell ref="A1:B1"/>
    <mergeCell ref="A2:E2"/>
    <mergeCell ref="A3:E3"/>
    <mergeCell ref="A4:E4"/>
    <mergeCell ref="A7:D7"/>
    <mergeCell ref="E22:E23"/>
    <mergeCell ref="D28:D29"/>
    <mergeCell ref="A11:C11"/>
    <mergeCell ref="A9:A10"/>
    <mergeCell ref="A5:E5"/>
    <mergeCell ref="A6:E6"/>
    <mergeCell ref="C9:C10"/>
    <mergeCell ref="A21:C21"/>
    <mergeCell ref="D9:D10"/>
    <mergeCell ref="E9:E10"/>
    <mergeCell ref="E28:E29"/>
    <mergeCell ref="C28:C29"/>
    <mergeCell ref="B19:B20"/>
    <mergeCell ref="B12:B13"/>
    <mergeCell ref="A14:C14"/>
    <mergeCell ref="B15:B16"/>
    <mergeCell ref="E30:E31"/>
    <mergeCell ref="D24:D25"/>
    <mergeCell ref="E24:E25"/>
    <mergeCell ref="D26:D27"/>
    <mergeCell ref="E26:E27"/>
    <mergeCell ref="A43:A44"/>
    <mergeCell ref="B43:B44"/>
    <mergeCell ref="A32:A33"/>
    <mergeCell ref="D32:D33"/>
    <mergeCell ref="D22:D23"/>
    <mergeCell ref="A26:A27"/>
    <mergeCell ref="A22:A23"/>
    <mergeCell ref="C22:C23"/>
    <mergeCell ref="A30:A31"/>
    <mergeCell ref="C30:C31"/>
    <mergeCell ref="A24:A25"/>
    <mergeCell ref="C24:C25"/>
    <mergeCell ref="B26:B27"/>
    <mergeCell ref="C26:C27"/>
    <mergeCell ref="A28:A29"/>
    <mergeCell ref="D30:D31"/>
  </mergeCells>
  <phoneticPr fontId="5" type="noConversion"/>
  <pageMargins left="1.1023622047244095" right="0.11811023622047245" top="0.55118110236220474" bottom="0.15748031496062992" header="0.31496062992125984" footer="0.31496062992125984"/>
  <pageSetup paperSize="9" scale="88" orientation="portrait" blackAndWhite="1" horizontalDpi="300" verticalDpi="300" r:id="rId1"/>
  <rowBreaks count="1" manualBreakCount="1">
    <brk id="2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C31"/>
  <sheetViews>
    <sheetView view="pageBreakPreview" zoomScale="60" zoomScaleNormal="100" workbookViewId="0">
      <selection activeCell="E14" sqref="E14"/>
    </sheetView>
  </sheetViews>
  <sheetFormatPr defaultRowHeight="15"/>
  <cols>
    <col min="1" max="1" width="6.28515625" customWidth="1"/>
    <col min="2" max="2" width="50" customWidth="1"/>
    <col min="3" max="3" width="28.5703125" customWidth="1"/>
    <col min="4" max="4" width="12.42578125" customWidth="1"/>
  </cols>
  <sheetData>
    <row r="1" spans="1:3" ht="12" customHeight="1">
      <c r="C1" s="80" t="s">
        <v>34</v>
      </c>
    </row>
    <row r="2" spans="1:3" ht="12" customHeight="1">
      <c r="C2" s="80" t="s">
        <v>35</v>
      </c>
    </row>
    <row r="3" spans="1:3" ht="12" customHeight="1">
      <c r="C3" s="80" t="s">
        <v>36</v>
      </c>
    </row>
    <row r="4" spans="1:3" ht="12" customHeight="1">
      <c r="C4" s="80" t="s">
        <v>37</v>
      </c>
    </row>
    <row r="5" spans="1:3" ht="12" customHeight="1">
      <c r="C5" s="80" t="s">
        <v>38</v>
      </c>
    </row>
    <row r="6" spans="1:3" ht="29.25" customHeight="1">
      <c r="A6" s="404" t="s">
        <v>105</v>
      </c>
      <c r="B6" s="404"/>
      <c r="C6" s="404"/>
    </row>
    <row r="7" spans="1:3" ht="34.5" customHeight="1">
      <c r="A7" s="490" t="s">
        <v>111</v>
      </c>
      <c r="B7" s="490"/>
      <c r="C7" s="490"/>
    </row>
    <row r="8" spans="1:3" ht="8.25" customHeight="1"/>
    <row r="9" spans="1:3" ht="8.25" customHeight="1"/>
    <row r="10" spans="1:3">
      <c r="A10" s="406" t="s">
        <v>33</v>
      </c>
      <c r="B10" s="408" t="s">
        <v>1</v>
      </c>
      <c r="C10" s="408" t="s">
        <v>2</v>
      </c>
    </row>
    <row r="11" spans="1:3" ht="25.15" customHeight="1">
      <c r="A11" s="407"/>
      <c r="B11" s="408"/>
      <c r="C11" s="408"/>
    </row>
    <row r="12" spans="1:3" ht="22.5" customHeight="1">
      <c r="A12" s="1">
        <v>1</v>
      </c>
      <c r="B12" s="2" t="s">
        <v>3</v>
      </c>
      <c r="C12" s="3">
        <f>C13+C18</f>
        <v>2643.83</v>
      </c>
    </row>
    <row r="13" spans="1:3">
      <c r="A13" s="1" t="s">
        <v>13</v>
      </c>
      <c r="B13" s="2" t="s">
        <v>4</v>
      </c>
      <c r="C13" s="3">
        <f>C14+C15+C16</f>
        <v>2146.9499999999998</v>
      </c>
    </row>
    <row r="14" spans="1:3" ht="46.5" customHeight="1">
      <c r="A14" s="26" t="s">
        <v>14</v>
      </c>
      <c r="B14" s="2" t="s">
        <v>334</v>
      </c>
      <c r="C14" s="3">
        <f>Роз3!E21+МатВит!G33</f>
        <v>1577.32</v>
      </c>
    </row>
    <row r="15" spans="1:3">
      <c r="A15" s="1" t="s">
        <v>22</v>
      </c>
      <c r="B15" s="23" t="s">
        <v>27</v>
      </c>
      <c r="C15" s="3">
        <f>Роз3!E36</f>
        <v>466.90999999999997</v>
      </c>
    </row>
    <row r="16" spans="1:3">
      <c r="A16" s="410" t="s">
        <v>23</v>
      </c>
      <c r="B16" s="23" t="s">
        <v>5</v>
      </c>
      <c r="C16" s="547">
        <f>ROUND(C15*22%,2)</f>
        <v>102.72</v>
      </c>
    </row>
    <row r="17" spans="1:3" ht="30">
      <c r="A17" s="411"/>
      <c r="B17" s="24" t="s">
        <v>6</v>
      </c>
      <c r="C17" s="547"/>
    </row>
    <row r="18" spans="1:3">
      <c r="A18" s="1" t="s">
        <v>24</v>
      </c>
      <c r="B18" s="2" t="s">
        <v>7</v>
      </c>
      <c r="C18" s="3">
        <f>C21+C20+C19</f>
        <v>496.88</v>
      </c>
    </row>
    <row r="19" spans="1:3" ht="30">
      <c r="A19" s="1" t="s">
        <v>85</v>
      </c>
      <c r="B19" s="2" t="s">
        <v>84</v>
      </c>
      <c r="C19" s="3">
        <f>ROUND(C13*15%,2)</f>
        <v>322.04000000000002</v>
      </c>
    </row>
    <row r="20" spans="1:3">
      <c r="A20" s="1" t="s">
        <v>87</v>
      </c>
      <c r="B20" s="2" t="s">
        <v>86</v>
      </c>
      <c r="C20" s="3">
        <f>ROUND(C13*5%,2)</f>
        <v>107.35</v>
      </c>
    </row>
    <row r="21" spans="1:3">
      <c r="A21" s="1" t="s">
        <v>88</v>
      </c>
      <c r="B21" s="2" t="s">
        <v>28</v>
      </c>
      <c r="C21" s="3">
        <f>ОпВитратиРоз3!D12</f>
        <v>67.489999999999995</v>
      </c>
    </row>
    <row r="22" spans="1:3">
      <c r="A22" s="1">
        <v>2</v>
      </c>
      <c r="B22" s="2" t="s">
        <v>29</v>
      </c>
      <c r="C22" s="3"/>
    </row>
    <row r="23" spans="1:3">
      <c r="A23" s="1" t="s">
        <v>89</v>
      </c>
      <c r="B23" s="2" t="s">
        <v>30</v>
      </c>
      <c r="C23" s="3">
        <f>C13+C18</f>
        <v>2643.83</v>
      </c>
    </row>
    <row r="24" spans="1:3" ht="30">
      <c r="A24" s="1" t="s">
        <v>90</v>
      </c>
      <c r="B24" s="2" t="s">
        <v>9</v>
      </c>
      <c r="C24" s="3">
        <f>ROUND(C23*12%,2)</f>
        <v>317.26</v>
      </c>
    </row>
    <row r="25" spans="1:3">
      <c r="A25" s="1" t="s">
        <v>91</v>
      </c>
      <c r="B25" s="2" t="s">
        <v>31</v>
      </c>
      <c r="C25" s="3">
        <f>C23+C24</f>
        <v>2961.09</v>
      </c>
    </row>
    <row r="26" spans="1:3">
      <c r="A26" s="1" t="s">
        <v>92</v>
      </c>
      <c r="B26" s="2" t="s">
        <v>11</v>
      </c>
      <c r="C26" s="5">
        <v>1</v>
      </c>
    </row>
    <row r="27" spans="1:3">
      <c r="A27" s="1" t="s">
        <v>93</v>
      </c>
      <c r="B27" s="2" t="s">
        <v>32</v>
      </c>
      <c r="C27" s="4">
        <f>C25*C26</f>
        <v>2961.09</v>
      </c>
    </row>
    <row r="29" spans="1:3" s="70" customFormat="1" ht="15.75">
      <c r="A29" s="179" t="s">
        <v>563</v>
      </c>
      <c r="C29" s="187"/>
    </row>
    <row r="31" spans="1:3" ht="23.25" customHeight="1">
      <c r="A31" s="546" t="s">
        <v>55</v>
      </c>
      <c r="B31" s="546"/>
      <c r="C31" s="6" t="s">
        <v>528</v>
      </c>
    </row>
  </sheetData>
  <mergeCells count="8">
    <mergeCell ref="A31:B31"/>
    <mergeCell ref="A6:C6"/>
    <mergeCell ref="A7:C7"/>
    <mergeCell ref="A10:A11"/>
    <mergeCell ref="B10:B11"/>
    <mergeCell ref="C10:C11"/>
    <mergeCell ref="A16:A17"/>
    <mergeCell ref="C16:C17"/>
  </mergeCells>
  <phoneticPr fontId="5" type="noConversion"/>
  <pageMargins left="1.299212598425197" right="0.31496062992125984" top="0.74803149606299213" bottom="0.74803149606299213" header="0.31496062992125984" footer="0.31496062992125984"/>
  <pageSetup paperSize="9" scale="9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K52"/>
  <sheetViews>
    <sheetView view="pageBreakPreview" topLeftCell="A39" zoomScale="79" zoomScaleNormal="100" zoomScaleSheetLayoutView="79" workbookViewId="0">
      <selection activeCell="E33" sqref="E33"/>
    </sheetView>
  </sheetViews>
  <sheetFormatPr defaultColWidth="9.140625" defaultRowHeight="15.75"/>
  <cols>
    <col min="1" max="1" width="28.5703125" customWidth="1"/>
    <col min="2" max="2" width="24" style="292" customWidth="1"/>
    <col min="3" max="3" width="25.140625" style="292" customWidth="1"/>
    <col min="4" max="4" width="10.7109375" customWidth="1"/>
    <col min="5" max="5" width="13.42578125" customWidth="1"/>
    <col min="6" max="6" width="12.28515625" customWidth="1"/>
  </cols>
  <sheetData>
    <row r="1" spans="1:5" ht="27" customHeight="1">
      <c r="A1" s="467" t="s">
        <v>299</v>
      </c>
      <c r="B1" s="467"/>
      <c r="C1" s="130" t="str">
        <f>к3екскЛ!A6</f>
        <v>КАЛЬКУЛЯЦІЯ № 3</v>
      </c>
      <c r="D1" s="137"/>
      <c r="E1" s="137"/>
    </row>
    <row r="2" spans="1:5" ht="39.75" customHeight="1">
      <c r="A2" s="473" t="str">
        <f>к3екскЛ!A7</f>
        <v>Копання могили механізованим способом із застосуванням ексковатора та поховання померлого в літній період</v>
      </c>
      <c r="B2" s="473"/>
      <c r="C2" s="473"/>
      <c r="D2" s="473"/>
      <c r="E2" s="473"/>
    </row>
    <row r="3" spans="1:5" ht="56.25" customHeight="1">
      <c r="A3" s="454" t="s">
        <v>321</v>
      </c>
      <c r="B3" s="454"/>
      <c r="C3" s="454"/>
      <c r="D3" s="454"/>
      <c r="E3" s="454"/>
    </row>
    <row r="4" spans="1:5" ht="65.25" customHeight="1">
      <c r="A4" s="536" t="s">
        <v>322</v>
      </c>
      <c r="B4" s="536"/>
      <c r="C4" s="536"/>
      <c r="D4" s="536"/>
      <c r="E4" s="536"/>
    </row>
    <row r="5" spans="1:5" ht="105.75" customHeight="1">
      <c r="A5" s="447" t="s">
        <v>323</v>
      </c>
      <c r="B5" s="447"/>
      <c r="C5" s="447"/>
      <c r="D5" s="447"/>
      <c r="E5" s="447"/>
    </row>
    <row r="6" spans="1:5" ht="93.75" customHeight="1">
      <c r="A6" s="447" t="s">
        <v>572</v>
      </c>
      <c r="B6" s="447"/>
      <c r="C6" s="447"/>
      <c r="D6" s="447"/>
      <c r="E6" s="447"/>
    </row>
    <row r="7" spans="1:5" ht="7.5" customHeight="1" thickBot="1">
      <c r="A7" s="436"/>
      <c r="B7" s="436"/>
      <c r="C7" s="436"/>
      <c r="D7" s="436"/>
    </row>
    <row r="8" spans="1:5" ht="24" customHeight="1" thickBot="1">
      <c r="A8" s="250" t="s">
        <v>1</v>
      </c>
      <c r="B8" s="183" t="s">
        <v>208</v>
      </c>
      <c r="C8" s="251" t="s">
        <v>266</v>
      </c>
      <c r="D8" s="252" t="s">
        <v>193</v>
      </c>
      <c r="E8" s="138" t="s">
        <v>489</v>
      </c>
    </row>
    <row r="9" spans="1:5" ht="18" customHeight="1">
      <c r="A9" s="418" t="s">
        <v>268</v>
      </c>
      <c r="B9" s="253" t="s">
        <v>286</v>
      </c>
      <c r="C9" s="449" t="s">
        <v>284</v>
      </c>
      <c r="D9" s="449" t="s">
        <v>283</v>
      </c>
      <c r="E9" s="451">
        <f>2.2*1.9*1</f>
        <v>4.18</v>
      </c>
    </row>
    <row r="10" spans="1:5" ht="31.5" customHeight="1" thickBot="1">
      <c r="A10" s="448"/>
      <c r="B10" s="272" t="s">
        <v>313</v>
      </c>
      <c r="C10" s="450"/>
      <c r="D10" s="450"/>
      <c r="E10" s="452"/>
    </row>
    <row r="11" spans="1:5" ht="23.25" customHeight="1" thickBot="1">
      <c r="A11" s="466" t="s">
        <v>480</v>
      </c>
      <c r="B11" s="441"/>
      <c r="C11" s="442"/>
      <c r="D11" s="254"/>
      <c r="E11" s="255"/>
    </row>
    <row r="12" spans="1:5" ht="47.25" customHeight="1" thickBot="1">
      <c r="A12" s="256" t="s">
        <v>314</v>
      </c>
      <c r="B12" s="438" t="s">
        <v>490</v>
      </c>
      <c r="C12" s="257" t="s">
        <v>327</v>
      </c>
      <c r="D12" s="257" t="s">
        <v>316</v>
      </c>
      <c r="E12" s="258">
        <f>ROUND(0.14*E9,2)</f>
        <v>0.59</v>
      </c>
    </row>
    <row r="13" spans="1:5" ht="47.25" customHeight="1" thickBot="1">
      <c r="A13" s="259" t="s">
        <v>315</v>
      </c>
      <c r="B13" s="439"/>
      <c r="C13" s="260" t="s">
        <v>317</v>
      </c>
      <c r="D13" s="257" t="s">
        <v>316</v>
      </c>
      <c r="E13" s="364">
        <v>1</v>
      </c>
    </row>
    <row r="14" spans="1:5" ht="23.25" customHeight="1" thickBot="1">
      <c r="A14" s="466" t="s">
        <v>324</v>
      </c>
      <c r="B14" s="441"/>
      <c r="C14" s="442"/>
      <c r="D14" s="262" t="s">
        <v>56</v>
      </c>
      <c r="E14" s="255">
        <f>E15+E16</f>
        <v>233.01000000000002</v>
      </c>
    </row>
    <row r="15" spans="1:5" ht="33" customHeight="1" thickBot="1">
      <c r="A15" s="256" t="s">
        <v>314</v>
      </c>
      <c r="B15" s="438" t="s">
        <v>319</v>
      </c>
      <c r="C15" s="257" t="s">
        <v>358</v>
      </c>
      <c r="D15" s="262" t="s">
        <v>56</v>
      </c>
      <c r="E15" s="263">
        <f>ROUND(E12*E17*5,2)</f>
        <v>174.02</v>
      </c>
    </row>
    <row r="16" spans="1:5" ht="35.25" customHeight="1" thickBot="1">
      <c r="A16" s="264" t="s">
        <v>362</v>
      </c>
      <c r="B16" s="439"/>
      <c r="C16" s="260" t="s">
        <v>365</v>
      </c>
      <c r="D16" s="262" t="s">
        <v>56</v>
      </c>
      <c r="E16" s="263">
        <f>ROUND(E13*E17*10/10,2)</f>
        <v>58.99</v>
      </c>
    </row>
    <row r="17" spans="1:5" ht="23.25" customHeight="1" thickBot="1">
      <c r="A17" s="265" t="s">
        <v>318</v>
      </c>
      <c r="B17" s="443" t="s">
        <v>320</v>
      </c>
      <c r="C17" s="444"/>
      <c r="D17" s="262" t="s">
        <v>56</v>
      </c>
      <c r="E17" s="141">
        <v>58.99</v>
      </c>
    </row>
    <row r="18" spans="1:5" ht="23.25" customHeight="1" thickBot="1">
      <c r="A18" s="465" t="s">
        <v>556</v>
      </c>
      <c r="B18" s="434"/>
      <c r="C18" s="437"/>
      <c r="D18" s="262" t="s">
        <v>56</v>
      </c>
      <c r="E18" s="377">
        <f>E19+E20</f>
        <v>1268.57</v>
      </c>
    </row>
    <row r="19" spans="1:5" ht="36.75" customHeight="1" thickBot="1">
      <c r="A19" s="266" t="s">
        <v>325</v>
      </c>
      <c r="B19" s="445" t="s">
        <v>326</v>
      </c>
      <c r="C19" s="257" t="s">
        <v>549</v>
      </c>
      <c r="D19" s="262" t="s">
        <v>56</v>
      </c>
      <c r="E19" s="378">
        <f>ROUND(1838.51*E12,2)</f>
        <v>1084.72</v>
      </c>
    </row>
    <row r="20" spans="1:5" ht="32.25" customHeight="1" thickBot="1">
      <c r="A20" s="264" t="s">
        <v>362</v>
      </c>
      <c r="B20" s="446"/>
      <c r="C20" s="267" t="s">
        <v>550</v>
      </c>
      <c r="D20" s="262" t="s">
        <v>56</v>
      </c>
      <c r="E20" s="379">
        <f>ROUND(1838.51*E13/10,2)</f>
        <v>183.85</v>
      </c>
    </row>
    <row r="21" spans="1:5" ht="34.5" customHeight="1" thickBot="1">
      <c r="A21" s="433" t="s">
        <v>483</v>
      </c>
      <c r="B21" s="434"/>
      <c r="C21" s="435"/>
      <c r="D21" s="268" t="s">
        <v>56</v>
      </c>
      <c r="E21" s="380">
        <f>E14+E18</f>
        <v>1501.58</v>
      </c>
    </row>
    <row r="22" spans="1:5" ht="18.75" customHeight="1">
      <c r="A22" s="418" t="s">
        <v>292</v>
      </c>
      <c r="B22" s="253" t="s">
        <v>293</v>
      </c>
      <c r="C22" s="420" t="s">
        <v>359</v>
      </c>
      <c r="D22" s="432" t="s">
        <v>56</v>
      </c>
      <c r="E22" s="424">
        <f>ROUND(E34*2.2*0.1,2)</f>
        <v>17.13</v>
      </c>
    </row>
    <row r="23" spans="1:5" ht="33" customHeight="1" thickBot="1">
      <c r="A23" s="419"/>
      <c r="B23" s="290" t="s">
        <v>271</v>
      </c>
      <c r="C23" s="421"/>
      <c r="D23" s="429"/>
      <c r="E23" s="425"/>
    </row>
    <row r="24" spans="1:5" ht="18.75" customHeight="1">
      <c r="A24" s="418" t="s">
        <v>270</v>
      </c>
      <c r="B24" s="253" t="s">
        <v>295</v>
      </c>
      <c r="C24" s="420" t="s">
        <v>360</v>
      </c>
      <c r="D24" s="432" t="s">
        <v>56</v>
      </c>
      <c r="E24" s="424">
        <f>ROUND(E34*2.2*0.13,2)</f>
        <v>22.27</v>
      </c>
    </row>
    <row r="25" spans="1:5" ht="33" customHeight="1" thickBot="1">
      <c r="A25" s="419"/>
      <c r="B25" s="290" t="s">
        <v>271</v>
      </c>
      <c r="C25" s="421"/>
      <c r="D25" s="429"/>
      <c r="E25" s="425"/>
    </row>
    <row r="26" spans="1:5" ht="18.75" customHeight="1">
      <c r="A26" s="413" t="s">
        <v>328</v>
      </c>
      <c r="B26" s="428" t="s">
        <v>329</v>
      </c>
      <c r="C26" s="430" t="s">
        <v>330</v>
      </c>
      <c r="D26" s="428" t="s">
        <v>285</v>
      </c>
      <c r="E26" s="431">
        <f>ROUND(0.125*((2.2*1)+(2.2+1 )*2*1.9),2)</f>
        <v>1.8</v>
      </c>
    </row>
    <row r="27" spans="1:5" ht="44.25" customHeight="1" thickBot="1">
      <c r="A27" s="413"/>
      <c r="B27" s="429"/>
      <c r="C27" s="430"/>
      <c r="D27" s="429"/>
      <c r="E27" s="431"/>
    </row>
    <row r="28" spans="1:5" ht="34.5" hidden="1" customHeight="1">
      <c r="A28" s="418"/>
      <c r="B28" s="183"/>
      <c r="C28" s="463"/>
      <c r="D28" s="426"/>
      <c r="E28" s="424"/>
    </row>
    <row r="29" spans="1:5" ht="34.5" hidden="1" customHeight="1" thickBot="1">
      <c r="A29" s="419"/>
      <c r="B29" s="289"/>
      <c r="C29" s="464"/>
      <c r="D29" s="427"/>
      <c r="E29" s="425"/>
    </row>
    <row r="30" spans="1:5" ht="18.75" customHeight="1">
      <c r="A30" s="418" t="s">
        <v>272</v>
      </c>
      <c r="B30" s="253" t="s">
        <v>296</v>
      </c>
      <c r="C30" s="420" t="s">
        <v>374</v>
      </c>
      <c r="D30" s="422" t="s">
        <v>285</v>
      </c>
      <c r="E30" s="424">
        <f>ROUND(0.58*E9,2)</f>
        <v>2.42</v>
      </c>
    </row>
    <row r="31" spans="1:5" ht="37.5" customHeight="1" thickBot="1">
      <c r="A31" s="419"/>
      <c r="B31" s="290" t="s">
        <v>273</v>
      </c>
      <c r="C31" s="421"/>
      <c r="D31" s="423"/>
      <c r="E31" s="425"/>
    </row>
    <row r="32" spans="1:5" ht="28.5" customHeight="1" thickBot="1">
      <c r="A32" s="418" t="s">
        <v>301</v>
      </c>
      <c r="B32" s="253" t="s">
        <v>274</v>
      </c>
      <c r="C32" s="172" t="s">
        <v>397</v>
      </c>
      <c r="D32" s="422" t="s">
        <v>285</v>
      </c>
      <c r="E32" s="141">
        <f>E30+E26</f>
        <v>4.22</v>
      </c>
    </row>
    <row r="33" spans="1:11" ht="35.25" customHeight="1" thickBot="1">
      <c r="A33" s="419"/>
      <c r="B33" s="290" t="s">
        <v>275</v>
      </c>
      <c r="C33" s="174" t="s">
        <v>429</v>
      </c>
      <c r="D33" s="423"/>
      <c r="E33" s="182">
        <f>ROUND(E32*1.3,2)</f>
        <v>5.49</v>
      </c>
    </row>
    <row r="34" spans="1:11" ht="51" customHeight="1" thickBot="1">
      <c r="A34" s="270" t="s">
        <v>264</v>
      </c>
      <c r="B34" s="291" t="s">
        <v>289</v>
      </c>
      <c r="C34" s="271"/>
      <c r="D34" s="272" t="s">
        <v>56</v>
      </c>
      <c r="E34" s="142">
        <f>СПР_ШТ!D14</f>
        <v>77.87</v>
      </c>
    </row>
    <row r="35" spans="1:11" ht="113.25" customHeight="1" thickBot="1">
      <c r="A35" s="273" t="s">
        <v>333</v>
      </c>
      <c r="B35" s="257" t="s">
        <v>303</v>
      </c>
      <c r="C35" s="274" t="s">
        <v>430</v>
      </c>
      <c r="D35" s="257" t="s">
        <v>56</v>
      </c>
      <c r="E35" s="141">
        <f>ROUND(E34*E33,2)</f>
        <v>427.51</v>
      </c>
    </row>
    <row r="36" spans="1:11" ht="47.25" customHeight="1" thickBot="1">
      <c r="A36" s="275" t="s">
        <v>276</v>
      </c>
      <c r="B36" s="276"/>
      <c r="C36" s="277" t="s">
        <v>431</v>
      </c>
      <c r="D36" s="183" t="s">
        <v>56</v>
      </c>
      <c r="E36" s="143">
        <f>E35+E24+E22</f>
        <v>466.90999999999997</v>
      </c>
    </row>
    <row r="37" spans="1:11" ht="34.5" customHeight="1" thickBot="1">
      <c r="A37" s="270" t="s">
        <v>277</v>
      </c>
      <c r="B37" s="278">
        <v>0.22</v>
      </c>
      <c r="C37" s="277" t="s">
        <v>432</v>
      </c>
      <c r="D37" s="183" t="s">
        <v>56</v>
      </c>
      <c r="E37" s="185">
        <f>ROUND(E36*0.22,2)</f>
        <v>102.72</v>
      </c>
    </row>
    <row r="38" spans="1:11" ht="33" customHeight="1" thickBot="1">
      <c r="A38" s="279" t="s">
        <v>227</v>
      </c>
      <c r="B38" s="280" t="s">
        <v>290</v>
      </c>
      <c r="C38" s="281"/>
      <c r="D38" s="183" t="s">
        <v>56</v>
      </c>
      <c r="E38" s="185">
        <f>МатВит!G33</f>
        <v>75.739999999999995</v>
      </c>
    </row>
    <row r="39" spans="1:11" ht="32.25" customHeight="1" thickBot="1">
      <c r="A39" s="282" t="s">
        <v>278</v>
      </c>
      <c r="B39" s="280"/>
      <c r="C39" s="277" t="s">
        <v>557</v>
      </c>
      <c r="D39" s="257" t="s">
        <v>56</v>
      </c>
      <c r="E39" s="381">
        <f>E37+E36+E38+E21</f>
        <v>2146.9499999999998</v>
      </c>
    </row>
    <row r="40" spans="1:11" ht="18.75" customHeight="1" thickBot="1">
      <c r="A40" s="282" t="s">
        <v>279</v>
      </c>
      <c r="B40" s="278">
        <v>0.15</v>
      </c>
      <c r="C40" s="277" t="s">
        <v>558</v>
      </c>
      <c r="D40" s="184" t="s">
        <v>56</v>
      </c>
      <c r="E40" s="381">
        <f>ROUND(E39*0.15,2)</f>
        <v>322.04000000000002</v>
      </c>
    </row>
    <row r="41" spans="1:11" ht="18.75" customHeight="1" thickBot="1">
      <c r="A41" s="282" t="s">
        <v>298</v>
      </c>
      <c r="B41" s="278">
        <v>0.05</v>
      </c>
      <c r="C41" s="277" t="s">
        <v>559</v>
      </c>
      <c r="D41" s="184" t="s">
        <v>56</v>
      </c>
      <c r="E41" s="381">
        <f>ROUND(E39*0.05,2)</f>
        <v>107.35</v>
      </c>
    </row>
    <row r="42" spans="1:11" ht="18.75" customHeight="1" thickBot="1">
      <c r="A42" s="282" t="s">
        <v>280</v>
      </c>
      <c r="B42" s="280" t="s">
        <v>297</v>
      </c>
      <c r="C42" s="281"/>
      <c r="D42" s="184" t="s">
        <v>56</v>
      </c>
      <c r="E42" s="185">
        <f>ОпВитратиРоз3!D12</f>
        <v>67.489999999999995</v>
      </c>
    </row>
    <row r="43" spans="1:11" ht="33" customHeight="1" thickBot="1">
      <c r="A43" s="414" t="s">
        <v>281</v>
      </c>
      <c r="B43" s="416">
        <v>0.12</v>
      </c>
      <c r="C43" s="174" t="s">
        <v>560</v>
      </c>
      <c r="D43" s="184" t="s">
        <v>56</v>
      </c>
      <c r="E43" s="382">
        <f>E39+E40+E42+E41</f>
        <v>2643.8299999999995</v>
      </c>
    </row>
    <row r="44" spans="1:11" ht="24" customHeight="1" thickBot="1">
      <c r="A44" s="415"/>
      <c r="B44" s="417"/>
      <c r="C44" s="277" t="s">
        <v>561</v>
      </c>
      <c r="D44" s="184" t="s">
        <v>56</v>
      </c>
      <c r="E44" s="381">
        <f>ROUND(E43*0.12,2)</f>
        <v>317.26</v>
      </c>
    </row>
    <row r="45" spans="1:11" ht="24.75" customHeight="1" thickBot="1">
      <c r="A45" s="283" t="s">
        <v>282</v>
      </c>
      <c r="B45" s="284"/>
      <c r="C45" s="277" t="s">
        <v>562</v>
      </c>
      <c r="D45" s="184" t="s">
        <v>56</v>
      </c>
      <c r="E45" s="144">
        <f>E44+E43</f>
        <v>2961.0899999999992</v>
      </c>
    </row>
    <row r="46" spans="1:11">
      <c r="A46" s="130"/>
    </row>
    <row r="47" spans="1:11">
      <c r="A47" s="285"/>
    </row>
    <row r="48" spans="1:11" s="44" customFormat="1">
      <c r="A48" s="45" t="s">
        <v>168</v>
      </c>
      <c r="B48" s="48"/>
      <c r="C48" s="45"/>
      <c r="D48" s="45" t="s">
        <v>169</v>
      </c>
      <c r="F48" s="60"/>
      <c r="G48" s="176"/>
      <c r="H48" s="176"/>
      <c r="I48" s="176"/>
      <c r="J48" s="177"/>
      <c r="K48" s="178"/>
    </row>
    <row r="49" spans="1:1">
      <c r="A49" s="130"/>
    </row>
    <row r="50" spans="1:1">
      <c r="A50" s="285"/>
    </row>
    <row r="51" spans="1:1">
      <c r="A51" s="130"/>
    </row>
    <row r="52" spans="1:1">
      <c r="A52" s="286"/>
    </row>
  </sheetData>
  <mergeCells count="44">
    <mergeCell ref="A1:B1"/>
    <mergeCell ref="A2:E2"/>
    <mergeCell ref="A3:E3"/>
    <mergeCell ref="A4:E4"/>
    <mergeCell ref="A5:E5"/>
    <mergeCell ref="A6:E6"/>
    <mergeCell ref="A9:A10"/>
    <mergeCell ref="C9:C10"/>
    <mergeCell ref="D9:D10"/>
    <mergeCell ref="E9:E10"/>
    <mergeCell ref="A21:C21"/>
    <mergeCell ref="A7:D7"/>
    <mergeCell ref="A18:C18"/>
    <mergeCell ref="A24:A25"/>
    <mergeCell ref="C24:C25"/>
    <mergeCell ref="D24:D25"/>
    <mergeCell ref="A22:A23"/>
    <mergeCell ref="C22:C23"/>
    <mergeCell ref="B12:B13"/>
    <mergeCell ref="A14:C14"/>
    <mergeCell ref="B15:B16"/>
    <mergeCell ref="B17:C17"/>
    <mergeCell ref="B19:B20"/>
    <mergeCell ref="A11:C11"/>
    <mergeCell ref="E24:E25"/>
    <mergeCell ref="E22:E23"/>
    <mergeCell ref="E28:E29"/>
    <mergeCell ref="B26:B27"/>
    <mergeCell ref="C26:C27"/>
    <mergeCell ref="E26:E27"/>
    <mergeCell ref="D22:D23"/>
    <mergeCell ref="D26:D27"/>
    <mergeCell ref="D30:D31"/>
    <mergeCell ref="E30:E31"/>
    <mergeCell ref="D32:D33"/>
    <mergeCell ref="A28:A29"/>
    <mergeCell ref="C28:C29"/>
    <mergeCell ref="D28:D29"/>
    <mergeCell ref="A26:A27"/>
    <mergeCell ref="A43:A44"/>
    <mergeCell ref="B43:B44"/>
    <mergeCell ref="A30:A31"/>
    <mergeCell ref="C30:C31"/>
    <mergeCell ref="A32:A33"/>
  </mergeCells>
  <phoneticPr fontId="5" type="noConversion"/>
  <pageMargins left="0.9055118110236221" right="0.31496062992125984" top="0.55118110236220474" bottom="0.35433070866141736" header="0.31496062992125984" footer="0.31496062992125984"/>
  <pageSetup paperSize="9" scale="88" orientation="portrait" blackAndWhite="1" horizontalDpi="300" verticalDpi="300" r:id="rId1"/>
  <rowBreaks count="1" manualBreakCount="1">
    <brk id="21"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Лист16">
    <tabColor indexed="35"/>
  </sheetPr>
  <dimension ref="A1:C29"/>
  <sheetViews>
    <sheetView view="pageBreakPreview" topLeftCell="A13" zoomScaleNormal="100" zoomScaleSheetLayoutView="100" workbookViewId="0">
      <selection activeCell="E31" sqref="E31"/>
    </sheetView>
  </sheetViews>
  <sheetFormatPr defaultRowHeight="15"/>
  <cols>
    <col min="1" max="1" width="6.28515625" customWidth="1"/>
    <col min="2" max="2" width="48.28515625" customWidth="1"/>
    <col min="3" max="3" width="21.7109375" customWidth="1"/>
  </cols>
  <sheetData>
    <row r="1" spans="1:3" ht="12" customHeight="1">
      <c r="C1" s="80" t="s">
        <v>198</v>
      </c>
    </row>
    <row r="2" spans="1:3" ht="79.5" customHeight="1">
      <c r="C2" s="81" t="s">
        <v>197</v>
      </c>
    </row>
    <row r="3" spans="1:3" ht="9" customHeight="1">
      <c r="C3" s="7"/>
    </row>
    <row r="4" spans="1:3" ht="26.25" customHeight="1">
      <c r="A4" s="549" t="s">
        <v>66</v>
      </c>
      <c r="B4" s="549"/>
      <c r="C4" s="549"/>
    </row>
    <row r="5" spans="1:3" ht="26.25" customHeight="1">
      <c r="A5" s="404" t="s">
        <v>357</v>
      </c>
      <c r="B5" s="549"/>
      <c r="C5" s="549"/>
    </row>
    <row r="6" spans="1:3" ht="9.75" customHeight="1"/>
    <row r="7" spans="1:3" ht="9.75" customHeight="1"/>
    <row r="8" spans="1:3" ht="14.45" customHeight="1">
      <c r="A8" s="406" t="s">
        <v>33</v>
      </c>
      <c r="B8" s="408" t="s">
        <v>1</v>
      </c>
      <c r="C8" s="550" t="s">
        <v>2</v>
      </c>
    </row>
    <row r="9" spans="1:3" ht="14.45" customHeight="1">
      <c r="A9" s="407"/>
      <c r="B9" s="408"/>
      <c r="C9" s="550"/>
    </row>
    <row r="10" spans="1:3" ht="21.75" customHeight="1">
      <c r="A10" s="1">
        <v>1</v>
      </c>
      <c r="B10" s="2" t="s">
        <v>3</v>
      </c>
      <c r="C10" s="3">
        <f>C11+C16</f>
        <v>15.989999999999998</v>
      </c>
    </row>
    <row r="11" spans="1:3" ht="19.5" customHeight="1">
      <c r="A11" s="1" t="s">
        <v>13</v>
      </c>
      <c r="B11" s="2" t="s">
        <v>4</v>
      </c>
      <c r="C11" s="3">
        <f>C12+C13+C14</f>
        <v>9.2099999999999991</v>
      </c>
    </row>
    <row r="12" spans="1:3" ht="34.9" customHeight="1">
      <c r="A12" s="1" t="s">
        <v>14</v>
      </c>
      <c r="B12" s="22" t="s">
        <v>202</v>
      </c>
      <c r="C12" s="3">
        <f>ROUND(кал2дод1!F20,2)</f>
        <v>2.17</v>
      </c>
    </row>
    <row r="13" spans="1:3" ht="27.75" customHeight="1">
      <c r="A13" s="1" t="s">
        <v>22</v>
      </c>
      <c r="B13" s="2" t="s">
        <v>176</v>
      </c>
      <c r="C13" s="3">
        <f>ROUND(кал2дод1!H28*0.08,2)</f>
        <v>5.77</v>
      </c>
    </row>
    <row r="14" spans="1:3" ht="17.25" customHeight="1">
      <c r="A14" s="486" t="s">
        <v>23</v>
      </c>
      <c r="B14" s="2" t="s">
        <v>5</v>
      </c>
      <c r="C14" s="548">
        <f>ROUND(C13*22%,2)</f>
        <v>1.27</v>
      </c>
    </row>
    <row r="15" spans="1:3" ht="28.5" customHeight="1">
      <c r="A15" s="487"/>
      <c r="B15" s="2" t="s">
        <v>6</v>
      </c>
      <c r="C15" s="548"/>
    </row>
    <row r="16" spans="1:3" ht="19.5" customHeight="1">
      <c r="A16" s="1" t="s">
        <v>24</v>
      </c>
      <c r="B16" s="2" t="s">
        <v>7</v>
      </c>
      <c r="C16" s="3">
        <f>C17+C18</f>
        <v>6.78</v>
      </c>
    </row>
    <row r="17" spans="1:3" ht="32.450000000000003" customHeight="1">
      <c r="A17" s="1" t="s">
        <v>85</v>
      </c>
      <c r="B17" s="2" t="s">
        <v>84</v>
      </c>
      <c r="C17" s="3">
        <f>ROUND(C11*15%,2)</f>
        <v>1.38</v>
      </c>
    </row>
    <row r="18" spans="1:3" ht="24" customHeight="1">
      <c r="A18" s="1" t="s">
        <v>87</v>
      </c>
      <c r="B18" s="2" t="s">
        <v>28</v>
      </c>
      <c r="C18" s="3">
        <f>кал2дод1!G35</f>
        <v>5.4</v>
      </c>
    </row>
    <row r="19" spans="1:3" ht="21" customHeight="1">
      <c r="A19" s="1">
        <v>2</v>
      </c>
      <c r="B19" s="2" t="s">
        <v>8</v>
      </c>
      <c r="C19" s="3">
        <f>C11+C16</f>
        <v>15.989999999999998</v>
      </c>
    </row>
    <row r="20" spans="1:3" ht="34.15" customHeight="1">
      <c r="A20" s="1">
        <v>3</v>
      </c>
      <c r="B20" s="2" t="s">
        <v>9</v>
      </c>
      <c r="C20" s="3">
        <f>ROUND(C19*12%,2)</f>
        <v>1.92</v>
      </c>
    </row>
    <row r="21" spans="1:3" ht="21" customHeight="1">
      <c r="A21" s="1">
        <v>4</v>
      </c>
      <c r="B21" s="2" t="s">
        <v>10</v>
      </c>
      <c r="C21" s="3">
        <f>C19+C20</f>
        <v>17.909999999999997</v>
      </c>
    </row>
    <row r="22" spans="1:3" ht="19.149999999999999" customHeight="1">
      <c r="A22" s="1">
        <v>5</v>
      </c>
      <c r="B22" s="2" t="s">
        <v>11</v>
      </c>
      <c r="C22" s="5">
        <v>1</v>
      </c>
    </row>
    <row r="23" spans="1:3" ht="21" customHeight="1">
      <c r="A23" s="1">
        <v>6</v>
      </c>
      <c r="B23" s="2" t="s">
        <v>12</v>
      </c>
      <c r="C23" s="4">
        <f>C21*C22</f>
        <v>17.909999999999997</v>
      </c>
    </row>
    <row r="25" spans="1:3" s="70" customFormat="1" ht="15.75">
      <c r="A25" s="179" t="s">
        <v>606</v>
      </c>
      <c r="C25" s="187"/>
    </row>
    <row r="29" spans="1:3" ht="30">
      <c r="B29" s="68" t="s">
        <v>55</v>
      </c>
      <c r="C29" s="6" t="s">
        <v>528</v>
      </c>
    </row>
  </sheetData>
  <mergeCells count="7">
    <mergeCell ref="A14:A15"/>
    <mergeCell ref="C14:C15"/>
    <mergeCell ref="A8:A9"/>
    <mergeCell ref="A4:C4"/>
    <mergeCell ref="A5:C5"/>
    <mergeCell ref="B8:B9"/>
    <mergeCell ref="C8:C9"/>
  </mergeCells>
  <phoneticPr fontId="5" type="noConversion"/>
  <pageMargins left="1.299212598425197" right="0.23622047244094491" top="0.74803149606299213" bottom="0.74803149606299213" header="0.31496062992125984" footer="0.31496062992125984"/>
  <pageSetup paperSize="9" scale="110"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Лист17">
    <tabColor indexed="35"/>
  </sheetPr>
  <dimension ref="A1:K36"/>
  <sheetViews>
    <sheetView view="pageBreakPreview" topLeftCell="A23" zoomScaleNormal="100" workbookViewId="0">
      <selection activeCell="E14" sqref="E14"/>
    </sheetView>
  </sheetViews>
  <sheetFormatPr defaultRowHeight="15"/>
  <cols>
    <col min="1" max="1" width="5.7109375" customWidth="1"/>
    <col min="2" max="2" width="21.85546875" customWidth="1"/>
    <col min="3" max="3" width="7.85546875" customWidth="1"/>
    <col min="4" max="4" width="8.42578125" customWidth="1"/>
    <col min="5" max="5" width="7.42578125" customWidth="1"/>
    <col min="6" max="6" width="6.5703125" customWidth="1"/>
    <col min="7" max="7" width="4.7109375" customWidth="1"/>
    <col min="8" max="8" width="8.5703125" customWidth="1"/>
    <col min="9" max="9" width="4.85546875" customWidth="1"/>
  </cols>
  <sheetData>
    <row r="1" spans="1:9">
      <c r="A1" s="9"/>
      <c r="B1" s="6"/>
      <c r="C1" s="9"/>
      <c r="D1" s="9"/>
      <c r="E1" s="9"/>
      <c r="F1" s="9"/>
      <c r="H1" s="9"/>
      <c r="I1" s="249" t="s">
        <v>57</v>
      </c>
    </row>
    <row r="2" spans="1:9">
      <c r="A2" s="9"/>
      <c r="B2" s="6"/>
      <c r="C2" s="9"/>
      <c r="D2" s="9"/>
      <c r="E2" s="9"/>
      <c r="F2" s="9"/>
      <c r="H2" s="9"/>
      <c r="I2" s="249" t="s">
        <v>59</v>
      </c>
    </row>
    <row r="3" spans="1:9">
      <c r="A3" s="9"/>
      <c r="B3" s="6"/>
      <c r="C3" s="9"/>
      <c r="D3" s="9"/>
      <c r="E3" s="9"/>
      <c r="F3" s="9"/>
      <c r="G3" s="9"/>
      <c r="H3" s="9"/>
    </row>
    <row r="4" spans="1:9" ht="61.5" customHeight="1">
      <c r="A4" s="551" t="s">
        <v>42</v>
      </c>
      <c r="B4" s="551"/>
      <c r="C4" s="551"/>
      <c r="D4" s="551"/>
      <c r="E4" s="551"/>
      <c r="F4" s="551"/>
      <c r="G4" s="551"/>
      <c r="H4" s="551"/>
      <c r="I4" s="551"/>
    </row>
    <row r="5" spans="1:9" ht="28.5" customHeight="1">
      <c r="A5" s="247" t="s">
        <v>60</v>
      </c>
      <c r="B5" s="552" t="s">
        <v>487</v>
      </c>
      <c r="C5" s="553"/>
      <c r="D5" s="553"/>
      <c r="E5" s="553"/>
      <c r="F5" s="553"/>
      <c r="G5" s="553"/>
      <c r="H5" s="553"/>
    </row>
    <row r="6" spans="1:9">
      <c r="A6" s="10" t="s">
        <v>43</v>
      </c>
      <c r="B6" s="11"/>
      <c r="C6" s="11"/>
      <c r="D6" s="11"/>
      <c r="E6" s="11"/>
      <c r="F6" s="11"/>
      <c r="G6" s="11"/>
      <c r="H6" s="11"/>
    </row>
    <row r="7" spans="1:9" ht="15.75" customHeight="1">
      <c r="A7" s="15" t="s">
        <v>46</v>
      </c>
      <c r="B7" s="554" t="s">
        <v>44</v>
      </c>
      <c r="C7" s="554"/>
      <c r="D7" s="554"/>
      <c r="E7" s="554"/>
      <c r="F7" s="554"/>
      <c r="G7" s="554"/>
      <c r="H7" s="554"/>
    </row>
    <row r="8" spans="1:9" ht="15.75" customHeight="1">
      <c r="A8" s="15" t="s">
        <v>47</v>
      </c>
      <c r="B8" s="554" t="s">
        <v>61</v>
      </c>
      <c r="C8" s="554"/>
      <c r="D8" s="554"/>
      <c r="E8" s="554"/>
      <c r="F8" s="554"/>
      <c r="G8" s="554"/>
      <c r="H8" s="554"/>
    </row>
    <row r="9" spans="1:9" ht="15.75" customHeight="1">
      <c r="A9" s="15" t="s">
        <v>48</v>
      </c>
      <c r="B9" s="554" t="s">
        <v>62</v>
      </c>
      <c r="C9" s="554"/>
      <c r="D9" s="554"/>
      <c r="E9" s="554"/>
      <c r="F9" s="554"/>
      <c r="G9" s="554"/>
      <c r="H9" s="554"/>
    </row>
    <row r="10" spans="1:9" ht="15.75" customHeight="1">
      <c r="A10" s="15" t="s">
        <v>63</v>
      </c>
      <c r="B10" s="554" t="s">
        <v>64</v>
      </c>
      <c r="C10" s="554"/>
      <c r="D10" s="554"/>
      <c r="E10" s="554"/>
      <c r="F10" s="11"/>
      <c r="G10" s="11"/>
      <c r="H10" s="11"/>
    </row>
    <row r="11" spans="1:9" ht="22.5" customHeight="1">
      <c r="A11" s="557" t="s">
        <v>50</v>
      </c>
      <c r="B11" s="557"/>
      <c r="C11" s="11"/>
      <c r="D11" s="11"/>
      <c r="E11" s="11"/>
      <c r="F11" s="11"/>
      <c r="G11" s="11"/>
      <c r="H11" s="11"/>
    </row>
    <row r="12" spans="1:9" ht="17.45" customHeight="1">
      <c r="A12" s="63" t="s">
        <v>174</v>
      </c>
      <c r="B12" s="19"/>
      <c r="C12" s="19"/>
      <c r="D12" s="19"/>
      <c r="E12" s="11"/>
      <c r="F12" s="11"/>
      <c r="G12" s="11"/>
      <c r="H12" s="11"/>
    </row>
    <row r="13" spans="1:9">
      <c r="A13" s="556" t="s">
        <v>65</v>
      </c>
      <c r="B13" s="556"/>
      <c r="C13" s="556"/>
      <c r="D13" s="556"/>
      <c r="E13" s="556"/>
      <c r="F13" s="11"/>
      <c r="G13" s="11"/>
      <c r="H13" s="11"/>
    </row>
    <row r="14" spans="1:9" ht="12" customHeight="1">
      <c r="A14" s="16"/>
      <c r="B14" s="16"/>
      <c r="C14" s="16"/>
      <c r="D14" s="16"/>
      <c r="E14" s="16"/>
      <c r="F14" s="11"/>
      <c r="G14" s="11"/>
      <c r="H14" s="11"/>
    </row>
    <row r="15" spans="1:9">
      <c r="A15" s="6" t="s">
        <v>451</v>
      </c>
      <c r="B15" s="9"/>
      <c r="C15" s="9"/>
      <c r="D15" s="9"/>
      <c r="E15" s="9"/>
      <c r="F15" s="9"/>
      <c r="G15" s="9"/>
      <c r="H15" s="9"/>
    </row>
    <row r="16" spans="1:9">
      <c r="A16" s="12" t="s">
        <v>0</v>
      </c>
      <c r="B16" s="12" t="s">
        <v>15</v>
      </c>
      <c r="C16" s="12" t="s">
        <v>16</v>
      </c>
      <c r="D16" s="12" t="s">
        <v>17</v>
      </c>
      <c r="E16" s="12" t="s">
        <v>18</v>
      </c>
      <c r="F16" s="12" t="s">
        <v>19</v>
      </c>
      <c r="G16" s="9"/>
      <c r="H16" s="9"/>
    </row>
    <row r="17" spans="1:10">
      <c r="A17" s="12">
        <v>1</v>
      </c>
      <c r="B17" s="12" t="s">
        <v>20</v>
      </c>
      <c r="C17" s="12" t="s">
        <v>21</v>
      </c>
      <c r="D17" s="12">
        <v>1</v>
      </c>
      <c r="E17" s="13">
        <v>1</v>
      </c>
      <c r="F17" s="13">
        <f>D17*E17</f>
        <v>1</v>
      </c>
      <c r="G17" s="9"/>
      <c r="H17" s="9"/>
    </row>
    <row r="18" spans="1:10">
      <c r="A18" s="12">
        <v>2</v>
      </c>
      <c r="B18" s="17" t="s">
        <v>108</v>
      </c>
      <c r="C18" s="12" t="s">
        <v>21</v>
      </c>
      <c r="D18" s="12">
        <v>0.05</v>
      </c>
      <c r="E18" s="13">
        <v>15</v>
      </c>
      <c r="F18" s="13">
        <f>D18*E18</f>
        <v>0.75</v>
      </c>
      <c r="G18" s="9"/>
      <c r="H18" s="9"/>
    </row>
    <row r="19" spans="1:10">
      <c r="A19" s="12">
        <v>3</v>
      </c>
      <c r="B19" s="12" t="s">
        <v>54</v>
      </c>
      <c r="C19" s="12" t="s">
        <v>21</v>
      </c>
      <c r="D19" s="12">
        <v>1000</v>
      </c>
      <c r="E19" s="13">
        <v>420</v>
      </c>
      <c r="F19" s="13">
        <f>E19/D19</f>
        <v>0.42</v>
      </c>
      <c r="G19" s="9"/>
      <c r="H19" s="9"/>
    </row>
    <row r="20" spans="1:10">
      <c r="A20" s="12"/>
      <c r="B20" s="152" t="s">
        <v>146</v>
      </c>
      <c r="C20" s="12"/>
      <c r="D20" s="12"/>
      <c r="E20" s="12"/>
      <c r="F20" s="248">
        <f>SUM(F17:F19)</f>
        <v>2.17</v>
      </c>
      <c r="G20" s="9"/>
      <c r="H20" s="9"/>
    </row>
    <row r="21" spans="1:10" s="76" customFormat="1" ht="29.25" customHeight="1">
      <c r="A21" s="558" t="s">
        <v>200</v>
      </c>
      <c r="B21" s="558"/>
      <c r="C21" s="558"/>
      <c r="D21" s="74">
        <f>СПР_ШТ!C5</f>
        <v>1992</v>
      </c>
      <c r="E21" s="70" t="s">
        <v>140</v>
      </c>
      <c r="F21" s="70"/>
      <c r="G21" s="147"/>
      <c r="H21" s="147"/>
      <c r="I21" s="70"/>
      <c r="J21" s="70"/>
    </row>
    <row r="22" spans="1:10" s="76" customFormat="1">
      <c r="A22" s="70">
        <f>D21</f>
        <v>1992</v>
      </c>
      <c r="B22" s="74" t="s">
        <v>142</v>
      </c>
      <c r="C22" s="74">
        <f>D21/12</f>
        <v>166</v>
      </c>
      <c r="D22" s="70" t="s">
        <v>141</v>
      </c>
      <c r="E22" s="70"/>
      <c r="F22" s="70"/>
      <c r="G22" s="147"/>
      <c r="H22" s="147"/>
      <c r="I22" s="70"/>
      <c r="J22" s="70"/>
    </row>
    <row r="23" spans="1:10" s="76" customFormat="1">
      <c r="A23" s="70" t="s">
        <v>175</v>
      </c>
      <c r="B23" s="70"/>
      <c r="C23" s="70"/>
      <c r="D23" s="70"/>
      <c r="E23" s="70"/>
      <c r="F23" s="70"/>
      <c r="G23" s="70"/>
      <c r="H23" s="155">
        <f>СПР_ШТ!C8</f>
        <v>9326</v>
      </c>
      <c r="I23" s="70" t="s">
        <v>56</v>
      </c>
    </row>
    <row r="24" spans="1:10" s="76" customFormat="1">
      <c r="A24" s="78" t="s">
        <v>145</v>
      </c>
      <c r="B24" s="78"/>
      <c r="C24" s="559">
        <f>H23</f>
        <v>9326</v>
      </c>
      <c r="D24" s="559"/>
      <c r="E24" s="74" t="s">
        <v>143</v>
      </c>
      <c r="F24" s="78">
        <f>C22</f>
        <v>166</v>
      </c>
      <c r="G24" s="74" t="s">
        <v>144</v>
      </c>
      <c r="H24" s="155">
        <f>ROUND(H23/C22,2)</f>
        <v>56.18</v>
      </c>
      <c r="I24" s="70" t="s">
        <v>56</v>
      </c>
    </row>
    <row r="25" spans="1:10" s="76" customFormat="1">
      <c r="A25" s="78" t="s">
        <v>52</v>
      </c>
      <c r="B25" s="78"/>
      <c r="C25" s="78"/>
      <c r="D25" s="78"/>
      <c r="E25" s="78"/>
      <c r="F25" s="78"/>
      <c r="G25" s="78"/>
      <c r="H25" s="78"/>
      <c r="I25" s="74"/>
      <c r="J25" s="78"/>
    </row>
    <row r="26" spans="1:10" s="76" customFormat="1">
      <c r="A26" s="78" t="s">
        <v>130</v>
      </c>
      <c r="B26" s="78"/>
      <c r="C26" s="78"/>
      <c r="D26" s="78">
        <v>1865.2</v>
      </c>
      <c r="E26" s="74" t="s">
        <v>143</v>
      </c>
      <c r="F26" s="78">
        <v>166</v>
      </c>
      <c r="G26" s="74" t="s">
        <v>144</v>
      </c>
      <c r="H26" s="155">
        <f>ROUND(D26/F26,2)</f>
        <v>11.24</v>
      </c>
      <c r="I26" s="70" t="s">
        <v>56</v>
      </c>
      <c r="J26" s="78"/>
    </row>
    <row r="27" spans="1:10" s="76" customFormat="1">
      <c r="A27" s="78" t="s">
        <v>131</v>
      </c>
      <c r="B27" s="78"/>
      <c r="C27" s="78"/>
      <c r="D27" s="154">
        <f>СПР_ШТ!C11</f>
        <v>9326</v>
      </c>
      <c r="E27" s="74" t="s">
        <v>143</v>
      </c>
      <c r="F27" s="78">
        <f>D21</f>
        <v>1992</v>
      </c>
      <c r="G27" s="74" t="s">
        <v>144</v>
      </c>
      <c r="H27" s="155">
        <f>ROUND(D27/D21,2)</f>
        <v>4.68</v>
      </c>
      <c r="I27" s="70" t="s">
        <v>56</v>
      </c>
    </row>
    <row r="28" spans="1:10" s="76" customFormat="1" ht="15.75" customHeight="1">
      <c r="A28" s="78" t="s">
        <v>356</v>
      </c>
      <c r="B28" s="78"/>
      <c r="C28" s="78"/>
      <c r="D28" s="154">
        <f>H24+H26</f>
        <v>67.42</v>
      </c>
      <c r="E28" s="156" t="s">
        <v>199</v>
      </c>
      <c r="F28" s="157">
        <f>H27</f>
        <v>4.68</v>
      </c>
      <c r="G28" s="74" t="s">
        <v>144</v>
      </c>
      <c r="H28" s="155">
        <f>D28+F28</f>
        <v>72.099999999999994</v>
      </c>
      <c r="I28" s="70" t="s">
        <v>56</v>
      </c>
    </row>
    <row r="29" spans="1:10" s="76" customFormat="1">
      <c r="A29" s="70" t="s">
        <v>53</v>
      </c>
      <c r="B29" s="70"/>
      <c r="C29" s="70"/>
      <c r="D29" s="70"/>
      <c r="E29" s="70"/>
      <c r="F29" s="70"/>
      <c r="G29" s="74" t="s">
        <v>144</v>
      </c>
      <c r="H29" s="155">
        <f>ROUND(H28*0.22,2)</f>
        <v>15.86</v>
      </c>
      <c r="I29" s="70" t="s">
        <v>56</v>
      </c>
    </row>
    <row r="30" spans="1:10" s="76" customFormat="1">
      <c r="A30" s="70" t="s">
        <v>139</v>
      </c>
      <c r="B30" s="70"/>
      <c r="C30" s="70"/>
      <c r="D30" s="70"/>
      <c r="E30" s="70"/>
      <c r="F30" s="70"/>
      <c r="G30" s="74" t="s">
        <v>144</v>
      </c>
      <c r="H30" s="155">
        <f>H29+H28</f>
        <v>87.96</v>
      </c>
      <c r="I30" s="70" t="s">
        <v>56</v>
      </c>
    </row>
    <row r="31" spans="1:10" s="76" customFormat="1">
      <c r="A31" s="78" t="s">
        <v>364</v>
      </c>
      <c r="B31" s="78"/>
      <c r="C31" s="78"/>
      <c r="D31" s="78"/>
      <c r="E31" s="157"/>
      <c r="F31" s="78"/>
      <c r="G31" s="74" t="s">
        <v>144</v>
      </c>
      <c r="H31" s="155">
        <f>ROUND(H30*0.13,2)</f>
        <v>11.43</v>
      </c>
      <c r="I31" s="70" t="s">
        <v>56</v>
      </c>
    </row>
    <row r="32" spans="1:10" s="76" customFormat="1" ht="7.5" customHeight="1">
      <c r="A32" s="78"/>
      <c r="B32" s="78"/>
      <c r="C32" s="78"/>
      <c r="D32" s="78"/>
      <c r="E32" s="157"/>
      <c r="F32" s="78"/>
      <c r="G32" s="78"/>
      <c r="H32" s="78"/>
      <c r="I32" s="74"/>
      <c r="J32" s="78"/>
    </row>
    <row r="33" spans="1:11" s="70" customFormat="1" ht="45.75" customHeight="1">
      <c r="A33" s="555" t="s">
        <v>192</v>
      </c>
      <c r="B33" s="555"/>
      <c r="C33" s="555"/>
      <c r="D33" s="555"/>
      <c r="E33" s="555"/>
      <c r="F33" s="555"/>
      <c r="G33" s="555"/>
      <c r="H33" s="555"/>
      <c r="I33" s="555"/>
      <c r="J33" s="64"/>
      <c r="K33" s="64"/>
    </row>
    <row r="34" spans="1:11" s="70" customFormat="1" ht="6.75" customHeight="1">
      <c r="E34" s="147"/>
      <c r="F34" s="74"/>
      <c r="G34" s="74"/>
      <c r="H34" s="82"/>
    </row>
    <row r="35" spans="1:11" s="70" customFormat="1" ht="21" customHeight="1">
      <c r="A35" s="70" t="s">
        <v>201</v>
      </c>
      <c r="D35" s="147">
        <f>ОпВитратиРоз3!D11</f>
        <v>1754.7520000000002</v>
      </c>
      <c r="E35" s="147" t="s">
        <v>204</v>
      </c>
      <c r="F35" s="74" t="s">
        <v>144</v>
      </c>
      <c r="G35" s="155">
        <f>ROUND(D35/26*0.08,2)</f>
        <v>5.4</v>
      </c>
      <c r="H35" s="70" t="s">
        <v>56</v>
      </c>
    </row>
    <row r="36" spans="1:11" s="44" customFormat="1" ht="28.15" customHeight="1">
      <c r="A36" s="176"/>
      <c r="B36" s="45" t="s">
        <v>168</v>
      </c>
      <c r="C36" s="48"/>
      <c r="D36" s="45"/>
      <c r="E36" s="45" t="s">
        <v>169</v>
      </c>
      <c r="F36" s="60"/>
      <c r="G36" s="176"/>
      <c r="H36" s="176"/>
      <c r="I36" s="176"/>
      <c r="J36" s="177"/>
      <c r="K36" s="178"/>
    </row>
  </sheetData>
  <mergeCells count="11">
    <mergeCell ref="A4:I4"/>
    <mergeCell ref="B5:H5"/>
    <mergeCell ref="B7:H7"/>
    <mergeCell ref="A33:I33"/>
    <mergeCell ref="A13:E13"/>
    <mergeCell ref="A11:B11"/>
    <mergeCell ref="B10:E10"/>
    <mergeCell ref="A21:C21"/>
    <mergeCell ref="B8:H8"/>
    <mergeCell ref="B9:H9"/>
    <mergeCell ref="C24:D24"/>
  </mergeCells>
  <phoneticPr fontId="5" type="noConversion"/>
  <pageMargins left="1.1023622047244095" right="0.51181102362204722" top="0.74803149606299213" bottom="0.74803149606299213" header="0.31496062992125984" footer="0.31496062992125984"/>
  <pageSetup paperSize="9" scale="107"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Лист18">
    <tabColor indexed="11"/>
  </sheetPr>
  <dimension ref="A1:C28"/>
  <sheetViews>
    <sheetView view="pageBreakPreview" topLeftCell="A16" zoomScaleNormal="100" workbookViewId="0">
      <selection activeCell="F31" sqref="F31"/>
    </sheetView>
  </sheetViews>
  <sheetFormatPr defaultRowHeight="15"/>
  <cols>
    <col min="1" max="1" width="6.140625" customWidth="1"/>
    <col min="2" max="2" width="48" customWidth="1"/>
    <col min="3" max="3" width="22" customWidth="1"/>
  </cols>
  <sheetData>
    <row r="1" spans="1:3" ht="12" customHeight="1">
      <c r="C1" s="80" t="s">
        <v>198</v>
      </c>
    </row>
    <row r="2" spans="1:3" ht="82.5" customHeight="1">
      <c r="C2" s="81" t="s">
        <v>197</v>
      </c>
    </row>
    <row r="3" spans="1:3" ht="9" customHeight="1">
      <c r="C3" s="7"/>
    </row>
    <row r="4" spans="1:3" ht="21.75" customHeight="1">
      <c r="A4" s="549" t="s">
        <v>39</v>
      </c>
      <c r="B4" s="549"/>
      <c r="C4" s="549"/>
    </row>
    <row r="5" spans="1:3" ht="21.75" customHeight="1">
      <c r="A5" s="404" t="s">
        <v>40</v>
      </c>
      <c r="B5" s="549"/>
      <c r="C5" s="549"/>
    </row>
    <row r="6" spans="1:3" ht="9" customHeight="1">
      <c r="A6" s="8"/>
      <c r="B6" s="8"/>
      <c r="C6" s="8"/>
    </row>
    <row r="7" spans="1:3" ht="9" customHeight="1"/>
    <row r="8" spans="1:3" ht="14.45" customHeight="1">
      <c r="A8" s="406" t="s">
        <v>33</v>
      </c>
      <c r="B8" s="408" t="s">
        <v>1</v>
      </c>
      <c r="C8" s="408" t="s">
        <v>2</v>
      </c>
    </row>
    <row r="9" spans="1:3" ht="14.45" customHeight="1">
      <c r="A9" s="407"/>
      <c r="B9" s="408"/>
      <c r="C9" s="408"/>
    </row>
    <row r="10" spans="1:3" ht="22.5" customHeight="1">
      <c r="A10" s="1">
        <v>1</v>
      </c>
      <c r="B10" s="2" t="s">
        <v>3</v>
      </c>
      <c r="C10" s="3">
        <f>C11+C16</f>
        <v>24.409999999999997</v>
      </c>
    </row>
    <row r="11" spans="1:3" ht="19.5" customHeight="1">
      <c r="A11" s="1" t="s">
        <v>13</v>
      </c>
      <c r="B11" s="2" t="s">
        <v>4</v>
      </c>
      <c r="C11" s="3">
        <f>C12+C13+C14</f>
        <v>13.6</v>
      </c>
    </row>
    <row r="12" spans="1:3" ht="30.6" customHeight="1">
      <c r="A12" s="1" t="s">
        <v>14</v>
      </c>
      <c r="B12" s="33" t="s">
        <v>25</v>
      </c>
      <c r="C12" s="3">
        <f>кал1дод1!F19</f>
        <v>2.17</v>
      </c>
    </row>
    <row r="13" spans="1:3" ht="27.75" customHeight="1">
      <c r="A13" s="1" t="s">
        <v>22</v>
      </c>
      <c r="B13" s="2" t="s">
        <v>176</v>
      </c>
      <c r="C13" s="3">
        <f>ROUND(кал1дод1!H27*0.13,2)</f>
        <v>9.3699999999999992</v>
      </c>
    </row>
    <row r="14" spans="1:3" ht="17.25" customHeight="1">
      <c r="A14" s="486" t="s">
        <v>23</v>
      </c>
      <c r="B14" s="2" t="s">
        <v>5</v>
      </c>
      <c r="C14" s="560">
        <f>ROUND(C13*22%,2)</f>
        <v>2.06</v>
      </c>
    </row>
    <row r="15" spans="1:3" ht="36.75" customHeight="1">
      <c r="A15" s="487"/>
      <c r="B15" s="2" t="s">
        <v>6</v>
      </c>
      <c r="C15" s="561"/>
    </row>
    <row r="16" spans="1:3" ht="19.5" customHeight="1">
      <c r="A16" s="1" t="s">
        <v>24</v>
      </c>
      <c r="B16" s="2" t="s">
        <v>7</v>
      </c>
      <c r="C16" s="3">
        <f>C17+C18</f>
        <v>10.809999999999999</v>
      </c>
    </row>
    <row r="17" spans="1:3" ht="30.6" customHeight="1">
      <c r="A17" s="1" t="s">
        <v>85</v>
      </c>
      <c r="B17" s="2" t="s">
        <v>84</v>
      </c>
      <c r="C17" s="3">
        <f>ROUND(C11*15%,2)</f>
        <v>2.04</v>
      </c>
    </row>
    <row r="18" spans="1:3" ht="24" customHeight="1">
      <c r="A18" s="1" t="s">
        <v>87</v>
      </c>
      <c r="B18" s="2" t="s">
        <v>28</v>
      </c>
      <c r="C18" s="3">
        <f>кал1дод1!G34</f>
        <v>8.77</v>
      </c>
    </row>
    <row r="19" spans="1:3" ht="21" customHeight="1">
      <c r="A19" s="1">
        <v>2</v>
      </c>
      <c r="B19" s="2" t="s">
        <v>8</v>
      </c>
      <c r="C19" s="3">
        <f>C11+C16</f>
        <v>24.409999999999997</v>
      </c>
    </row>
    <row r="20" spans="1:3" ht="28.15" customHeight="1">
      <c r="A20" s="1">
        <v>3</v>
      </c>
      <c r="B20" s="2" t="s">
        <v>9</v>
      </c>
      <c r="C20" s="3">
        <f>ROUND(C19*12%,2)</f>
        <v>2.93</v>
      </c>
    </row>
    <row r="21" spans="1:3" ht="21" customHeight="1">
      <c r="A21" s="1">
        <v>4</v>
      </c>
      <c r="B21" s="2" t="s">
        <v>10</v>
      </c>
      <c r="C21" s="3">
        <f>C19+C20</f>
        <v>27.339999999999996</v>
      </c>
    </row>
    <row r="22" spans="1:3" ht="21" customHeight="1">
      <c r="A22" s="1">
        <v>5</v>
      </c>
      <c r="B22" s="2" t="s">
        <v>11</v>
      </c>
      <c r="C22" s="5">
        <v>1</v>
      </c>
    </row>
    <row r="23" spans="1:3" ht="21" customHeight="1">
      <c r="A23" s="1">
        <v>6</v>
      </c>
      <c r="B23" s="2" t="s">
        <v>12</v>
      </c>
      <c r="C23" s="4">
        <f>C21*C22</f>
        <v>27.339999999999996</v>
      </c>
    </row>
    <row r="25" spans="1:3" s="70" customFormat="1" ht="15.75">
      <c r="A25" s="179" t="s">
        <v>604</v>
      </c>
      <c r="C25" s="187"/>
    </row>
    <row r="28" spans="1:3" ht="30">
      <c r="B28" s="68" t="s">
        <v>55</v>
      </c>
      <c r="C28" s="6" t="s">
        <v>528</v>
      </c>
    </row>
  </sheetData>
  <mergeCells count="7">
    <mergeCell ref="A14:A15"/>
    <mergeCell ref="C14:C15"/>
    <mergeCell ref="A8:A9"/>
    <mergeCell ref="A4:C4"/>
    <mergeCell ref="A5:C5"/>
    <mergeCell ref="B8:B9"/>
    <mergeCell ref="C8:C9"/>
  </mergeCells>
  <phoneticPr fontId="5" type="noConversion"/>
  <pageMargins left="1.299212598425197" right="0.11811023622047245" top="0.74803149606299213" bottom="0.74803149606299213" header="0.31496062992125984" footer="0.31496062992125984"/>
  <pageSetup paperSize="9" scale="11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Лист19">
    <tabColor indexed="11"/>
  </sheetPr>
  <dimension ref="A1:K37"/>
  <sheetViews>
    <sheetView view="pageBreakPreview" zoomScaleNormal="100" workbookViewId="0">
      <selection activeCell="E14" sqref="E14"/>
    </sheetView>
  </sheetViews>
  <sheetFormatPr defaultColWidth="9.140625" defaultRowHeight="15"/>
  <cols>
    <col min="1" max="1" width="5" style="70" customWidth="1"/>
    <col min="2" max="2" width="20.5703125" style="70" customWidth="1"/>
    <col min="3" max="3" width="8" style="70" customWidth="1"/>
    <col min="4" max="4" width="8.140625" style="70" customWidth="1"/>
    <col min="5" max="5" width="7.85546875" style="70" customWidth="1"/>
    <col min="6" max="6" width="6.5703125" style="70" customWidth="1"/>
    <col min="7" max="7" width="5.5703125" style="70" customWidth="1"/>
    <col min="8" max="8" width="8.5703125" style="70" customWidth="1"/>
    <col min="9" max="9" width="7" style="76" customWidth="1"/>
    <col min="10" max="16384" width="9.140625" style="76"/>
  </cols>
  <sheetData>
    <row r="1" spans="1:9">
      <c r="I1" s="246" t="s">
        <v>57</v>
      </c>
    </row>
    <row r="2" spans="1:9">
      <c r="I2" s="246" t="s">
        <v>58</v>
      </c>
    </row>
    <row r="4" spans="1:9" ht="61.5" customHeight="1">
      <c r="A4" s="562" t="s">
        <v>147</v>
      </c>
      <c r="B4" s="562"/>
      <c r="C4" s="562"/>
      <c r="D4" s="562"/>
      <c r="E4" s="562"/>
      <c r="F4" s="562"/>
      <c r="G4" s="562"/>
      <c r="H4" s="562"/>
      <c r="I4" s="562"/>
    </row>
    <row r="5" spans="1:9" ht="21.75" customHeight="1">
      <c r="A5" s="148" t="s">
        <v>41</v>
      </c>
      <c r="B5" s="563" t="s">
        <v>488</v>
      </c>
      <c r="C5" s="563"/>
      <c r="D5" s="563"/>
      <c r="E5" s="563"/>
      <c r="F5" s="563"/>
      <c r="G5" s="563"/>
      <c r="H5" s="563"/>
      <c r="I5" s="563"/>
    </row>
    <row r="6" spans="1:9" ht="17.45" customHeight="1">
      <c r="A6" s="148" t="s">
        <v>43</v>
      </c>
      <c r="B6" s="149"/>
      <c r="C6" s="149"/>
      <c r="D6" s="149"/>
      <c r="E6" s="149"/>
      <c r="F6" s="149"/>
      <c r="G6" s="149"/>
      <c r="H6" s="149"/>
    </row>
    <row r="7" spans="1:9" ht="15" customHeight="1">
      <c r="A7" s="150" t="s">
        <v>46</v>
      </c>
      <c r="B7" s="564" t="s">
        <v>44</v>
      </c>
      <c r="C7" s="564"/>
      <c r="D7" s="564"/>
      <c r="E7" s="564"/>
      <c r="F7" s="564"/>
      <c r="G7" s="564"/>
      <c r="H7" s="564"/>
    </row>
    <row r="8" spans="1:9" ht="15" customHeight="1">
      <c r="A8" s="150" t="s">
        <v>47</v>
      </c>
      <c r="B8" s="564" t="s">
        <v>45</v>
      </c>
      <c r="C8" s="564"/>
      <c r="D8" s="564"/>
      <c r="E8" s="564"/>
      <c r="F8" s="564"/>
      <c r="G8" s="564"/>
      <c r="H8" s="564"/>
    </row>
    <row r="9" spans="1:9" ht="15" customHeight="1">
      <c r="A9" s="150" t="s">
        <v>48</v>
      </c>
      <c r="B9" s="564" t="s">
        <v>49</v>
      </c>
      <c r="C9" s="564"/>
      <c r="D9" s="564"/>
      <c r="E9" s="564"/>
      <c r="F9" s="564"/>
      <c r="G9" s="564"/>
      <c r="H9" s="564"/>
    </row>
    <row r="10" spans="1:9" ht="17.45" customHeight="1">
      <c r="A10" s="565" t="s">
        <v>50</v>
      </c>
      <c r="B10" s="565"/>
      <c r="C10" s="149"/>
      <c r="D10" s="149"/>
      <c r="E10" s="149"/>
      <c r="F10" s="149"/>
      <c r="G10" s="149"/>
      <c r="H10" s="149"/>
    </row>
    <row r="11" spans="1:9" ht="17.45" customHeight="1">
      <c r="A11" s="151" t="s">
        <v>174</v>
      </c>
      <c r="B11" s="151"/>
      <c r="C11" s="151"/>
      <c r="D11" s="151"/>
      <c r="E11" s="149"/>
      <c r="F11" s="149"/>
      <c r="G11" s="149"/>
      <c r="H11" s="149"/>
    </row>
    <row r="12" spans="1:9" ht="17.45" customHeight="1">
      <c r="A12" s="556" t="s">
        <v>51</v>
      </c>
      <c r="B12" s="556"/>
      <c r="C12" s="556"/>
      <c r="D12" s="556"/>
      <c r="E12" s="556"/>
      <c r="F12" s="149"/>
      <c r="G12" s="149"/>
      <c r="H12" s="149"/>
    </row>
    <row r="13" spans="1:9" ht="6" customHeight="1">
      <c r="A13" s="16"/>
      <c r="B13" s="16"/>
      <c r="C13" s="16"/>
      <c r="D13" s="16"/>
      <c r="E13" s="16"/>
      <c r="F13" s="149"/>
      <c r="G13" s="149"/>
      <c r="H13" s="149"/>
    </row>
    <row r="14" spans="1:9">
      <c r="A14" s="70" t="s">
        <v>451</v>
      </c>
    </row>
    <row r="15" spans="1:9">
      <c r="A15" s="152" t="s">
        <v>0</v>
      </c>
      <c r="B15" s="152" t="s">
        <v>15</v>
      </c>
      <c r="C15" s="152" t="s">
        <v>16</v>
      </c>
      <c r="D15" s="152" t="s">
        <v>17</v>
      </c>
      <c r="E15" s="152" t="s">
        <v>18</v>
      </c>
      <c r="F15" s="152" t="s">
        <v>19</v>
      </c>
    </row>
    <row r="16" spans="1:9">
      <c r="A16" s="152">
        <v>1</v>
      </c>
      <c r="B16" s="152" t="s">
        <v>20</v>
      </c>
      <c r="C16" s="152" t="s">
        <v>21</v>
      </c>
      <c r="D16" s="152">
        <v>1</v>
      </c>
      <c r="E16" s="79">
        <v>1</v>
      </c>
      <c r="F16" s="79">
        <f>E16*D16</f>
        <v>1</v>
      </c>
    </row>
    <row r="17" spans="1:11">
      <c r="A17" s="152">
        <v>2</v>
      </c>
      <c r="B17" s="152" t="s">
        <v>104</v>
      </c>
      <c r="C17" s="152" t="s">
        <v>21</v>
      </c>
      <c r="D17" s="152">
        <v>0.05</v>
      </c>
      <c r="E17" s="79">
        <v>15</v>
      </c>
      <c r="F17" s="79">
        <v>0.75</v>
      </c>
    </row>
    <row r="18" spans="1:11">
      <c r="A18" s="152">
        <v>3</v>
      </c>
      <c r="B18" s="152" t="s">
        <v>54</v>
      </c>
      <c r="C18" s="152" t="s">
        <v>21</v>
      </c>
      <c r="D18" s="152">
        <v>1000</v>
      </c>
      <c r="E18" s="79">
        <v>420</v>
      </c>
      <c r="F18" s="79">
        <f>E18/D18</f>
        <v>0.42</v>
      </c>
    </row>
    <row r="19" spans="1:11">
      <c r="A19" s="152"/>
      <c r="B19" s="152" t="s">
        <v>146</v>
      </c>
      <c r="C19" s="152"/>
      <c r="D19" s="152"/>
      <c r="E19" s="152"/>
      <c r="F19" s="153">
        <f>SUM(F16:F18)</f>
        <v>2.17</v>
      </c>
    </row>
    <row r="20" spans="1:11" ht="18.75" customHeight="1">
      <c r="A20" s="566" t="s">
        <v>200</v>
      </c>
      <c r="B20" s="566"/>
      <c r="C20" s="566"/>
      <c r="D20" s="74">
        <f>[1]СПР_ШТ!C2</f>
        <v>1992</v>
      </c>
      <c r="E20" s="70" t="s">
        <v>140</v>
      </c>
      <c r="G20" s="147"/>
      <c r="H20" s="147"/>
      <c r="I20" s="70"/>
      <c r="J20" s="70"/>
    </row>
    <row r="21" spans="1:11">
      <c r="A21" s="70">
        <f>D20</f>
        <v>1992</v>
      </c>
      <c r="B21" s="74" t="s">
        <v>142</v>
      </c>
      <c r="C21" s="74">
        <f>D20/12</f>
        <v>166</v>
      </c>
      <c r="D21" s="70" t="s">
        <v>141</v>
      </c>
      <c r="G21" s="147"/>
      <c r="H21" s="147"/>
      <c r="I21" s="70"/>
      <c r="J21" s="70"/>
    </row>
    <row r="22" spans="1:11">
      <c r="A22" s="70" t="s">
        <v>175</v>
      </c>
      <c r="H22" s="147">
        <f>СПР_ШТ!C8</f>
        <v>9326</v>
      </c>
      <c r="I22" s="70" t="s">
        <v>56</v>
      </c>
    </row>
    <row r="23" spans="1:11">
      <c r="A23" s="78" t="s">
        <v>145</v>
      </c>
      <c r="B23" s="78"/>
      <c r="C23" s="559">
        <f>H22</f>
        <v>9326</v>
      </c>
      <c r="D23" s="559"/>
      <c r="E23" s="74" t="s">
        <v>143</v>
      </c>
      <c r="F23" s="78">
        <f>C21</f>
        <v>166</v>
      </c>
      <c r="G23" s="74" t="s">
        <v>144</v>
      </c>
      <c r="H23" s="155">
        <f>ROUND(H22/C21,2)</f>
        <v>56.18</v>
      </c>
      <c r="I23" s="70" t="s">
        <v>56</v>
      </c>
    </row>
    <row r="24" spans="1:11">
      <c r="A24" s="78" t="s">
        <v>52</v>
      </c>
      <c r="B24" s="78"/>
      <c r="C24" s="78"/>
      <c r="D24" s="78"/>
      <c r="E24" s="78"/>
      <c r="F24" s="78"/>
      <c r="G24" s="78"/>
      <c r="H24" s="78"/>
      <c r="I24" s="74"/>
      <c r="J24" s="78"/>
    </row>
    <row r="25" spans="1:11">
      <c r="A25" s="78" t="s">
        <v>130</v>
      </c>
      <c r="B25" s="78"/>
      <c r="C25" s="78"/>
      <c r="D25" s="78">
        <v>1865.2</v>
      </c>
      <c r="E25" s="74" t="s">
        <v>143</v>
      </c>
      <c r="F25" s="78">
        <v>166</v>
      </c>
      <c r="G25" s="74" t="s">
        <v>144</v>
      </c>
      <c r="H25" s="155">
        <f>ROUND(D25/F25,2)</f>
        <v>11.24</v>
      </c>
      <c r="I25" s="70" t="s">
        <v>56</v>
      </c>
      <c r="J25" s="78"/>
    </row>
    <row r="26" spans="1:11">
      <c r="A26" s="78" t="s">
        <v>131</v>
      </c>
      <c r="B26" s="78"/>
      <c r="C26" s="78"/>
      <c r="D26" s="154">
        <f>СПР_ШТ!C11</f>
        <v>9326</v>
      </c>
      <c r="E26" s="74" t="s">
        <v>143</v>
      </c>
      <c r="F26" s="78">
        <f>D20</f>
        <v>1992</v>
      </c>
      <c r="G26" s="74" t="s">
        <v>144</v>
      </c>
      <c r="H26" s="155">
        <f>ROUND(D26/D20,2)</f>
        <v>4.68</v>
      </c>
      <c r="I26" s="70" t="s">
        <v>56</v>
      </c>
    </row>
    <row r="27" spans="1:11" ht="15.75" customHeight="1">
      <c r="A27" s="78" t="s">
        <v>356</v>
      </c>
      <c r="B27" s="78"/>
      <c r="C27" s="78"/>
      <c r="D27" s="154">
        <f>H23+H25</f>
        <v>67.42</v>
      </c>
      <c r="E27" s="156" t="s">
        <v>199</v>
      </c>
      <c r="F27" s="157">
        <f>H26</f>
        <v>4.68</v>
      </c>
      <c r="G27" s="74" t="s">
        <v>144</v>
      </c>
      <c r="H27" s="155">
        <f>D27+F27</f>
        <v>72.099999999999994</v>
      </c>
      <c r="I27" s="70" t="s">
        <v>56</v>
      </c>
    </row>
    <row r="28" spans="1:11">
      <c r="A28" s="70" t="s">
        <v>53</v>
      </c>
      <c r="G28" s="74" t="s">
        <v>144</v>
      </c>
      <c r="H28" s="155">
        <f>ROUND(H27*0.22,2)</f>
        <v>15.86</v>
      </c>
      <c r="I28" s="70" t="s">
        <v>56</v>
      </c>
    </row>
    <row r="29" spans="1:11">
      <c r="A29" s="70" t="s">
        <v>139</v>
      </c>
      <c r="G29" s="74" t="s">
        <v>144</v>
      </c>
      <c r="H29" s="155">
        <f>H28+H27</f>
        <v>87.96</v>
      </c>
      <c r="I29" s="70" t="s">
        <v>56</v>
      </c>
    </row>
    <row r="30" spans="1:11">
      <c r="A30" s="78" t="s">
        <v>363</v>
      </c>
      <c r="B30" s="78"/>
      <c r="C30" s="78"/>
      <c r="D30" s="78"/>
      <c r="E30" s="157"/>
      <c r="F30" s="78"/>
      <c r="G30" s="74" t="s">
        <v>144</v>
      </c>
      <c r="H30" s="155">
        <f>ROUND(H29*0.13,2)</f>
        <v>11.43</v>
      </c>
      <c r="I30" s="70" t="s">
        <v>56</v>
      </c>
    </row>
    <row r="31" spans="1:11" ht="7.5" customHeight="1">
      <c r="A31" s="78"/>
      <c r="B31" s="78"/>
      <c r="C31" s="78"/>
      <c r="D31" s="78"/>
      <c r="E31" s="157"/>
      <c r="F31" s="78"/>
      <c r="G31" s="78"/>
      <c r="H31" s="78"/>
      <c r="I31" s="74"/>
      <c r="J31" s="78"/>
    </row>
    <row r="32" spans="1:11" s="70" customFormat="1" ht="45.75" customHeight="1">
      <c r="A32" s="555" t="s">
        <v>192</v>
      </c>
      <c r="B32" s="555"/>
      <c r="C32" s="555"/>
      <c r="D32" s="555"/>
      <c r="E32" s="555"/>
      <c r="F32" s="555"/>
      <c r="G32" s="555"/>
      <c r="H32" s="555"/>
      <c r="I32" s="555"/>
      <c r="J32" s="64"/>
      <c r="K32" s="64"/>
    </row>
    <row r="33" spans="1:11" s="70" customFormat="1" ht="6.75" customHeight="1">
      <c r="E33" s="147"/>
      <c r="F33" s="74"/>
      <c r="G33" s="74"/>
      <c r="H33" s="82"/>
    </row>
    <row r="34" spans="1:11" s="70" customFormat="1" ht="24" customHeight="1">
      <c r="A34" s="70" t="s">
        <v>201</v>
      </c>
      <c r="D34" s="147">
        <f>ОпВитратиРоз3!D11</f>
        <v>1754.7520000000002</v>
      </c>
      <c r="E34" s="147" t="s">
        <v>203</v>
      </c>
      <c r="F34" s="74" t="s">
        <v>144</v>
      </c>
      <c r="G34" s="155">
        <f>ROUND(D34/26*0.13,2)</f>
        <v>8.77</v>
      </c>
      <c r="H34" s="70" t="s">
        <v>56</v>
      </c>
    </row>
    <row r="35" spans="1:11" s="44" customFormat="1" ht="42.75" customHeight="1">
      <c r="A35" s="176"/>
      <c r="B35" s="45" t="s">
        <v>168</v>
      </c>
      <c r="C35" s="48"/>
      <c r="D35" s="45"/>
      <c r="E35" s="45" t="s">
        <v>169</v>
      </c>
      <c r="F35" s="60"/>
      <c r="G35" s="176"/>
      <c r="H35" s="176"/>
      <c r="I35" s="176"/>
      <c r="J35" s="177"/>
      <c r="K35" s="178"/>
    </row>
    <row r="37" spans="1:11" ht="14.45" customHeight="1">
      <c r="B37" s="64"/>
      <c r="C37" s="64"/>
      <c r="D37" s="14"/>
      <c r="E37" s="14"/>
      <c r="F37" s="158"/>
    </row>
  </sheetData>
  <mergeCells count="10">
    <mergeCell ref="A4:I4"/>
    <mergeCell ref="B5:I5"/>
    <mergeCell ref="A32:I32"/>
    <mergeCell ref="B9:H9"/>
    <mergeCell ref="A10:B10"/>
    <mergeCell ref="A12:E12"/>
    <mergeCell ref="B7:H7"/>
    <mergeCell ref="B8:H8"/>
    <mergeCell ref="A20:C20"/>
    <mergeCell ref="C23:D23"/>
  </mergeCells>
  <phoneticPr fontId="5" type="noConversion"/>
  <pageMargins left="1.1023622047244095" right="0.51181102362204722" top="0.74803149606299213" bottom="0.74803149606299213" header="0.31496062992125984" footer="0.31496062992125984"/>
  <pageSetup paperSize="9" scale="10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7030A0"/>
  </sheetPr>
  <dimension ref="A1:F19"/>
  <sheetViews>
    <sheetView topLeftCell="A4" workbookViewId="0">
      <selection activeCell="E14" sqref="E14"/>
    </sheetView>
  </sheetViews>
  <sheetFormatPr defaultColWidth="9.140625" defaultRowHeight="15"/>
  <cols>
    <col min="1" max="1" width="47.28515625" style="64" customWidth="1"/>
    <col min="2" max="2" width="14.28515625" style="70" hidden="1" customWidth="1"/>
    <col min="3" max="4" width="13.7109375" style="70" customWidth="1"/>
    <col min="5" max="5" width="14.28515625" style="70" hidden="1" customWidth="1"/>
    <col min="6" max="16384" width="9.140625" style="70"/>
  </cols>
  <sheetData>
    <row r="1" spans="1:6" ht="18.75" customHeight="1">
      <c r="A1" s="567" t="s">
        <v>288</v>
      </c>
      <c r="B1" s="567"/>
      <c r="C1" s="567"/>
      <c r="D1" s="567"/>
      <c r="E1" s="567"/>
    </row>
    <row r="2" spans="1:6" ht="46.5" customHeight="1">
      <c r="A2" s="405" t="s">
        <v>194</v>
      </c>
      <c r="B2" s="405"/>
      <c r="C2" s="405"/>
      <c r="D2" s="405"/>
      <c r="E2" s="405"/>
    </row>
    <row r="4" spans="1:6" ht="73.5" customHeight="1">
      <c r="A4" s="359">
        <v>2025</v>
      </c>
      <c r="B4" s="360" t="s">
        <v>154</v>
      </c>
      <c r="C4" s="361" t="s">
        <v>132</v>
      </c>
      <c r="D4" s="361" t="s">
        <v>107</v>
      </c>
      <c r="E4" s="238" t="s">
        <v>155</v>
      </c>
    </row>
    <row r="5" spans="1:6">
      <c r="A5" s="152" t="s">
        <v>129</v>
      </c>
      <c r="B5" s="152">
        <v>1992</v>
      </c>
      <c r="C5" s="355">
        <v>1992</v>
      </c>
      <c r="D5" s="355">
        <v>1992</v>
      </c>
      <c r="E5" s="152">
        <v>1992</v>
      </c>
    </row>
    <row r="6" spans="1:6">
      <c r="A6" s="152" t="s">
        <v>134</v>
      </c>
      <c r="B6" s="152">
        <v>12</v>
      </c>
      <c r="C6" s="355">
        <v>12</v>
      </c>
      <c r="D6" s="355">
        <v>12</v>
      </c>
      <c r="E6" s="152">
        <v>12</v>
      </c>
    </row>
    <row r="7" spans="1:6">
      <c r="A7" s="152" t="s">
        <v>173</v>
      </c>
      <c r="B7" s="79">
        <f>B5/B6</f>
        <v>166</v>
      </c>
      <c r="C7" s="355">
        <f>C5/C6</f>
        <v>166</v>
      </c>
      <c r="D7" s="355">
        <f>D5/D6</f>
        <v>166</v>
      </c>
      <c r="E7" s="79">
        <f>E5/E6</f>
        <v>166</v>
      </c>
    </row>
    <row r="8" spans="1:6" ht="18.600000000000001" customHeight="1">
      <c r="A8" s="239" t="s">
        <v>133</v>
      </c>
      <c r="B8" s="77">
        <f>ШТАТ!I19</f>
        <v>0</v>
      </c>
      <c r="C8" s="77">
        <f>ШТАТ!D19</f>
        <v>9326</v>
      </c>
      <c r="D8" s="77">
        <f>ШТАТ!D20</f>
        <v>10072</v>
      </c>
      <c r="E8" s="77">
        <f>(7994+6)*1.2</f>
        <v>9600</v>
      </c>
      <c r="F8" s="64"/>
    </row>
    <row r="9" spans="1:6">
      <c r="A9" s="356" t="s">
        <v>52</v>
      </c>
      <c r="B9" s="357"/>
      <c r="C9" s="358"/>
      <c r="D9" s="358"/>
      <c r="E9" s="241"/>
      <c r="F9" s="78"/>
    </row>
    <row r="10" spans="1:6">
      <c r="A10" s="240" t="s">
        <v>130</v>
      </c>
      <c r="B10" s="242">
        <v>0</v>
      </c>
      <c r="C10" s="243">
        <f>ШТАТ!G19</f>
        <v>1865.2</v>
      </c>
      <c r="D10" s="243">
        <f>ШТАТ!G20</f>
        <v>2014.4</v>
      </c>
      <c r="E10" s="242">
        <v>0</v>
      </c>
      <c r="F10" s="78"/>
    </row>
    <row r="11" spans="1:6" ht="14.45" customHeight="1">
      <c r="A11" s="240" t="s">
        <v>131</v>
      </c>
      <c r="B11" s="79">
        <f>B8</f>
        <v>0</v>
      </c>
      <c r="C11" s="79">
        <v>9326</v>
      </c>
      <c r="D11" s="79">
        <v>10072</v>
      </c>
      <c r="E11" s="77">
        <f>7994</f>
        <v>7994</v>
      </c>
      <c r="F11" s="78"/>
    </row>
    <row r="12" spans="1:6" ht="18" customHeight="1">
      <c r="A12" s="239" t="s">
        <v>172</v>
      </c>
      <c r="B12" s="77">
        <f>B8/B7</f>
        <v>0</v>
      </c>
      <c r="C12" s="77">
        <f>ROUND((C8+C10)/C7,2)</f>
        <v>67.42</v>
      </c>
      <c r="D12" s="77">
        <f>ROUND((D8+D10)/D7,2)</f>
        <v>72.81</v>
      </c>
      <c r="E12" s="77">
        <f>E8/E7</f>
        <v>57.831325301204821</v>
      </c>
      <c r="F12" s="64"/>
    </row>
    <row r="13" spans="1:6" ht="16.5" customHeight="1">
      <c r="A13" s="240" t="s">
        <v>170</v>
      </c>
      <c r="B13" s="243">
        <f>B11/B5</f>
        <v>0</v>
      </c>
      <c r="C13" s="243">
        <f>ROUND(C11/C5,2)</f>
        <v>4.68</v>
      </c>
      <c r="D13" s="243">
        <f>ROUND(D11/D5,2)</f>
        <v>5.0599999999999996</v>
      </c>
      <c r="E13" s="243">
        <f>E11/E5</f>
        <v>4.0130522088353411</v>
      </c>
      <c r="F13" s="78"/>
    </row>
    <row r="14" spans="1:6" ht="16.5" customHeight="1">
      <c r="A14" s="240" t="s">
        <v>171</v>
      </c>
      <c r="B14" s="244">
        <f>B12+B13</f>
        <v>0</v>
      </c>
      <c r="C14" s="244">
        <f>C12+C13</f>
        <v>72.099999999999994</v>
      </c>
      <c r="D14" s="244">
        <f>D12+D13</f>
        <v>77.87</v>
      </c>
      <c r="E14" s="244">
        <f>E12+E13</f>
        <v>61.844377510040161</v>
      </c>
      <c r="F14" s="78"/>
    </row>
    <row r="15" spans="1:6" ht="30">
      <c r="A15" s="239" t="s">
        <v>53</v>
      </c>
      <c r="B15" s="79">
        <f>B14*22%</f>
        <v>0</v>
      </c>
      <c r="C15" s="79">
        <f>ROUND(C14*22%,2)</f>
        <v>15.86</v>
      </c>
      <c r="D15" s="79">
        <f>ROUND(D14*22%,2)</f>
        <v>17.13</v>
      </c>
      <c r="E15" s="245">
        <f>ROUND(E14*22%,2)</f>
        <v>13.61</v>
      </c>
    </row>
    <row r="16" spans="1:6" ht="22.5" customHeight="1">
      <c r="A16" s="240" t="s">
        <v>139</v>
      </c>
      <c r="B16" s="244">
        <f>B15+B14</f>
        <v>0</v>
      </c>
      <c r="C16" s="244">
        <f>C15+C14</f>
        <v>87.96</v>
      </c>
      <c r="D16" s="244">
        <f>D15+D14</f>
        <v>95</v>
      </c>
      <c r="E16" s="244">
        <f>E15+E14</f>
        <v>75.45437751004016</v>
      </c>
      <c r="F16" s="78"/>
    </row>
    <row r="18" spans="1:5" ht="108" customHeight="1">
      <c r="A18" s="501" t="s">
        <v>484</v>
      </c>
      <c r="B18" s="501"/>
      <c r="C18" s="501"/>
      <c r="D18" s="501"/>
      <c r="E18" s="501"/>
    </row>
    <row r="19" spans="1:5" ht="117" customHeight="1">
      <c r="A19" s="501" t="s">
        <v>485</v>
      </c>
      <c r="B19" s="501"/>
      <c r="C19" s="501"/>
      <c r="D19" s="501"/>
      <c r="E19" s="501"/>
    </row>
  </sheetData>
  <mergeCells count="4">
    <mergeCell ref="A1:E1"/>
    <mergeCell ref="A18:E18"/>
    <mergeCell ref="A19:E19"/>
    <mergeCell ref="A2:E2"/>
  </mergeCells>
  <phoneticPr fontId="5" type="noConversion"/>
  <pageMargins left="1.1023622047244095" right="0.70866141732283472" top="0.74803149606299213" bottom="0.74803149606299213" header="0.31496062992125984" footer="0.31496062992125984"/>
  <pageSetup paperSize="9" scale="110"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7030A0"/>
  </sheetPr>
  <dimension ref="A1:M26"/>
  <sheetViews>
    <sheetView topLeftCell="A7" workbookViewId="0">
      <selection activeCell="E14" sqref="E14"/>
    </sheetView>
  </sheetViews>
  <sheetFormatPr defaultRowHeight="15"/>
  <cols>
    <col min="2" max="2" width="33.85546875" customWidth="1"/>
    <col min="3" max="5" width="12.5703125" customWidth="1"/>
    <col min="6" max="6" width="4.85546875" customWidth="1"/>
    <col min="7" max="7" width="10.28515625" customWidth="1"/>
    <col min="8" max="8" width="10.85546875" customWidth="1"/>
    <col min="9" max="9" width="9.28515625" customWidth="1"/>
    <col min="10" max="10" width="12.5703125" customWidth="1"/>
    <col min="11" max="11" width="7.5703125" customWidth="1"/>
    <col min="12" max="12" width="12.7109375" customWidth="1"/>
    <col min="13" max="13" width="11.28515625" customWidth="1"/>
  </cols>
  <sheetData>
    <row r="1" spans="1:13" s="76" customFormat="1" ht="18.75">
      <c r="A1" s="70"/>
      <c r="B1" s="46"/>
      <c r="C1" s="46"/>
      <c r="D1" s="46"/>
      <c r="E1" s="101"/>
      <c r="F1" s="70"/>
      <c r="G1" s="70"/>
      <c r="H1" s="70"/>
      <c r="I1" s="70"/>
      <c r="J1" s="70"/>
      <c r="K1" s="70"/>
      <c r="L1" s="70"/>
      <c r="M1" s="101"/>
    </row>
    <row r="2" spans="1:13" s="76" customFormat="1" ht="18.75">
      <c r="A2" s="59"/>
      <c r="B2" s="586" t="s">
        <v>244</v>
      </c>
      <c r="C2" s="586"/>
      <c r="D2" s="586"/>
      <c r="E2" s="586"/>
      <c r="F2" s="586"/>
      <c r="G2" s="586"/>
      <c r="H2" s="586"/>
      <c r="I2" s="586"/>
      <c r="J2" s="586"/>
      <c r="K2" s="586"/>
      <c r="L2" s="586"/>
      <c r="M2" s="59"/>
    </row>
    <row r="3" spans="1:13" s="76" customFormat="1" ht="15.75">
      <c r="A3" s="45"/>
      <c r="B3" s="45"/>
      <c r="C3" s="587" t="s">
        <v>262</v>
      </c>
      <c r="D3" s="587"/>
      <c r="E3" s="587"/>
      <c r="F3" s="587"/>
      <c r="G3" s="587"/>
      <c r="H3" s="587"/>
      <c r="I3" s="45"/>
      <c r="J3" s="45"/>
      <c r="K3" s="103"/>
      <c r="L3" s="48"/>
      <c r="M3" s="59"/>
    </row>
    <row r="4" spans="1:13" s="76" customFormat="1" ht="15.75">
      <c r="A4" s="45"/>
      <c r="B4" s="45"/>
      <c r="C4" s="102"/>
      <c r="D4" s="102"/>
      <c r="E4" s="102"/>
      <c r="F4" s="102"/>
      <c r="G4" s="102"/>
      <c r="H4" s="102"/>
      <c r="I4" s="45"/>
      <c r="J4" s="45"/>
      <c r="K4" s="103"/>
      <c r="L4" s="48"/>
      <c r="M4" s="59"/>
    </row>
    <row r="5" spans="1:13" s="76" customFormat="1" ht="15.75">
      <c r="A5" s="59" t="s">
        <v>245</v>
      </c>
      <c r="B5" s="59"/>
      <c r="C5" s="59" t="s">
        <v>263</v>
      </c>
      <c r="D5" s="59"/>
      <c r="E5" s="59"/>
      <c r="F5" s="45"/>
      <c r="G5" s="45"/>
      <c r="H5" s="45"/>
      <c r="I5" s="45"/>
      <c r="J5" s="45"/>
      <c r="K5" s="45"/>
      <c r="L5" s="45"/>
      <c r="M5" s="59"/>
    </row>
    <row r="6" spans="1:13" s="76" customFormat="1" ht="15.75">
      <c r="A6" s="104" t="s">
        <v>246</v>
      </c>
      <c r="B6" s="59"/>
      <c r="C6" s="588">
        <v>8000</v>
      </c>
      <c r="D6" s="588"/>
      <c r="E6" s="45"/>
      <c r="F6" s="105"/>
      <c r="G6" s="105"/>
      <c r="H6" s="106"/>
      <c r="I6" s="105"/>
      <c r="J6" s="105"/>
      <c r="K6" s="105"/>
      <c r="L6" s="106"/>
      <c r="M6" s="106"/>
    </row>
    <row r="7" spans="1:13" s="76" customFormat="1" ht="15.75">
      <c r="A7" s="104" t="s">
        <v>247</v>
      </c>
      <c r="B7" s="59"/>
      <c r="C7" s="107" t="str">
        <f>'[2]ШТ РОЗП'!J21</f>
        <v xml:space="preserve">                                        з 01.01.2024 р. по 31.08.2024 р.</v>
      </c>
      <c r="D7" s="48" t="s">
        <v>56</v>
      </c>
      <c r="E7" s="48"/>
      <c r="F7" s="47"/>
      <c r="G7" s="70"/>
      <c r="H7" s="45"/>
      <c r="I7" s="45"/>
      <c r="J7" s="45"/>
      <c r="K7" s="45"/>
      <c r="L7" s="45"/>
      <c r="M7" s="49"/>
    </row>
    <row r="8" spans="1:13" s="76" customFormat="1" ht="15.75">
      <c r="A8" s="45"/>
      <c r="B8" s="45"/>
      <c r="C8" s="59"/>
      <c r="D8" s="45"/>
      <c r="E8" s="45"/>
      <c r="F8" s="45"/>
      <c r="G8" s="45"/>
      <c r="H8" s="49"/>
      <c r="I8" s="45"/>
      <c r="J8" s="45"/>
      <c r="K8" s="45"/>
      <c r="L8" s="45"/>
      <c r="M8" s="49"/>
    </row>
    <row r="9" spans="1:13" s="76" customFormat="1">
      <c r="A9" s="573" t="s">
        <v>156</v>
      </c>
      <c r="B9" s="573" t="s">
        <v>248</v>
      </c>
      <c r="C9" s="573" t="s">
        <v>157</v>
      </c>
      <c r="D9" s="573" t="s">
        <v>249</v>
      </c>
      <c r="E9" s="573" t="s">
        <v>250</v>
      </c>
      <c r="F9" s="576" t="s">
        <v>251</v>
      </c>
      <c r="G9" s="577"/>
      <c r="H9" s="568" t="s">
        <v>252</v>
      </c>
      <c r="I9" s="573" t="s">
        <v>253</v>
      </c>
      <c r="J9" s="573" t="s">
        <v>254</v>
      </c>
      <c r="K9" s="576" t="s">
        <v>255</v>
      </c>
      <c r="L9" s="577"/>
      <c r="M9" s="568" t="s">
        <v>256</v>
      </c>
    </row>
    <row r="10" spans="1:13" s="76" customFormat="1">
      <c r="A10" s="574"/>
      <c r="B10" s="574"/>
      <c r="C10" s="574"/>
      <c r="D10" s="574"/>
      <c r="E10" s="574"/>
      <c r="F10" s="578"/>
      <c r="G10" s="579"/>
      <c r="H10" s="569"/>
      <c r="I10" s="574"/>
      <c r="J10" s="574"/>
      <c r="K10" s="578"/>
      <c r="L10" s="579"/>
      <c r="M10" s="569"/>
    </row>
    <row r="11" spans="1:13" s="76" customFormat="1" ht="51" customHeight="1" thickBot="1">
      <c r="A11" s="575"/>
      <c r="B11" s="575"/>
      <c r="C11" s="575"/>
      <c r="D11" s="575"/>
      <c r="E11" s="575"/>
      <c r="F11" s="108" t="s">
        <v>257</v>
      </c>
      <c r="G11" s="108" t="s">
        <v>258</v>
      </c>
      <c r="H11" s="570"/>
      <c r="I11" s="575"/>
      <c r="J11" s="575"/>
      <c r="K11" s="108"/>
      <c r="L11" s="108" t="s">
        <v>258</v>
      </c>
      <c r="M11" s="570"/>
    </row>
    <row r="12" spans="1:13" s="76" customFormat="1">
      <c r="A12" s="109">
        <v>1</v>
      </c>
      <c r="B12" s="109">
        <v>2</v>
      </c>
      <c r="C12" s="109">
        <v>3</v>
      </c>
      <c r="D12" s="109">
        <v>4</v>
      </c>
      <c r="E12" s="109">
        <v>5</v>
      </c>
      <c r="F12" s="109">
        <v>6</v>
      </c>
      <c r="G12" s="109">
        <v>7</v>
      </c>
      <c r="H12" s="109">
        <v>8</v>
      </c>
      <c r="I12" s="109">
        <v>9</v>
      </c>
      <c r="J12" s="109">
        <v>10</v>
      </c>
      <c r="K12" s="109">
        <v>11</v>
      </c>
      <c r="L12" s="109">
        <v>12</v>
      </c>
      <c r="M12" s="109">
        <v>13</v>
      </c>
    </row>
    <row r="13" spans="1:13" s="76" customFormat="1" ht="15.75">
      <c r="A13" s="51">
        <v>1</v>
      </c>
      <c r="B13" s="580" t="s">
        <v>259</v>
      </c>
      <c r="C13" s="581"/>
      <c r="D13" s="581"/>
      <c r="E13" s="581"/>
      <c r="F13" s="581"/>
      <c r="G13" s="581"/>
      <c r="H13" s="581"/>
      <c r="I13" s="581"/>
      <c r="J13" s="581"/>
      <c r="K13" s="581"/>
      <c r="L13" s="581"/>
      <c r="M13" s="582"/>
    </row>
    <row r="14" spans="1:13" s="76" customFormat="1" ht="15.75">
      <c r="A14" s="50" t="s">
        <v>13</v>
      </c>
      <c r="B14" s="110" t="s">
        <v>158</v>
      </c>
      <c r="C14" s="51">
        <v>1</v>
      </c>
      <c r="D14" s="52">
        <v>25180</v>
      </c>
      <c r="E14" s="52">
        <f>C14*D14/2</f>
        <v>12590</v>
      </c>
      <c r="F14" s="51"/>
      <c r="G14" s="52"/>
      <c r="H14" s="52"/>
      <c r="I14" s="52"/>
      <c r="J14" s="52">
        <f>D14/2</f>
        <v>12590</v>
      </c>
      <c r="K14" s="51"/>
      <c r="L14" s="52">
        <f>D14*K14/2</f>
        <v>0</v>
      </c>
      <c r="M14" s="52">
        <f>(J14*4)+L14</f>
        <v>50360</v>
      </c>
    </row>
    <row r="15" spans="1:13" s="76" customFormat="1" ht="15.75">
      <c r="A15" s="50" t="s">
        <v>24</v>
      </c>
      <c r="B15" s="110" t="s">
        <v>159</v>
      </c>
      <c r="C15" s="51">
        <v>1</v>
      </c>
      <c r="D15" s="52">
        <v>23316</v>
      </c>
      <c r="E15" s="52">
        <f>C15*D15/2</f>
        <v>11658</v>
      </c>
      <c r="F15" s="53">
        <v>20</v>
      </c>
      <c r="G15" s="111">
        <f>E15*F15%</f>
        <v>2331.6</v>
      </c>
      <c r="H15" s="52">
        <f>G15</f>
        <v>2331.6</v>
      </c>
      <c r="I15" s="52"/>
      <c r="J15" s="52">
        <f>D15/2+H15</f>
        <v>13989.6</v>
      </c>
      <c r="K15" s="51"/>
      <c r="L15" s="52">
        <f>D15*K15/2</f>
        <v>0</v>
      </c>
      <c r="M15" s="52">
        <f>(J15*4)+L15</f>
        <v>55958.400000000001</v>
      </c>
    </row>
    <row r="16" spans="1:13" s="76" customFormat="1" ht="15.75">
      <c r="A16" s="112" t="s">
        <v>160</v>
      </c>
      <c r="B16" s="113" t="s">
        <v>161</v>
      </c>
      <c r="C16" s="51">
        <v>1</v>
      </c>
      <c r="D16" s="52">
        <v>20518</v>
      </c>
      <c r="E16" s="52">
        <f>C16*D16/2</f>
        <v>10259</v>
      </c>
      <c r="F16" s="54">
        <v>20</v>
      </c>
      <c r="G16" s="111">
        <f>E16*F16%</f>
        <v>2051.8000000000002</v>
      </c>
      <c r="H16" s="52">
        <f>G16</f>
        <v>2051.8000000000002</v>
      </c>
      <c r="I16" s="52"/>
      <c r="J16" s="52">
        <f>D16/2+H16</f>
        <v>12310.8</v>
      </c>
      <c r="K16" s="51"/>
      <c r="L16" s="52">
        <f>D16*K16/2</f>
        <v>0</v>
      </c>
      <c r="M16" s="52">
        <f>(J16*4)+L16</f>
        <v>49243.199999999997</v>
      </c>
    </row>
    <row r="17" spans="1:13" s="76" customFormat="1" ht="15.75">
      <c r="A17" s="571" t="s">
        <v>162</v>
      </c>
      <c r="B17" s="572"/>
      <c r="C17" s="114">
        <f>SUM(C14:C16)</f>
        <v>3</v>
      </c>
      <c r="D17" s="115"/>
      <c r="E17" s="116">
        <f>SUM(E14:E16)</f>
        <v>34507</v>
      </c>
      <c r="F17" s="117"/>
      <c r="G17" s="118">
        <f>SUM(G14:G16)</f>
        <v>4383.3999999999996</v>
      </c>
      <c r="H17" s="116">
        <f>SUM(H14:H16)</f>
        <v>4383.3999999999996</v>
      </c>
      <c r="I17" s="116">
        <f>SUM(I14:I15)</f>
        <v>0</v>
      </c>
      <c r="J17" s="116">
        <f>SUM(J14:J16)</f>
        <v>38890.399999999994</v>
      </c>
      <c r="K17" s="114">
        <f>SUM(K14:K16)</f>
        <v>0</v>
      </c>
      <c r="L17" s="116">
        <f>SUM(L14:L16)</f>
        <v>0</v>
      </c>
      <c r="M17" s="116">
        <f>SUM(M14:M16)</f>
        <v>155561.59999999998</v>
      </c>
    </row>
    <row r="18" spans="1:13" s="76" customFormat="1" ht="15.75">
      <c r="A18" s="51" t="s">
        <v>47</v>
      </c>
      <c r="B18" s="119" t="s">
        <v>163</v>
      </c>
      <c r="C18" s="120"/>
      <c r="D18" s="121"/>
      <c r="E18" s="121"/>
      <c r="F18" s="121"/>
      <c r="G18" s="121"/>
      <c r="H18" s="121"/>
      <c r="I18" s="121"/>
      <c r="J18" s="121"/>
      <c r="K18" s="121"/>
      <c r="L18" s="121"/>
      <c r="M18" s="122"/>
    </row>
    <row r="19" spans="1:13" s="76" customFormat="1" ht="15.75">
      <c r="A19" s="50" t="s">
        <v>127</v>
      </c>
      <c r="B19" s="43" t="s">
        <v>164</v>
      </c>
      <c r="C19" s="54">
        <v>1</v>
      </c>
      <c r="D19" s="52">
        <v>9326</v>
      </c>
      <c r="E19" s="52">
        <f>C19*D19</f>
        <v>9326</v>
      </c>
      <c r="F19" s="54">
        <v>20</v>
      </c>
      <c r="G19" s="111">
        <f>E19*F19%</f>
        <v>1865.2</v>
      </c>
      <c r="H19" s="52">
        <f>G19</f>
        <v>1865.2</v>
      </c>
      <c r="I19" s="111"/>
      <c r="J19" s="52">
        <f>E19+I19+H19</f>
        <v>11191.2</v>
      </c>
      <c r="K19" s="51">
        <v>1</v>
      </c>
      <c r="L19" s="52">
        <f>D19*K19</f>
        <v>9326</v>
      </c>
      <c r="M19" s="52">
        <f>(J19*4)+L19</f>
        <v>54090.8</v>
      </c>
    </row>
    <row r="20" spans="1:13" s="76" customFormat="1" ht="15.75">
      <c r="A20" s="50" t="s">
        <v>103</v>
      </c>
      <c r="B20" s="43" t="s">
        <v>107</v>
      </c>
      <c r="C20" s="54">
        <v>1</v>
      </c>
      <c r="D20" s="52">
        <v>10072</v>
      </c>
      <c r="E20" s="52">
        <f>C20*D20</f>
        <v>10072</v>
      </c>
      <c r="F20" s="54">
        <v>20</v>
      </c>
      <c r="G20" s="111">
        <f>E20*F20%</f>
        <v>2014.4</v>
      </c>
      <c r="H20" s="52">
        <f>G20</f>
        <v>2014.4</v>
      </c>
      <c r="I20" s="52"/>
      <c r="J20" s="52">
        <f>E20+I20+H20</f>
        <v>12086.4</v>
      </c>
      <c r="K20" s="51">
        <v>1</v>
      </c>
      <c r="L20" s="52">
        <f>D20*K20</f>
        <v>10072</v>
      </c>
      <c r="M20" s="52">
        <f>(J20*4)+L20</f>
        <v>58417.599999999999</v>
      </c>
    </row>
    <row r="21" spans="1:13" s="76" customFormat="1" ht="15.75">
      <c r="A21" s="50" t="s">
        <v>165</v>
      </c>
      <c r="B21" s="43" t="s">
        <v>166</v>
      </c>
      <c r="C21" s="54">
        <v>1</v>
      </c>
      <c r="D21" s="52">
        <v>12354</v>
      </c>
      <c r="E21" s="52">
        <f>C21*D21</f>
        <v>12354</v>
      </c>
      <c r="F21" s="54"/>
      <c r="G21" s="111">
        <f>E21*F21%</f>
        <v>0</v>
      </c>
      <c r="H21" s="52">
        <f>G21</f>
        <v>0</v>
      </c>
      <c r="I21" s="52"/>
      <c r="J21" s="52">
        <f>E21+I21+H21</f>
        <v>12354</v>
      </c>
      <c r="K21" s="51">
        <v>1</v>
      </c>
      <c r="L21" s="52">
        <f>D21*K21</f>
        <v>12354</v>
      </c>
      <c r="M21" s="52">
        <f>(J21*4)+L21</f>
        <v>61770</v>
      </c>
    </row>
    <row r="22" spans="1:13" s="76" customFormat="1" ht="15.75">
      <c r="A22" s="571" t="s">
        <v>162</v>
      </c>
      <c r="B22" s="572"/>
      <c r="C22" s="123">
        <f>SUM(C19:C21)</f>
        <v>3</v>
      </c>
      <c r="D22" s="124"/>
      <c r="E22" s="125">
        <f>SUM(E19:E21)</f>
        <v>31752</v>
      </c>
      <c r="F22" s="125"/>
      <c r="G22" s="125">
        <f t="shared" ref="G22:M22" si="0">SUM(G19:G21)</f>
        <v>3879.6000000000004</v>
      </c>
      <c r="H22" s="125">
        <f t="shared" si="0"/>
        <v>3879.6000000000004</v>
      </c>
      <c r="I22" s="125">
        <f t="shared" si="0"/>
        <v>0</v>
      </c>
      <c r="J22" s="125">
        <f t="shared" si="0"/>
        <v>35631.599999999999</v>
      </c>
      <c r="K22" s="126">
        <f t="shared" si="0"/>
        <v>3</v>
      </c>
      <c r="L22" s="125">
        <f t="shared" si="0"/>
        <v>31752</v>
      </c>
      <c r="M22" s="125">
        <f t="shared" si="0"/>
        <v>174278.39999999999</v>
      </c>
    </row>
    <row r="23" spans="1:13" s="76" customFormat="1" ht="15.75">
      <c r="A23" s="584" t="s">
        <v>260</v>
      </c>
      <c r="B23" s="585"/>
      <c r="C23" s="127">
        <f>SUM(C22+C17)</f>
        <v>6</v>
      </c>
      <c r="D23" s="52"/>
      <c r="E23" s="52">
        <f>E22+E17</f>
        <v>66259</v>
      </c>
      <c r="F23" s="52"/>
      <c r="G23" s="52">
        <f>G22+G17</f>
        <v>8263</v>
      </c>
      <c r="H23" s="52">
        <f>H22+H17</f>
        <v>8263</v>
      </c>
      <c r="I23" s="52">
        <f>I22+I17</f>
        <v>0</v>
      </c>
      <c r="J23" s="52">
        <f>J22+J17</f>
        <v>74522</v>
      </c>
      <c r="K23" s="51"/>
      <c r="L23" s="52">
        <f>L22+L17</f>
        <v>31752</v>
      </c>
      <c r="M23" s="52">
        <f>M22+M17</f>
        <v>329840</v>
      </c>
    </row>
    <row r="24" spans="1:13" s="76" customFormat="1" ht="15.75">
      <c r="A24" s="128" t="s">
        <v>48</v>
      </c>
      <c r="B24" s="128" t="s">
        <v>261</v>
      </c>
      <c r="C24" s="114">
        <f>C23</f>
        <v>6</v>
      </c>
      <c r="D24" s="115"/>
      <c r="E24" s="116">
        <f>E23*4</f>
        <v>265036</v>
      </c>
      <c r="F24" s="116"/>
      <c r="G24" s="116">
        <f>G23*4</f>
        <v>33052</v>
      </c>
      <c r="H24" s="116">
        <f>H23*4</f>
        <v>33052</v>
      </c>
      <c r="I24" s="116"/>
      <c r="J24" s="116">
        <f>J23*4</f>
        <v>298088</v>
      </c>
      <c r="K24" s="114">
        <f>K17+K22</f>
        <v>3</v>
      </c>
      <c r="L24" s="116">
        <f>L17+L22</f>
        <v>31752</v>
      </c>
      <c r="M24" s="116">
        <f>M17+M22</f>
        <v>329840</v>
      </c>
    </row>
    <row r="25" spans="1:13" s="44" customFormat="1" ht="15.75">
      <c r="A25" s="55"/>
      <c r="B25" s="56"/>
      <c r="C25" s="583" t="s">
        <v>167</v>
      </c>
      <c r="D25" s="583"/>
      <c r="E25" s="583"/>
      <c r="F25" s="583"/>
      <c r="G25" s="583"/>
      <c r="H25" s="583"/>
      <c r="I25" s="583"/>
      <c r="J25" s="583"/>
      <c r="K25" s="57"/>
    </row>
    <row r="26" spans="1:13" s="44" customFormat="1" ht="15.75">
      <c r="A26" s="58"/>
      <c r="B26" s="59" t="s">
        <v>168</v>
      </c>
      <c r="C26" s="48"/>
      <c r="D26" s="45"/>
      <c r="E26" s="59" t="s">
        <v>169</v>
      </c>
      <c r="F26" s="60"/>
      <c r="G26" s="58"/>
      <c r="H26" s="58"/>
      <c r="I26" s="58"/>
      <c r="J26" s="61"/>
      <c r="K26" s="57"/>
    </row>
  </sheetData>
  <mergeCells count="19">
    <mergeCell ref="C25:J25"/>
    <mergeCell ref="A23:B23"/>
    <mergeCell ref="B2:L2"/>
    <mergeCell ref="C3:H3"/>
    <mergeCell ref="C6:D6"/>
    <mergeCell ref="A9:A11"/>
    <mergeCell ref="B9:B11"/>
    <mergeCell ref="K9:L10"/>
    <mergeCell ref="C9:C11"/>
    <mergeCell ref="D9:D11"/>
    <mergeCell ref="M9:M11"/>
    <mergeCell ref="A22:B22"/>
    <mergeCell ref="H9:H11"/>
    <mergeCell ref="I9:I11"/>
    <mergeCell ref="F9:G10"/>
    <mergeCell ref="J9:J11"/>
    <mergeCell ref="B13:M13"/>
    <mergeCell ref="A17:B17"/>
    <mergeCell ref="E9:E11"/>
  </mergeCells>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K52"/>
  <sheetViews>
    <sheetView view="pageBreakPreview" topLeftCell="A39" zoomScaleNormal="100" zoomScaleSheetLayoutView="100" workbookViewId="0">
      <selection activeCell="A2" sqref="A2:E2"/>
    </sheetView>
  </sheetViews>
  <sheetFormatPr defaultColWidth="9.140625" defaultRowHeight="15.75"/>
  <cols>
    <col min="1" max="1" width="28.5703125" customWidth="1"/>
    <col min="2" max="2" width="24" style="292" customWidth="1"/>
    <col min="3" max="3" width="25.140625" style="292" customWidth="1"/>
    <col min="4" max="4" width="10.7109375" customWidth="1"/>
    <col min="5" max="5" width="13.42578125" customWidth="1"/>
    <col min="6" max="6" width="12.28515625" customWidth="1"/>
  </cols>
  <sheetData>
    <row r="1" spans="1:5" ht="27" customHeight="1">
      <c r="A1" s="467" t="s">
        <v>299</v>
      </c>
      <c r="B1" s="467"/>
      <c r="C1" s="130" t="str">
        <f>К15_ВоенніЛіто!A6</f>
        <v>КАЛЬКУЛЯЦІЯ №15</v>
      </c>
      <c r="D1" s="137"/>
      <c r="E1" s="137"/>
    </row>
    <row r="2" spans="1:5" ht="67.900000000000006" customHeight="1">
      <c r="A2" s="454" t="str">
        <f>К13_ВоєнніНеопізнанніЛіто!A7</f>
        <v xml:space="preserve">Послуга з організації та проведення на поховання невпізнаних тіл (останків) війсковослужбовців, поліцейських та інших осіб, які загинули (померли) внаслідок збройної агресії проти України у літній період на кладовищах Южненської міської територіальної громади Одеського району Одеської області </v>
      </c>
      <c r="B2" s="454"/>
      <c r="C2" s="454"/>
      <c r="D2" s="454"/>
      <c r="E2" s="454"/>
    </row>
    <row r="3" spans="1:5" ht="56.25" customHeight="1">
      <c r="A3" s="454" t="s">
        <v>321</v>
      </c>
      <c r="B3" s="454"/>
      <c r="C3" s="454"/>
      <c r="D3" s="454"/>
      <c r="E3" s="454"/>
    </row>
    <row r="4" spans="1:5" ht="65.25" customHeight="1">
      <c r="A4" s="447" t="s">
        <v>322</v>
      </c>
      <c r="B4" s="447"/>
      <c r="C4" s="447"/>
      <c r="D4" s="447"/>
      <c r="E4" s="447"/>
    </row>
    <row r="5" spans="1:5" ht="105.75" customHeight="1">
      <c r="A5" s="447" t="s">
        <v>323</v>
      </c>
      <c r="B5" s="447"/>
      <c r="C5" s="447"/>
      <c r="D5" s="447"/>
      <c r="E5" s="447"/>
    </row>
    <row r="6" spans="1:5" ht="93.75" customHeight="1">
      <c r="A6" s="447" t="s">
        <v>572</v>
      </c>
      <c r="B6" s="447"/>
      <c r="C6" s="447"/>
      <c r="D6" s="447"/>
      <c r="E6" s="447"/>
    </row>
    <row r="7" spans="1:5" ht="7.5" customHeight="1" thickBot="1">
      <c r="A7" s="436"/>
      <c r="B7" s="436"/>
      <c r="C7" s="436"/>
      <c r="D7" s="436"/>
    </row>
    <row r="8" spans="1:5" ht="24" customHeight="1" thickBot="1">
      <c r="A8" s="250" t="s">
        <v>1</v>
      </c>
      <c r="B8" s="183" t="s">
        <v>208</v>
      </c>
      <c r="C8" s="251" t="s">
        <v>266</v>
      </c>
      <c r="D8" s="252" t="s">
        <v>193</v>
      </c>
      <c r="E8" s="138" t="s">
        <v>489</v>
      </c>
    </row>
    <row r="9" spans="1:5" ht="18" customHeight="1">
      <c r="A9" s="418" t="s">
        <v>268</v>
      </c>
      <c r="B9" s="253" t="s">
        <v>286</v>
      </c>
      <c r="C9" s="449" t="s">
        <v>284</v>
      </c>
      <c r="D9" s="449" t="s">
        <v>283</v>
      </c>
      <c r="E9" s="451">
        <f>2.2*1.9*1</f>
        <v>4.18</v>
      </c>
    </row>
    <row r="10" spans="1:5" ht="31.5" customHeight="1" thickBot="1">
      <c r="A10" s="448"/>
      <c r="B10" s="272" t="s">
        <v>313</v>
      </c>
      <c r="C10" s="450"/>
      <c r="D10" s="450"/>
      <c r="E10" s="452"/>
    </row>
    <row r="11" spans="1:5" ht="23.25" customHeight="1" thickBot="1">
      <c r="A11" s="466" t="s">
        <v>480</v>
      </c>
      <c r="B11" s="441"/>
      <c r="C11" s="442"/>
      <c r="D11" s="254"/>
      <c r="E11" s="255"/>
    </row>
    <row r="12" spans="1:5" ht="47.25" customHeight="1" thickBot="1">
      <c r="A12" s="256" t="s">
        <v>314</v>
      </c>
      <c r="B12" s="438" t="s">
        <v>490</v>
      </c>
      <c r="C12" s="257" t="s">
        <v>327</v>
      </c>
      <c r="D12" s="257" t="s">
        <v>316</v>
      </c>
      <c r="E12" s="258">
        <f>ROUND(0.14*E9,2)</f>
        <v>0.59</v>
      </c>
    </row>
    <row r="13" spans="1:5" ht="47.25" customHeight="1" thickBot="1">
      <c r="A13" s="259" t="s">
        <v>315</v>
      </c>
      <c r="B13" s="439"/>
      <c r="C13" s="260" t="s">
        <v>317</v>
      </c>
      <c r="D13" s="257" t="s">
        <v>316</v>
      </c>
      <c r="E13" s="364">
        <v>1</v>
      </c>
    </row>
    <row r="14" spans="1:5" ht="23.25" customHeight="1" thickBot="1">
      <c r="A14" s="466" t="s">
        <v>324</v>
      </c>
      <c r="B14" s="441"/>
      <c r="C14" s="442"/>
      <c r="D14" s="262" t="s">
        <v>56</v>
      </c>
      <c r="E14" s="376">
        <f>E15+E16</f>
        <v>233.01000000000002</v>
      </c>
    </row>
    <row r="15" spans="1:5" ht="33" customHeight="1" thickBot="1">
      <c r="A15" s="256" t="s">
        <v>314</v>
      </c>
      <c r="B15" s="438" t="s">
        <v>319</v>
      </c>
      <c r="C15" s="257" t="s">
        <v>358</v>
      </c>
      <c r="D15" s="262" t="s">
        <v>56</v>
      </c>
      <c r="E15" s="263">
        <f>ROUND(E12*E17*5,2)</f>
        <v>174.02</v>
      </c>
    </row>
    <row r="16" spans="1:5" ht="35.25" customHeight="1" thickBot="1">
      <c r="A16" s="264" t="s">
        <v>362</v>
      </c>
      <c r="B16" s="439"/>
      <c r="C16" s="260" t="s">
        <v>365</v>
      </c>
      <c r="D16" s="262" t="s">
        <v>56</v>
      </c>
      <c r="E16" s="263">
        <f>ROUND(E13*E17*10/10,2)</f>
        <v>58.99</v>
      </c>
    </row>
    <row r="17" spans="1:5" ht="23.25" customHeight="1" thickBot="1">
      <c r="A17" s="265" t="s">
        <v>318</v>
      </c>
      <c r="B17" s="443" t="s">
        <v>320</v>
      </c>
      <c r="C17" s="444"/>
      <c r="D17" s="262" t="s">
        <v>56</v>
      </c>
      <c r="E17" s="141">
        <v>58.99</v>
      </c>
    </row>
    <row r="18" spans="1:5" ht="23.25" customHeight="1" thickBot="1">
      <c r="A18" s="465" t="s">
        <v>579</v>
      </c>
      <c r="B18" s="434"/>
      <c r="C18" s="437"/>
      <c r="D18" s="262" t="s">
        <v>56</v>
      </c>
      <c r="E18" s="376">
        <f>E19+E20</f>
        <v>1268.57</v>
      </c>
    </row>
    <row r="19" spans="1:5" ht="36.75" customHeight="1" thickBot="1">
      <c r="A19" s="266" t="s">
        <v>325</v>
      </c>
      <c r="B19" s="445" t="s">
        <v>326</v>
      </c>
      <c r="C19" s="257" t="s">
        <v>555</v>
      </c>
      <c r="D19" s="262" t="s">
        <v>56</v>
      </c>
      <c r="E19" s="263">
        <f>ROUND(1838.51*E12,2)</f>
        <v>1084.72</v>
      </c>
    </row>
    <row r="20" spans="1:5" ht="32.25" customHeight="1" thickBot="1">
      <c r="A20" s="264" t="s">
        <v>362</v>
      </c>
      <c r="B20" s="446"/>
      <c r="C20" s="267" t="s">
        <v>578</v>
      </c>
      <c r="D20" s="262" t="s">
        <v>56</v>
      </c>
      <c r="E20" s="258">
        <f>ROUND(1838.51*E13/10,2)</f>
        <v>183.85</v>
      </c>
    </row>
    <row r="21" spans="1:5" ht="34.5" customHeight="1" thickBot="1">
      <c r="A21" s="433" t="s">
        <v>483</v>
      </c>
      <c r="B21" s="434"/>
      <c r="C21" s="435"/>
      <c r="D21" s="268" t="s">
        <v>56</v>
      </c>
      <c r="E21" s="322">
        <f>E14+E18</f>
        <v>1501.58</v>
      </c>
    </row>
    <row r="22" spans="1:5" ht="18.75" customHeight="1">
      <c r="A22" s="418" t="s">
        <v>292</v>
      </c>
      <c r="B22" s="253" t="s">
        <v>293</v>
      </c>
      <c r="C22" s="420" t="s">
        <v>359</v>
      </c>
      <c r="D22" s="432" t="s">
        <v>56</v>
      </c>
      <c r="E22" s="424">
        <f>ROUND(E34*2.2*0.1,2)</f>
        <v>17.13</v>
      </c>
    </row>
    <row r="23" spans="1:5" ht="33" customHeight="1" thickBot="1">
      <c r="A23" s="419"/>
      <c r="B23" s="290" t="s">
        <v>271</v>
      </c>
      <c r="C23" s="421"/>
      <c r="D23" s="429"/>
      <c r="E23" s="425"/>
    </row>
    <row r="24" spans="1:5" ht="18.75" customHeight="1">
      <c r="A24" s="418" t="s">
        <v>270</v>
      </c>
      <c r="B24" s="253" t="s">
        <v>295</v>
      </c>
      <c r="C24" s="420" t="s">
        <v>360</v>
      </c>
      <c r="D24" s="432" t="s">
        <v>56</v>
      </c>
      <c r="E24" s="424">
        <f>ROUND(E34*2.2*0.13,2)</f>
        <v>22.27</v>
      </c>
    </row>
    <row r="25" spans="1:5" ht="33" customHeight="1" thickBot="1">
      <c r="A25" s="419"/>
      <c r="B25" s="290" t="s">
        <v>271</v>
      </c>
      <c r="C25" s="421"/>
      <c r="D25" s="429"/>
      <c r="E25" s="425"/>
    </row>
    <row r="26" spans="1:5" ht="18.75" customHeight="1">
      <c r="A26" s="413" t="s">
        <v>328</v>
      </c>
      <c r="B26" s="428" t="s">
        <v>329</v>
      </c>
      <c r="C26" s="430" t="s">
        <v>330</v>
      </c>
      <c r="D26" s="428" t="s">
        <v>285</v>
      </c>
      <c r="E26" s="431">
        <f>ROUND(0.125*((2.2*1)+(2.2+1 )*2*1.9),2)</f>
        <v>1.8</v>
      </c>
    </row>
    <row r="27" spans="1:5" ht="44.25" customHeight="1" thickBot="1">
      <c r="A27" s="413"/>
      <c r="B27" s="429"/>
      <c r="C27" s="430"/>
      <c r="D27" s="429"/>
      <c r="E27" s="431"/>
    </row>
    <row r="28" spans="1:5" ht="34.5" hidden="1" customHeight="1">
      <c r="A28" s="418"/>
      <c r="B28" s="183"/>
      <c r="C28" s="463"/>
      <c r="D28" s="426"/>
      <c r="E28" s="424"/>
    </row>
    <row r="29" spans="1:5" ht="34.5" hidden="1" customHeight="1" thickBot="1">
      <c r="A29" s="419"/>
      <c r="B29" s="289"/>
      <c r="C29" s="464"/>
      <c r="D29" s="427"/>
      <c r="E29" s="425"/>
    </row>
    <row r="30" spans="1:5" ht="18.75" customHeight="1">
      <c r="A30" s="418" t="s">
        <v>272</v>
      </c>
      <c r="B30" s="253" t="s">
        <v>296</v>
      </c>
      <c r="C30" s="420" t="s">
        <v>374</v>
      </c>
      <c r="D30" s="422" t="s">
        <v>285</v>
      </c>
      <c r="E30" s="424">
        <f>ROUND(0.58*E9,2)</f>
        <v>2.42</v>
      </c>
    </row>
    <row r="31" spans="1:5" ht="37.5" customHeight="1" thickBot="1">
      <c r="A31" s="419"/>
      <c r="B31" s="290" t="s">
        <v>273</v>
      </c>
      <c r="C31" s="421"/>
      <c r="D31" s="423"/>
      <c r="E31" s="425"/>
    </row>
    <row r="32" spans="1:5" ht="28.5" customHeight="1" thickBot="1">
      <c r="A32" s="418" t="s">
        <v>301</v>
      </c>
      <c r="B32" s="253" t="s">
        <v>274</v>
      </c>
      <c r="C32" s="172" t="s">
        <v>397</v>
      </c>
      <c r="D32" s="422" t="s">
        <v>285</v>
      </c>
      <c r="E32" s="141">
        <f>E30+E26</f>
        <v>4.22</v>
      </c>
    </row>
    <row r="33" spans="1:11" ht="35.25" customHeight="1" thickBot="1">
      <c r="A33" s="419"/>
      <c r="B33" s="290" t="s">
        <v>275</v>
      </c>
      <c r="C33" s="174" t="s">
        <v>429</v>
      </c>
      <c r="D33" s="423"/>
      <c r="E33" s="182">
        <f>ROUND(E32*1.3,2)</f>
        <v>5.49</v>
      </c>
    </row>
    <row r="34" spans="1:11" ht="51" customHeight="1" thickBot="1">
      <c r="A34" s="270" t="s">
        <v>264</v>
      </c>
      <c r="B34" s="291" t="s">
        <v>289</v>
      </c>
      <c r="C34" s="271"/>
      <c r="D34" s="272" t="s">
        <v>56</v>
      </c>
      <c r="E34" s="142">
        <f>СПР_ШТ!D14</f>
        <v>77.87</v>
      </c>
    </row>
    <row r="35" spans="1:11" ht="113.25" customHeight="1" thickBot="1">
      <c r="A35" s="273" t="s">
        <v>333</v>
      </c>
      <c r="B35" s="257" t="s">
        <v>303</v>
      </c>
      <c r="C35" s="274" t="s">
        <v>430</v>
      </c>
      <c r="D35" s="257" t="s">
        <v>56</v>
      </c>
      <c r="E35" s="141">
        <f>ROUND(E34*E33,2)</f>
        <v>427.51</v>
      </c>
    </row>
    <row r="36" spans="1:11" ht="47.25" customHeight="1" thickBot="1">
      <c r="A36" s="275" t="s">
        <v>276</v>
      </c>
      <c r="B36" s="276"/>
      <c r="C36" s="277" t="s">
        <v>431</v>
      </c>
      <c r="D36" s="183" t="s">
        <v>56</v>
      </c>
      <c r="E36" s="143">
        <f>E35+E24+E22</f>
        <v>466.90999999999997</v>
      </c>
    </row>
    <row r="37" spans="1:11" ht="34.5" customHeight="1" thickBot="1">
      <c r="A37" s="270" t="s">
        <v>277</v>
      </c>
      <c r="B37" s="278">
        <v>0.22</v>
      </c>
      <c r="C37" s="277" t="s">
        <v>432</v>
      </c>
      <c r="D37" s="183" t="s">
        <v>56</v>
      </c>
      <c r="E37" s="185">
        <f>ROUND(E36*0.22,2)</f>
        <v>102.72</v>
      </c>
    </row>
    <row r="38" spans="1:11" ht="33" customHeight="1" thickBot="1">
      <c r="A38" s="279" t="s">
        <v>227</v>
      </c>
      <c r="B38" s="280" t="s">
        <v>290</v>
      </c>
      <c r="C38" s="281"/>
      <c r="D38" s="183" t="s">
        <v>56</v>
      </c>
      <c r="E38" s="185">
        <f>МатВит!G33</f>
        <v>75.739999999999995</v>
      </c>
    </row>
    <row r="39" spans="1:11" ht="32.25" customHeight="1" thickBot="1">
      <c r="A39" s="275" t="s">
        <v>278</v>
      </c>
      <c r="B39" s="280"/>
      <c r="C39" s="277" t="s">
        <v>557</v>
      </c>
      <c r="D39" s="257" t="s">
        <v>56</v>
      </c>
      <c r="E39" s="143">
        <f>E37+E36+E38+E21</f>
        <v>2146.9499999999998</v>
      </c>
    </row>
    <row r="40" spans="1:11" ht="18.75" customHeight="1" thickBot="1">
      <c r="A40" s="282" t="s">
        <v>279</v>
      </c>
      <c r="B40" s="278">
        <v>0.15</v>
      </c>
      <c r="C40" s="277" t="s">
        <v>558</v>
      </c>
      <c r="D40" s="184" t="s">
        <v>56</v>
      </c>
      <c r="E40" s="185">
        <f>ROUND(E39*0.15,2)</f>
        <v>322.04000000000002</v>
      </c>
    </row>
    <row r="41" spans="1:11" ht="18.75" customHeight="1" thickBot="1">
      <c r="A41" s="282" t="s">
        <v>298</v>
      </c>
      <c r="B41" s="278">
        <v>0.05</v>
      </c>
      <c r="C41" s="277" t="s">
        <v>559</v>
      </c>
      <c r="D41" s="184" t="s">
        <v>56</v>
      </c>
      <c r="E41" s="185">
        <f>ROUND(E39*0.05,2)</f>
        <v>107.35</v>
      </c>
    </row>
    <row r="42" spans="1:11" ht="18.75" customHeight="1" thickBot="1">
      <c r="A42" s="282" t="s">
        <v>280</v>
      </c>
      <c r="B42" s="280" t="s">
        <v>297</v>
      </c>
      <c r="C42" s="281"/>
      <c r="D42" s="184" t="s">
        <v>56</v>
      </c>
      <c r="E42" s="185">
        <f>ОпВитратиРоз3!D12</f>
        <v>67.489999999999995</v>
      </c>
    </row>
    <row r="43" spans="1:11" ht="33" customHeight="1" thickBot="1">
      <c r="A43" s="414" t="s">
        <v>281</v>
      </c>
      <c r="B43" s="416">
        <v>0.12</v>
      </c>
      <c r="C43" s="388" t="s">
        <v>560</v>
      </c>
      <c r="D43" s="184" t="s">
        <v>56</v>
      </c>
      <c r="E43" s="182">
        <f>E39+E40+E42+E41</f>
        <v>2643.8299999999995</v>
      </c>
    </row>
    <row r="44" spans="1:11" ht="24" customHeight="1" thickBot="1">
      <c r="A44" s="415"/>
      <c r="B44" s="417"/>
      <c r="C44" s="277" t="s">
        <v>561</v>
      </c>
      <c r="D44" s="184" t="s">
        <v>56</v>
      </c>
      <c r="E44" s="185">
        <f>ROUND(E43*B43,2)</f>
        <v>317.26</v>
      </c>
    </row>
    <row r="45" spans="1:11" ht="24.75" customHeight="1" thickBot="1">
      <c r="A45" s="283" t="s">
        <v>282</v>
      </c>
      <c r="B45" s="284"/>
      <c r="C45" s="277" t="s">
        <v>562</v>
      </c>
      <c r="D45" s="184" t="s">
        <v>56</v>
      </c>
      <c r="E45" s="144">
        <f>E44+E43</f>
        <v>2961.0899999999992</v>
      </c>
    </row>
    <row r="46" spans="1:11">
      <c r="A46" s="130"/>
    </row>
    <row r="47" spans="1:11">
      <c r="A47" s="285"/>
    </row>
    <row r="48" spans="1:11" s="44" customFormat="1">
      <c r="A48" s="45" t="s">
        <v>168</v>
      </c>
      <c r="B48" s="48"/>
      <c r="C48" s="45"/>
      <c r="D48" s="45" t="s">
        <v>169</v>
      </c>
      <c r="F48" s="60"/>
      <c r="G48" s="176"/>
      <c r="H48" s="176"/>
      <c r="I48" s="176"/>
      <c r="J48" s="177"/>
      <c r="K48" s="178"/>
    </row>
    <row r="49" spans="1:1">
      <c r="A49" s="130"/>
    </row>
    <row r="50" spans="1:1">
      <c r="A50" s="285"/>
    </row>
    <row r="51" spans="1:1">
      <c r="A51" s="130"/>
    </row>
    <row r="52" spans="1:1">
      <c r="A52" s="286"/>
    </row>
  </sheetData>
  <mergeCells count="44">
    <mergeCell ref="A1:B1"/>
    <mergeCell ref="A2:E2"/>
    <mergeCell ref="A3:E3"/>
    <mergeCell ref="A4:E4"/>
    <mergeCell ref="A5:E5"/>
    <mergeCell ref="A6:E6"/>
    <mergeCell ref="A9:A10"/>
    <mergeCell ref="C9:C10"/>
    <mergeCell ref="D9:D10"/>
    <mergeCell ref="E9:E10"/>
    <mergeCell ref="A21:C21"/>
    <mergeCell ref="A7:D7"/>
    <mergeCell ref="A18:C18"/>
    <mergeCell ref="A24:A25"/>
    <mergeCell ref="C24:C25"/>
    <mergeCell ref="D24:D25"/>
    <mergeCell ref="A22:A23"/>
    <mergeCell ref="C22:C23"/>
    <mergeCell ref="B12:B13"/>
    <mergeCell ref="A14:C14"/>
    <mergeCell ref="B15:B16"/>
    <mergeCell ref="B17:C17"/>
    <mergeCell ref="B19:B20"/>
    <mergeCell ref="A11:C11"/>
    <mergeCell ref="E24:E25"/>
    <mergeCell ref="E22:E23"/>
    <mergeCell ref="E28:E29"/>
    <mergeCell ref="B26:B27"/>
    <mergeCell ref="C26:C27"/>
    <mergeCell ref="E26:E27"/>
    <mergeCell ref="D22:D23"/>
    <mergeCell ref="D26:D27"/>
    <mergeCell ref="D30:D31"/>
    <mergeCell ref="E30:E31"/>
    <mergeCell ref="D32:D33"/>
    <mergeCell ref="A28:A29"/>
    <mergeCell ref="C28:C29"/>
    <mergeCell ref="D28:D29"/>
    <mergeCell ref="A26:A27"/>
    <mergeCell ref="A43:A44"/>
    <mergeCell ref="B43:B44"/>
    <mergeCell ref="A30:A31"/>
    <mergeCell ref="C30:C31"/>
    <mergeCell ref="A32:A33"/>
  </mergeCells>
  <phoneticPr fontId="5" type="noConversion"/>
  <pageMargins left="0.9055118110236221" right="0.31496062992125984" top="0.55118110236220474" bottom="0.35433070866141736" header="0.31496062992125984" footer="0.31496062992125984"/>
  <pageSetup paperSize="9" scale="90" orientation="portrait" horizontalDpi="300" verticalDpi="300" r:id="rId1"/>
  <rowBreaks count="1" manualBreakCount="1">
    <brk id="21"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7030A0"/>
  </sheetPr>
  <dimension ref="A1:J4"/>
  <sheetViews>
    <sheetView workbookViewId="0">
      <selection activeCell="E14" sqref="E14"/>
    </sheetView>
  </sheetViews>
  <sheetFormatPr defaultRowHeight="15"/>
  <cols>
    <col min="1" max="1" width="9.140625" style="25"/>
    <col min="2" max="2" width="10.140625" style="25" bestFit="1" customWidth="1"/>
    <col min="3" max="3" width="9.140625" style="25"/>
    <col min="4" max="4" width="20" style="25" customWidth="1"/>
    <col min="5" max="10" width="9.140625" style="25"/>
  </cols>
  <sheetData>
    <row r="1" spans="1:7">
      <c r="E1" s="25" t="s">
        <v>524</v>
      </c>
    </row>
    <row r="2" spans="1:7" ht="34.15" customHeight="1">
      <c r="A2" s="589" t="s">
        <v>189</v>
      </c>
      <c r="B2" s="589"/>
      <c r="C2" s="589"/>
      <c r="D2" s="589"/>
      <c r="E2" s="589"/>
      <c r="F2" s="589"/>
      <c r="G2" s="589"/>
    </row>
    <row r="3" spans="1:7" ht="78.75" customHeight="1">
      <c r="A3" s="27">
        <v>2023</v>
      </c>
      <c r="B3" s="362">
        <v>45535</v>
      </c>
      <c r="C3" s="27" t="s">
        <v>190</v>
      </c>
      <c r="D3" s="363" t="s">
        <v>191</v>
      </c>
    </row>
    <row r="4" spans="1:7">
      <c r="A4" s="27">
        <v>325</v>
      </c>
      <c r="B4" s="27">
        <v>194</v>
      </c>
      <c r="C4" s="27">
        <f>A4+B4</f>
        <v>519</v>
      </c>
      <c r="D4" s="27">
        <f>C4/20</f>
        <v>25.95</v>
      </c>
    </row>
  </sheetData>
  <mergeCells count="1">
    <mergeCell ref="A2:G2"/>
  </mergeCells>
  <phoneticPr fontId="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7030A0"/>
  </sheetPr>
  <dimension ref="A1:L13"/>
  <sheetViews>
    <sheetView view="pageBreakPreview" zoomScale="83" zoomScaleNormal="100" zoomScaleSheetLayoutView="83" workbookViewId="0">
      <selection activeCell="T26" sqref="T26"/>
    </sheetView>
  </sheetViews>
  <sheetFormatPr defaultColWidth="9.140625" defaultRowHeight="15"/>
  <cols>
    <col min="1" max="1" width="32.140625" style="66" customWidth="1"/>
    <col min="2" max="2" width="8.28515625" style="67" customWidth="1"/>
    <col min="3" max="3" width="6.5703125" style="66" customWidth="1"/>
    <col min="4" max="4" width="9.5703125" style="66" customWidth="1"/>
    <col min="5" max="5" width="12" style="66" customWidth="1"/>
    <col min="6" max="16384" width="9.140625" style="25"/>
  </cols>
  <sheetData>
    <row r="1" spans="1:12" s="70" customFormat="1" ht="21.75" customHeight="1">
      <c r="A1" s="567" t="s">
        <v>228</v>
      </c>
      <c r="B1" s="567"/>
      <c r="C1" s="567"/>
      <c r="D1" s="567"/>
      <c r="E1" s="567"/>
    </row>
    <row r="2" spans="1:12" ht="45" customHeight="1" thickBot="1">
      <c r="A2" s="591" t="s">
        <v>153</v>
      </c>
      <c r="B2" s="591"/>
      <c r="C2" s="591"/>
      <c r="D2" s="591"/>
      <c r="E2" s="591"/>
      <c r="F2" s="160"/>
      <c r="G2" s="160"/>
    </row>
    <row r="3" spans="1:12" ht="30.75" thickBot="1">
      <c r="A3" s="221" t="s">
        <v>486</v>
      </c>
      <c r="B3" s="222" t="s">
        <v>178</v>
      </c>
      <c r="C3" s="223" t="s">
        <v>179</v>
      </c>
      <c r="D3" s="224" t="s">
        <v>180</v>
      </c>
      <c r="E3" s="231" t="s">
        <v>181</v>
      </c>
    </row>
    <row r="4" spans="1:12" ht="45.6" customHeight="1">
      <c r="A4" s="218" t="s">
        <v>182</v>
      </c>
      <c r="B4" s="219">
        <v>144.6</v>
      </c>
      <c r="C4" s="220">
        <v>3.22</v>
      </c>
      <c r="D4" s="225">
        <f>B4*C4</f>
        <v>465.61200000000002</v>
      </c>
      <c r="E4" s="232">
        <f>D4*12</f>
        <v>5587.3440000000001</v>
      </c>
    </row>
    <row r="5" spans="1:12" s="6" customFormat="1" ht="18" customHeight="1">
      <c r="A5" s="166" t="s">
        <v>183</v>
      </c>
      <c r="B5" s="159">
        <v>100</v>
      </c>
      <c r="C5" s="77">
        <v>9.91</v>
      </c>
      <c r="D5" s="226">
        <f>B5*C5</f>
        <v>991</v>
      </c>
      <c r="E5" s="233">
        <f>D5*12</f>
        <v>11892</v>
      </c>
      <c r="F5" s="40"/>
      <c r="G5" s="40"/>
      <c r="H5" s="40"/>
      <c r="I5" s="40"/>
      <c r="J5" s="40"/>
      <c r="K5" s="40"/>
      <c r="L5" s="40"/>
    </row>
    <row r="6" spans="1:12" s="6" customFormat="1" ht="18" customHeight="1">
      <c r="A6" s="166" t="s">
        <v>184</v>
      </c>
      <c r="B6" s="159"/>
      <c r="C6" s="77"/>
      <c r="D6" s="226"/>
      <c r="E6" s="233"/>
      <c r="F6" s="40"/>
      <c r="G6" s="40"/>
      <c r="H6" s="40"/>
      <c r="I6" s="40"/>
      <c r="J6" s="40"/>
      <c r="K6" s="40"/>
      <c r="L6" s="40"/>
    </row>
    <row r="7" spans="1:12" s="6" customFormat="1" ht="18" customHeight="1">
      <c r="A7" s="166" t="s">
        <v>185</v>
      </c>
      <c r="B7" s="159"/>
      <c r="C7" s="77"/>
      <c r="D7" s="226">
        <v>133.75</v>
      </c>
      <c r="E7" s="233">
        <f>D7*12</f>
        <v>1605</v>
      </c>
      <c r="F7" s="40"/>
      <c r="G7" s="40"/>
      <c r="H7" s="40"/>
      <c r="I7" s="40"/>
      <c r="J7" s="40"/>
      <c r="K7" s="40"/>
      <c r="L7" s="40"/>
    </row>
    <row r="8" spans="1:12" s="6" customFormat="1" ht="18" customHeight="1">
      <c r="A8" s="166" t="s">
        <v>186</v>
      </c>
      <c r="B8" s="159"/>
      <c r="C8" s="77"/>
      <c r="D8" s="226">
        <v>44.39</v>
      </c>
      <c r="E8" s="233">
        <f>D8*12</f>
        <v>532.68000000000006</v>
      </c>
      <c r="F8" s="40"/>
      <c r="G8" s="40"/>
      <c r="H8" s="40"/>
      <c r="I8" s="40"/>
      <c r="J8" s="40"/>
      <c r="K8" s="40"/>
      <c r="L8" s="40"/>
    </row>
    <row r="9" spans="1:12" s="6" customFormat="1" ht="18" customHeight="1">
      <c r="A9" s="167" t="s">
        <v>187</v>
      </c>
      <c r="B9" s="159"/>
      <c r="C9" s="77"/>
      <c r="D9" s="227">
        <v>0</v>
      </c>
      <c r="E9" s="234">
        <v>0</v>
      </c>
      <c r="F9" s="65"/>
      <c r="G9" s="65"/>
      <c r="H9" s="65"/>
      <c r="I9" s="65"/>
      <c r="J9" s="65"/>
      <c r="K9" s="65"/>
      <c r="L9" s="65"/>
    </row>
    <row r="10" spans="1:12" s="6" customFormat="1" ht="18" customHeight="1" thickBot="1">
      <c r="A10" s="168" t="s">
        <v>188</v>
      </c>
      <c r="B10" s="161"/>
      <c r="C10" s="162">
        <v>120</v>
      </c>
      <c r="D10" s="228">
        <v>120</v>
      </c>
      <c r="E10" s="235">
        <f>D10*12</f>
        <v>1440</v>
      </c>
      <c r="F10" s="65"/>
      <c r="G10" s="65"/>
      <c r="H10" s="65"/>
      <c r="I10" s="65"/>
      <c r="J10" s="65"/>
      <c r="K10" s="65"/>
      <c r="L10" s="65"/>
    </row>
    <row r="11" spans="1:12" s="6" customFormat="1" ht="18" customHeight="1" thickBot="1">
      <c r="A11" s="164" t="s">
        <v>152</v>
      </c>
      <c r="B11" s="165"/>
      <c r="C11" s="163"/>
      <c r="D11" s="229">
        <f>SUM(D4:D10)</f>
        <v>1754.7520000000002</v>
      </c>
      <c r="E11" s="236">
        <f>SUM(E4:E10)</f>
        <v>21057.024000000001</v>
      </c>
      <c r="F11" s="65"/>
      <c r="G11" s="65"/>
      <c r="H11" s="65"/>
      <c r="I11" s="62"/>
      <c r="K11" s="62"/>
      <c r="L11" s="62"/>
    </row>
    <row r="12" spans="1:12" ht="22.5" customHeight="1" thickBot="1">
      <c r="A12" s="169" t="s">
        <v>196</v>
      </c>
      <c r="B12" s="170"/>
      <c r="C12" s="171"/>
      <c r="D12" s="230">
        <f>ROUND(D11/26,2)</f>
        <v>67.489999999999995</v>
      </c>
      <c r="E12" s="237"/>
    </row>
    <row r="13" spans="1:12" ht="57" customHeight="1">
      <c r="A13" s="590" t="s">
        <v>192</v>
      </c>
      <c r="B13" s="590"/>
      <c r="C13" s="590"/>
      <c r="D13" s="590"/>
      <c r="E13" s="590"/>
      <c r="F13" s="68"/>
      <c r="G13" s="68"/>
      <c r="H13" s="68"/>
    </row>
  </sheetData>
  <mergeCells count="3">
    <mergeCell ref="A13:E13"/>
    <mergeCell ref="A1:E1"/>
    <mergeCell ref="A2:E2"/>
  </mergeCells>
  <phoneticPr fontId="5" type="noConversion"/>
  <pageMargins left="1.1023622047244095" right="0.70866141732283472" top="0.74803149606299213" bottom="0.74803149606299213" header="0.31496062992125984" footer="0.31496062992125984"/>
  <pageSetup paperSize="9" scale="110"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7030A0"/>
  </sheetPr>
  <dimension ref="A1:K33"/>
  <sheetViews>
    <sheetView view="pageBreakPreview" zoomScaleNormal="100" workbookViewId="0">
      <selection activeCell="E14" sqref="E14"/>
    </sheetView>
  </sheetViews>
  <sheetFormatPr defaultColWidth="9.140625" defaultRowHeight="15"/>
  <cols>
    <col min="1" max="1" width="6.7109375" style="6" customWidth="1"/>
    <col min="2" max="2" width="25.140625" style="6" customWidth="1"/>
    <col min="3" max="3" width="9.42578125" style="70" customWidth="1"/>
    <col min="4" max="4" width="7.5703125" style="6" customWidth="1"/>
    <col min="5" max="5" width="6.42578125" style="70" customWidth="1"/>
    <col min="6" max="6" width="7.85546875" style="6" customWidth="1"/>
    <col min="7" max="7" width="8.5703125" style="6" customWidth="1"/>
    <col min="8" max="8" width="13" style="6" customWidth="1"/>
    <col min="9" max="9" width="1.140625" style="6" customWidth="1"/>
    <col min="10" max="11" width="9.140625" style="6"/>
    <col min="12" max="16384" width="9.140625" style="25"/>
  </cols>
  <sheetData>
    <row r="1" spans="1:8" s="70" customFormat="1" ht="17.25" customHeight="1">
      <c r="A1" s="567" t="s">
        <v>291</v>
      </c>
      <c r="B1" s="567"/>
      <c r="C1" s="567"/>
      <c r="D1" s="567"/>
      <c r="E1" s="567"/>
      <c r="F1" s="567"/>
      <c r="G1" s="567"/>
      <c r="H1" s="567"/>
    </row>
    <row r="2" spans="1:8" ht="12.6" customHeight="1"/>
    <row r="3" spans="1:8" ht="8.4499999999999993" customHeight="1"/>
    <row r="4" spans="1:8">
      <c r="A4" s="404" t="s">
        <v>26</v>
      </c>
      <c r="B4" s="404"/>
      <c r="C4" s="404"/>
      <c r="D4" s="404"/>
      <c r="E4" s="404"/>
      <c r="F4" s="404"/>
      <c r="G4" s="404"/>
      <c r="H4" s="404"/>
    </row>
    <row r="5" spans="1:8" ht="15.75" thickBot="1"/>
    <row r="6" spans="1:8" ht="65.25" customHeight="1" thickBot="1">
      <c r="A6" s="194" t="s">
        <v>68</v>
      </c>
      <c r="B6" s="195" t="s">
        <v>69</v>
      </c>
      <c r="C6" s="196" t="s">
        <v>70</v>
      </c>
      <c r="D6" s="197" t="s">
        <v>71</v>
      </c>
      <c r="E6" s="196" t="s">
        <v>148</v>
      </c>
      <c r="F6" s="195" t="s">
        <v>150</v>
      </c>
      <c r="G6" s="209" t="s">
        <v>125</v>
      </c>
      <c r="H6" s="213" t="s">
        <v>72</v>
      </c>
    </row>
    <row r="7" spans="1:8">
      <c r="A7" s="198">
        <v>1</v>
      </c>
      <c r="B7" s="199" t="s">
        <v>73</v>
      </c>
      <c r="C7" s="200">
        <v>270</v>
      </c>
      <c r="D7" s="201" t="s">
        <v>21</v>
      </c>
      <c r="E7" s="202">
        <f>1/6</f>
        <v>0.16666666666666666</v>
      </c>
      <c r="F7" s="201">
        <f>C7/E7</f>
        <v>1620</v>
      </c>
      <c r="G7" s="210">
        <v>4</v>
      </c>
      <c r="H7" s="214">
        <f>F7*G7</f>
        <v>6480</v>
      </c>
    </row>
    <row r="8" spans="1:8">
      <c r="A8" s="203">
        <v>2</v>
      </c>
      <c r="B8" s="17" t="s">
        <v>94</v>
      </c>
      <c r="C8" s="75">
        <v>440</v>
      </c>
      <c r="D8" s="18" t="s">
        <v>21</v>
      </c>
      <c r="E8" s="72">
        <v>2</v>
      </c>
      <c r="F8" s="18">
        <f t="shared" ref="F8:F28" si="0">C8/E8</f>
        <v>220</v>
      </c>
      <c r="G8" s="211">
        <v>2</v>
      </c>
      <c r="H8" s="215">
        <f t="shared" ref="H8:H28" si="1">F8*G8</f>
        <v>440</v>
      </c>
    </row>
    <row r="9" spans="1:8">
      <c r="A9" s="203">
        <v>3</v>
      </c>
      <c r="B9" s="17" t="s">
        <v>74</v>
      </c>
      <c r="C9" s="75">
        <v>349</v>
      </c>
      <c r="D9" s="18" t="s">
        <v>21</v>
      </c>
      <c r="E9" s="72">
        <v>1</v>
      </c>
      <c r="F9" s="18">
        <f t="shared" si="0"/>
        <v>349</v>
      </c>
      <c r="G9" s="211">
        <v>4</v>
      </c>
      <c r="H9" s="215">
        <f t="shared" si="1"/>
        <v>1396</v>
      </c>
    </row>
    <row r="10" spans="1:8" ht="15" customHeight="1">
      <c r="A10" s="203">
        <v>4</v>
      </c>
      <c r="B10" s="34" t="s">
        <v>75</v>
      </c>
      <c r="C10" s="75">
        <v>609</v>
      </c>
      <c r="D10" s="18" t="s">
        <v>21</v>
      </c>
      <c r="E10" s="72">
        <v>5</v>
      </c>
      <c r="F10" s="18">
        <f t="shared" si="0"/>
        <v>121.8</v>
      </c>
      <c r="G10" s="211">
        <v>1</v>
      </c>
      <c r="H10" s="215">
        <f t="shared" si="1"/>
        <v>121.8</v>
      </c>
    </row>
    <row r="11" spans="1:8" ht="15" customHeight="1">
      <c r="A11" s="203">
        <v>5</v>
      </c>
      <c r="B11" s="17" t="s">
        <v>76</v>
      </c>
      <c r="C11" s="75">
        <v>180</v>
      </c>
      <c r="D11" s="18" t="s">
        <v>21</v>
      </c>
      <c r="E11" s="72">
        <v>2</v>
      </c>
      <c r="F11" s="18">
        <f t="shared" si="0"/>
        <v>90</v>
      </c>
      <c r="G11" s="211">
        <v>1</v>
      </c>
      <c r="H11" s="215">
        <f t="shared" si="1"/>
        <v>90</v>
      </c>
    </row>
    <row r="12" spans="1:8" ht="15" customHeight="1">
      <c r="A12" s="203">
        <v>6</v>
      </c>
      <c r="B12" s="17" t="s">
        <v>109</v>
      </c>
      <c r="C12" s="75">
        <v>115</v>
      </c>
      <c r="D12" s="18" t="s">
        <v>21</v>
      </c>
      <c r="E12" s="71">
        <f>1/6</f>
        <v>0.16666666666666666</v>
      </c>
      <c r="F12" s="18">
        <f t="shared" si="0"/>
        <v>690</v>
      </c>
      <c r="G12" s="211">
        <v>2</v>
      </c>
      <c r="H12" s="215">
        <f t="shared" si="1"/>
        <v>1380</v>
      </c>
    </row>
    <row r="13" spans="1:8" ht="15" customHeight="1">
      <c r="A13" s="203">
        <v>7</v>
      </c>
      <c r="B13" s="17" t="s">
        <v>77</v>
      </c>
      <c r="C13" s="75">
        <v>210</v>
      </c>
      <c r="D13" s="18" t="s">
        <v>21</v>
      </c>
      <c r="E13" s="71">
        <f>1/6</f>
        <v>0.16666666666666666</v>
      </c>
      <c r="F13" s="18">
        <f t="shared" si="0"/>
        <v>1260</v>
      </c>
      <c r="G13" s="211">
        <v>2</v>
      </c>
      <c r="H13" s="215">
        <f t="shared" si="1"/>
        <v>2520</v>
      </c>
    </row>
    <row r="14" spans="1:8" ht="15" customHeight="1">
      <c r="A14" s="203">
        <v>8</v>
      </c>
      <c r="B14" s="17" t="s">
        <v>82</v>
      </c>
      <c r="C14" s="75">
        <v>11.78</v>
      </c>
      <c r="D14" s="18" t="s">
        <v>81</v>
      </c>
      <c r="E14" s="73">
        <v>0.5</v>
      </c>
      <c r="F14" s="18">
        <f t="shared" si="0"/>
        <v>23.56</v>
      </c>
      <c r="G14" s="211">
        <v>20</v>
      </c>
      <c r="H14" s="215">
        <f t="shared" si="1"/>
        <v>471.2</v>
      </c>
    </row>
    <row r="15" spans="1:8" ht="15" customHeight="1">
      <c r="A15" s="203">
        <v>9</v>
      </c>
      <c r="B15" s="17" t="s">
        <v>78</v>
      </c>
      <c r="C15" s="75">
        <v>339</v>
      </c>
      <c r="D15" s="18" t="s">
        <v>21</v>
      </c>
      <c r="E15" s="72">
        <v>5</v>
      </c>
      <c r="F15" s="18">
        <f t="shared" si="0"/>
        <v>67.8</v>
      </c>
      <c r="G15" s="211">
        <v>1</v>
      </c>
      <c r="H15" s="215">
        <f t="shared" si="1"/>
        <v>67.8</v>
      </c>
    </row>
    <row r="16" spans="1:8" ht="31.5" customHeight="1">
      <c r="A16" s="203">
        <v>10</v>
      </c>
      <c r="B16" s="34" t="s">
        <v>335</v>
      </c>
      <c r="C16" s="75">
        <v>4.4000000000000004</v>
      </c>
      <c r="D16" s="18" t="s">
        <v>97</v>
      </c>
      <c r="E16" s="72"/>
      <c r="F16" s="20">
        <f>C16</f>
        <v>4.4000000000000004</v>
      </c>
      <c r="G16" s="211">
        <v>4</v>
      </c>
      <c r="H16" s="215">
        <f>F16*G16</f>
        <v>17.600000000000001</v>
      </c>
    </row>
    <row r="17" spans="1:8" ht="15" customHeight="1">
      <c r="A17" s="203">
        <v>11</v>
      </c>
      <c r="B17" s="17" t="s">
        <v>99</v>
      </c>
      <c r="C17" s="75">
        <v>445</v>
      </c>
      <c r="D17" s="18" t="s">
        <v>21</v>
      </c>
      <c r="E17" s="72">
        <v>5</v>
      </c>
      <c r="F17" s="18">
        <f t="shared" si="0"/>
        <v>89</v>
      </c>
      <c r="G17" s="211">
        <v>1</v>
      </c>
      <c r="H17" s="215">
        <f t="shared" si="1"/>
        <v>89</v>
      </c>
    </row>
    <row r="18" spans="1:8" ht="15" customHeight="1">
      <c r="A18" s="203">
        <v>12</v>
      </c>
      <c r="B18" s="17" t="s">
        <v>100</v>
      </c>
      <c r="C18" s="75">
        <v>405</v>
      </c>
      <c r="D18" s="18" t="s">
        <v>21</v>
      </c>
      <c r="E18" s="72">
        <v>5</v>
      </c>
      <c r="F18" s="18">
        <f t="shared" si="0"/>
        <v>81</v>
      </c>
      <c r="G18" s="211">
        <v>1</v>
      </c>
      <c r="H18" s="215">
        <f t="shared" si="1"/>
        <v>81</v>
      </c>
    </row>
    <row r="19" spans="1:8" ht="15" customHeight="1">
      <c r="A19" s="203">
        <v>13</v>
      </c>
      <c r="B19" s="68" t="s">
        <v>101</v>
      </c>
      <c r="C19" s="75">
        <v>130</v>
      </c>
      <c r="D19" s="18" t="s">
        <v>21</v>
      </c>
      <c r="E19" s="72">
        <v>1</v>
      </c>
      <c r="F19" s="18">
        <f t="shared" si="0"/>
        <v>130</v>
      </c>
      <c r="G19" s="211">
        <v>1</v>
      </c>
      <c r="H19" s="215">
        <f t="shared" si="1"/>
        <v>130</v>
      </c>
    </row>
    <row r="20" spans="1:8" ht="15" customHeight="1">
      <c r="A20" s="203">
        <v>14</v>
      </c>
      <c r="B20" s="17" t="s">
        <v>102</v>
      </c>
      <c r="C20" s="75">
        <v>220</v>
      </c>
      <c r="D20" s="18" t="s">
        <v>21</v>
      </c>
      <c r="E20" s="72">
        <v>2</v>
      </c>
      <c r="F20" s="18">
        <f t="shared" si="0"/>
        <v>110</v>
      </c>
      <c r="G20" s="211">
        <v>1</v>
      </c>
      <c r="H20" s="215">
        <f t="shared" si="1"/>
        <v>110</v>
      </c>
    </row>
    <row r="21" spans="1:8" ht="15" customHeight="1">
      <c r="A21" s="203">
        <v>15</v>
      </c>
      <c r="B21" s="34" t="s">
        <v>149</v>
      </c>
      <c r="C21" s="75">
        <v>40</v>
      </c>
      <c r="D21" s="18" t="s">
        <v>177</v>
      </c>
      <c r="E21" s="71">
        <f>1/6</f>
        <v>0.16666666666666666</v>
      </c>
      <c r="F21" s="18">
        <f>C21/E21</f>
        <v>240</v>
      </c>
      <c r="G21" s="211">
        <v>4</v>
      </c>
      <c r="H21" s="215">
        <f>F21*G21</f>
        <v>960</v>
      </c>
    </row>
    <row r="22" spans="1:8" ht="15" customHeight="1">
      <c r="A22" s="203">
        <v>16</v>
      </c>
      <c r="B22" s="17" t="s">
        <v>110</v>
      </c>
      <c r="C22" s="75">
        <v>1795</v>
      </c>
      <c r="D22" s="18" t="s">
        <v>21</v>
      </c>
      <c r="E22" s="72">
        <v>5</v>
      </c>
      <c r="F22" s="18">
        <f t="shared" si="0"/>
        <v>359</v>
      </c>
      <c r="G22" s="211">
        <v>1</v>
      </c>
      <c r="H22" s="215">
        <f t="shared" si="1"/>
        <v>359</v>
      </c>
    </row>
    <row r="23" spans="1:8" ht="15" customHeight="1">
      <c r="A23" s="203">
        <v>17</v>
      </c>
      <c r="B23" s="17" t="s">
        <v>98</v>
      </c>
      <c r="C23" s="75">
        <v>600</v>
      </c>
      <c r="D23" s="18" t="s">
        <v>21</v>
      </c>
      <c r="E23" s="72">
        <v>3</v>
      </c>
      <c r="F23" s="20">
        <f t="shared" si="0"/>
        <v>200</v>
      </c>
      <c r="G23" s="211">
        <v>4</v>
      </c>
      <c r="H23" s="215">
        <f t="shared" si="1"/>
        <v>800</v>
      </c>
    </row>
    <row r="24" spans="1:8" ht="15" customHeight="1">
      <c r="A24" s="203">
        <v>18</v>
      </c>
      <c r="B24" s="17" t="s">
        <v>79</v>
      </c>
      <c r="C24" s="75">
        <v>690</v>
      </c>
      <c r="D24" s="18" t="s">
        <v>21</v>
      </c>
      <c r="E24" s="72">
        <v>1</v>
      </c>
      <c r="F24" s="20">
        <f t="shared" si="0"/>
        <v>690</v>
      </c>
      <c r="G24" s="211">
        <v>4</v>
      </c>
      <c r="H24" s="215">
        <f t="shared" si="1"/>
        <v>2760</v>
      </c>
    </row>
    <row r="25" spans="1:8" ht="15" customHeight="1">
      <c r="A25" s="203">
        <v>19</v>
      </c>
      <c r="B25" s="34" t="s">
        <v>121</v>
      </c>
      <c r="C25" s="75">
        <v>1200</v>
      </c>
      <c r="D25" s="18" t="s">
        <v>21</v>
      </c>
      <c r="E25" s="72">
        <v>3</v>
      </c>
      <c r="F25" s="20">
        <f t="shared" si="0"/>
        <v>400</v>
      </c>
      <c r="G25" s="211">
        <v>4</v>
      </c>
      <c r="H25" s="215">
        <f t="shared" si="1"/>
        <v>1600</v>
      </c>
    </row>
    <row r="26" spans="1:8" ht="15" customHeight="1">
      <c r="A26" s="203">
        <v>20</v>
      </c>
      <c r="B26" s="17" t="s">
        <v>123</v>
      </c>
      <c r="C26" s="75">
        <v>650</v>
      </c>
      <c r="D26" s="18" t="s">
        <v>21</v>
      </c>
      <c r="E26" s="72">
        <v>3</v>
      </c>
      <c r="F26" s="20">
        <f t="shared" si="0"/>
        <v>216.66666666666666</v>
      </c>
      <c r="G26" s="211">
        <v>4</v>
      </c>
      <c r="H26" s="215">
        <f t="shared" si="1"/>
        <v>866.66666666666663</v>
      </c>
    </row>
    <row r="27" spans="1:8">
      <c r="A27" s="203">
        <v>21</v>
      </c>
      <c r="B27" s="17" t="s">
        <v>95</v>
      </c>
      <c r="C27" s="75">
        <v>1188</v>
      </c>
      <c r="D27" s="18" t="s">
        <v>80</v>
      </c>
      <c r="E27" s="72">
        <v>3</v>
      </c>
      <c r="F27" s="20">
        <f t="shared" si="0"/>
        <v>396</v>
      </c>
      <c r="G27" s="211">
        <v>4</v>
      </c>
      <c r="H27" s="215">
        <f t="shared" si="1"/>
        <v>1584</v>
      </c>
    </row>
    <row r="28" spans="1:8" ht="15.75" thickBot="1">
      <c r="A28" s="204">
        <v>22</v>
      </c>
      <c r="B28" s="205" t="s">
        <v>96</v>
      </c>
      <c r="C28" s="206">
        <v>654</v>
      </c>
      <c r="D28" s="207" t="s">
        <v>80</v>
      </c>
      <c r="E28" s="208">
        <v>2</v>
      </c>
      <c r="F28" s="207">
        <f t="shared" si="0"/>
        <v>327</v>
      </c>
      <c r="G28" s="212">
        <v>4</v>
      </c>
      <c r="H28" s="216">
        <f t="shared" si="1"/>
        <v>1308</v>
      </c>
    </row>
    <row r="29" spans="1:8" ht="15.75" thickBot="1">
      <c r="A29" s="592" t="s">
        <v>67</v>
      </c>
      <c r="B29" s="593"/>
      <c r="C29" s="593"/>
      <c r="D29" s="593"/>
      <c r="E29" s="593"/>
      <c r="F29" s="593"/>
      <c r="G29" s="593"/>
      <c r="H29" s="217">
        <f>SUM(H7:H28)</f>
        <v>23632.066666666669</v>
      </c>
    </row>
    <row r="31" spans="1:8" ht="48" customHeight="1">
      <c r="A31" s="590" t="s">
        <v>192</v>
      </c>
      <c r="B31" s="590"/>
      <c r="C31" s="590"/>
      <c r="D31" s="590"/>
      <c r="E31" s="590"/>
      <c r="F31" s="590"/>
      <c r="G31" s="590"/>
      <c r="H31" s="590"/>
    </row>
    <row r="32" spans="1:8" ht="7.9" customHeight="1"/>
    <row r="33" spans="1:8" ht="19.5" customHeight="1">
      <c r="A33" s="6" t="s">
        <v>151</v>
      </c>
      <c r="C33" s="147">
        <f>H29/12</f>
        <v>1969.3388888888892</v>
      </c>
      <c r="D33" s="39" t="s">
        <v>143</v>
      </c>
      <c r="E33" s="74">
        <v>26</v>
      </c>
      <c r="F33" s="39" t="s">
        <v>144</v>
      </c>
      <c r="G33" s="69">
        <f>ROUND(C33/E33,2)</f>
        <v>75.739999999999995</v>
      </c>
      <c r="H33" s="6" t="s">
        <v>83</v>
      </c>
    </row>
  </sheetData>
  <mergeCells count="4">
    <mergeCell ref="A29:G29"/>
    <mergeCell ref="A31:H31"/>
    <mergeCell ref="A1:H1"/>
    <mergeCell ref="A4:H4"/>
  </mergeCells>
  <phoneticPr fontId="5" type="noConversion"/>
  <pageMargins left="0.94488188976377963" right="0.23622047244094491" top="0.59055118110236227" bottom="0.98425196850393704" header="0.51181102362204722" footer="0.51181102362204722"/>
  <pageSetup paperSize="9" scale="105"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1"/>
  <sheetViews>
    <sheetView topLeftCell="A7" workbookViewId="0">
      <selection activeCell="E14" sqref="E14"/>
    </sheetView>
  </sheetViews>
  <sheetFormatPr defaultRowHeight="15"/>
  <cols>
    <col min="1" max="1" width="5.42578125" customWidth="1"/>
    <col min="2" max="2" width="34.5703125" customWidth="1"/>
    <col min="3" max="3" width="20.85546875" customWidth="1"/>
    <col min="4" max="4" width="8.7109375" customWidth="1"/>
    <col min="6" max="6" width="8.85546875" customWidth="1"/>
    <col min="7" max="7" width="11" customWidth="1"/>
    <col min="8" max="8" width="10" customWidth="1"/>
    <col min="9" max="9" width="12.28515625" customWidth="1"/>
  </cols>
  <sheetData>
    <row r="1" spans="1:9">
      <c r="A1" s="594" t="s">
        <v>205</v>
      </c>
      <c r="B1" s="594"/>
      <c r="C1" s="594"/>
      <c r="D1" s="594"/>
      <c r="E1" s="594"/>
      <c r="F1" s="594"/>
      <c r="G1" s="594"/>
      <c r="H1" s="594"/>
      <c r="I1" s="594"/>
    </row>
    <row r="2" spans="1:9">
      <c r="A2" s="594" t="s">
        <v>240</v>
      </c>
      <c r="B2" s="594"/>
      <c r="C2" s="594"/>
      <c r="D2" s="594"/>
      <c r="E2" s="594"/>
      <c r="F2" s="594"/>
      <c r="G2" s="594"/>
      <c r="H2" s="594"/>
      <c r="I2" s="83"/>
    </row>
    <row r="3" spans="1:9" ht="29.25" customHeight="1">
      <c r="A3" s="84" t="s">
        <v>106</v>
      </c>
      <c r="B3" s="85" t="s">
        <v>206</v>
      </c>
      <c r="C3" s="85" t="s">
        <v>207</v>
      </c>
      <c r="D3" s="85" t="s">
        <v>71</v>
      </c>
      <c r="E3" s="85" t="s">
        <v>208</v>
      </c>
      <c r="F3" s="85" t="s">
        <v>209</v>
      </c>
      <c r="G3" s="84" t="s">
        <v>210</v>
      </c>
      <c r="H3" s="84" t="s">
        <v>211</v>
      </c>
      <c r="I3" s="84" t="s">
        <v>212</v>
      </c>
    </row>
    <row r="4" spans="1:9" ht="25.5" customHeight="1">
      <c r="A4" s="86">
        <v>1</v>
      </c>
      <c r="B4" s="87" t="s">
        <v>213</v>
      </c>
      <c r="C4" s="129" t="s">
        <v>214</v>
      </c>
      <c r="D4" s="89"/>
      <c r="E4" s="28"/>
      <c r="F4" s="28"/>
      <c r="G4" s="89"/>
      <c r="H4" s="89"/>
      <c r="I4" s="89"/>
    </row>
    <row r="5" spans="1:9" ht="25.5" customHeight="1">
      <c r="A5" s="86"/>
      <c r="B5" s="87" t="s">
        <v>215</v>
      </c>
      <c r="C5" s="129" t="s">
        <v>216</v>
      </c>
      <c r="D5" s="89" t="s">
        <v>217</v>
      </c>
      <c r="E5" s="90" t="s">
        <v>218</v>
      </c>
      <c r="F5" s="89">
        <f>2.2*0.5*1</f>
        <v>1.1000000000000001</v>
      </c>
      <c r="G5" s="89"/>
      <c r="H5" s="89">
        <f>9.4*F5</f>
        <v>10.340000000000002</v>
      </c>
      <c r="I5" s="89"/>
    </row>
    <row r="6" spans="1:9" ht="25.5" customHeight="1">
      <c r="A6" s="86"/>
      <c r="B6" s="91" t="s">
        <v>219</v>
      </c>
      <c r="C6" s="129" t="s">
        <v>220</v>
      </c>
      <c r="D6" s="89" t="s">
        <v>217</v>
      </c>
      <c r="E6" s="90">
        <v>2.6</v>
      </c>
      <c r="F6" s="28"/>
      <c r="G6" s="89"/>
      <c r="H6" s="89"/>
      <c r="I6" s="89"/>
    </row>
    <row r="7" spans="1:9" ht="25.5" customHeight="1">
      <c r="A7" s="86"/>
      <c r="B7" s="89" t="s">
        <v>221</v>
      </c>
      <c r="C7" s="129" t="s">
        <v>222</v>
      </c>
      <c r="D7" s="89" t="s">
        <v>217</v>
      </c>
      <c r="E7" s="90">
        <v>0.79</v>
      </c>
      <c r="F7" s="89"/>
      <c r="G7" s="89"/>
      <c r="H7" s="89"/>
      <c r="I7" s="89"/>
    </row>
    <row r="8" spans="1:9" ht="25.5" customHeight="1">
      <c r="A8" s="86">
        <v>2</v>
      </c>
      <c r="B8" s="89" t="s">
        <v>239</v>
      </c>
      <c r="C8" s="129" t="s">
        <v>223</v>
      </c>
      <c r="D8" s="89" t="s">
        <v>224</v>
      </c>
      <c r="E8" s="89"/>
      <c r="F8" s="89">
        <f>2.2*1.9*1</f>
        <v>4.18</v>
      </c>
      <c r="G8" s="89"/>
      <c r="H8" s="89"/>
      <c r="I8" s="89"/>
    </row>
    <row r="9" spans="1:9" ht="25.5" customHeight="1">
      <c r="A9" s="86"/>
      <c r="B9" s="89" t="s">
        <v>241</v>
      </c>
      <c r="C9" s="129" t="s">
        <v>220</v>
      </c>
      <c r="D9" s="89" t="s">
        <v>224</v>
      </c>
      <c r="E9" s="89">
        <v>2.6</v>
      </c>
      <c r="F9" s="89">
        <f>F8-F5</f>
        <v>3.0799999999999996</v>
      </c>
      <c r="G9" s="89"/>
      <c r="H9" s="89">
        <f>E9*F9</f>
        <v>8.0079999999999991</v>
      </c>
      <c r="I9" s="89"/>
    </row>
    <row r="10" spans="1:9" ht="25.5" customHeight="1">
      <c r="A10" s="86"/>
      <c r="B10" s="89" t="s">
        <v>242</v>
      </c>
      <c r="C10" s="129" t="s">
        <v>222</v>
      </c>
      <c r="D10" s="89" t="s">
        <v>224</v>
      </c>
      <c r="E10" s="89">
        <v>0.79</v>
      </c>
      <c r="F10" s="89">
        <f>F8</f>
        <v>4.18</v>
      </c>
      <c r="G10" s="89"/>
      <c r="H10" s="89">
        <f>E10*F10</f>
        <v>3.3022</v>
      </c>
      <c r="I10" s="89"/>
    </row>
    <row r="11" spans="1:9" ht="30">
      <c r="A11" s="89">
        <v>3</v>
      </c>
      <c r="B11" s="86" t="s">
        <v>243</v>
      </c>
      <c r="C11" s="88" t="s">
        <v>225</v>
      </c>
      <c r="D11" s="89" t="s">
        <v>217</v>
      </c>
      <c r="E11" s="89"/>
      <c r="F11" s="89"/>
      <c r="G11" s="89"/>
      <c r="H11" s="92">
        <f>H5+H9+H10</f>
        <v>21.650199999999998</v>
      </c>
      <c r="I11" s="89"/>
    </row>
    <row r="12" spans="1:9" ht="30">
      <c r="A12" s="89">
        <v>4</v>
      </c>
      <c r="B12" s="86" t="s">
        <v>264</v>
      </c>
      <c r="C12" s="89"/>
      <c r="D12" s="89" t="s">
        <v>126</v>
      </c>
      <c r="E12" s="89"/>
      <c r="F12" s="89"/>
      <c r="G12" s="92">
        <f>СПР_ШТ!D14</f>
        <v>77.87</v>
      </c>
      <c r="H12" s="92"/>
      <c r="I12" s="89"/>
    </row>
    <row r="13" spans="1:9">
      <c r="A13" s="89">
        <v>5</v>
      </c>
      <c r="B13" s="89" t="s">
        <v>27</v>
      </c>
      <c r="C13" s="89"/>
      <c r="D13" s="89" t="s">
        <v>126</v>
      </c>
      <c r="E13" s="89"/>
      <c r="F13" s="89"/>
      <c r="G13" s="89"/>
      <c r="H13" s="89"/>
      <c r="I13" s="92">
        <f>G12*H11</f>
        <v>1685.9010739999999</v>
      </c>
    </row>
    <row r="14" spans="1:9">
      <c r="A14" s="89">
        <v>6</v>
      </c>
      <c r="B14" s="89" t="s">
        <v>226</v>
      </c>
      <c r="C14" s="89"/>
      <c r="D14" s="89" t="s">
        <v>126</v>
      </c>
      <c r="E14" s="89">
        <v>0.22</v>
      </c>
      <c r="F14" s="92">
        <f>I13</f>
        <v>1685.9010739999999</v>
      </c>
      <c r="G14" s="89"/>
      <c r="H14" s="89"/>
      <c r="I14" s="92">
        <f>E14*F14</f>
        <v>370.89823627999999</v>
      </c>
    </row>
    <row r="15" spans="1:9" ht="30">
      <c r="A15" s="89">
        <v>7</v>
      </c>
      <c r="B15" s="93" t="s">
        <v>227</v>
      </c>
      <c r="C15" s="94" t="s">
        <v>228</v>
      </c>
      <c r="D15" s="94" t="s">
        <v>126</v>
      </c>
      <c r="E15" s="94"/>
      <c r="F15" s="94"/>
      <c r="G15" s="94"/>
      <c r="H15" s="94"/>
      <c r="I15" s="95">
        <f>[3]Роз3!G33</f>
        <v>86.666708974358983</v>
      </c>
    </row>
    <row r="16" spans="1:9">
      <c r="A16" s="89">
        <v>8</v>
      </c>
      <c r="B16" s="96" t="s">
        <v>229</v>
      </c>
      <c r="C16" s="96" t="s">
        <v>230</v>
      </c>
      <c r="D16" s="89" t="s">
        <v>126</v>
      </c>
      <c r="E16" s="96">
        <v>0.27100000000000002</v>
      </c>
      <c r="F16" s="92">
        <f>I13</f>
        <v>1685.9010739999999</v>
      </c>
      <c r="G16" s="89"/>
      <c r="H16" s="89"/>
      <c r="I16" s="92">
        <f>Аркуш9!I16</f>
        <v>67.489999999999995</v>
      </c>
    </row>
    <row r="17" spans="1:9">
      <c r="A17" s="89">
        <v>9</v>
      </c>
      <c r="B17" s="89" t="s">
        <v>231</v>
      </c>
      <c r="C17" s="89"/>
      <c r="D17" s="89" t="s">
        <v>126</v>
      </c>
      <c r="E17" s="89"/>
      <c r="F17" s="89"/>
      <c r="G17" s="89"/>
      <c r="H17" s="89"/>
      <c r="I17" s="92">
        <f>I13+I14+I15+I16</f>
        <v>2210.956019254359</v>
      </c>
    </row>
    <row r="18" spans="1:9">
      <c r="A18" s="89">
        <v>10</v>
      </c>
      <c r="B18" s="89" t="s">
        <v>232</v>
      </c>
      <c r="C18" s="89"/>
      <c r="D18" s="89" t="s">
        <v>126</v>
      </c>
      <c r="E18" s="89">
        <v>0.15</v>
      </c>
      <c r="F18" s="92">
        <f>I17</f>
        <v>2210.956019254359</v>
      </c>
      <c r="G18" s="89"/>
      <c r="H18" s="89"/>
      <c r="I18" s="92">
        <f>E18*F18</f>
        <v>331.64340288815384</v>
      </c>
    </row>
    <row r="19" spans="1:9">
      <c r="A19" s="89">
        <v>11</v>
      </c>
      <c r="B19" s="89" t="s">
        <v>233</v>
      </c>
      <c r="C19" s="89"/>
      <c r="D19" s="89" t="s">
        <v>126</v>
      </c>
      <c r="E19" s="89"/>
      <c r="F19" s="89"/>
      <c r="G19" s="89"/>
      <c r="H19" s="89"/>
      <c r="I19" s="92">
        <f>I17+I18</f>
        <v>2542.599422142513</v>
      </c>
    </row>
    <row r="20" spans="1:9">
      <c r="A20" s="89">
        <v>12</v>
      </c>
      <c r="B20" s="89" t="s">
        <v>234</v>
      </c>
      <c r="C20" s="89"/>
      <c r="D20" s="89" t="s">
        <v>126</v>
      </c>
      <c r="E20" s="92">
        <v>0.12</v>
      </c>
      <c r="F20" s="92">
        <f>I19</f>
        <v>2542.599422142513</v>
      </c>
      <c r="G20" s="89"/>
      <c r="H20" s="89"/>
      <c r="I20" s="92">
        <f>E20*F20</f>
        <v>305.11193065710154</v>
      </c>
    </row>
    <row r="21" spans="1:9">
      <c r="A21" s="89">
        <v>13</v>
      </c>
      <c r="B21" s="97" t="s">
        <v>235</v>
      </c>
      <c r="C21" s="89"/>
      <c r="D21" s="89" t="s">
        <v>126</v>
      </c>
      <c r="E21" s="89"/>
      <c r="F21" s="89"/>
      <c r="G21" s="89"/>
      <c r="H21" s="89"/>
      <c r="I21" s="98">
        <f>I19+I20</f>
        <v>2847.7113527996144</v>
      </c>
    </row>
  </sheetData>
  <mergeCells count="2">
    <mergeCell ref="A1:I1"/>
    <mergeCell ref="A2:H2"/>
  </mergeCells>
  <phoneticPr fontId="5"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1"/>
  <sheetViews>
    <sheetView topLeftCell="A10" workbookViewId="0">
      <selection activeCell="E14" sqref="E14"/>
    </sheetView>
  </sheetViews>
  <sheetFormatPr defaultRowHeight="15"/>
  <cols>
    <col min="1" max="1" width="5.42578125" customWidth="1"/>
    <col min="2" max="2" width="34.5703125" customWidth="1"/>
    <col min="3" max="3" width="14.85546875" customWidth="1"/>
    <col min="4" max="4" width="8.7109375" customWidth="1"/>
    <col min="6" max="6" width="8.85546875" customWidth="1"/>
    <col min="7" max="7" width="11" customWidth="1"/>
    <col min="8" max="8" width="10" customWidth="1"/>
    <col min="9" max="9" width="12.28515625" customWidth="1"/>
  </cols>
  <sheetData>
    <row r="1" spans="1:9">
      <c r="A1" s="594" t="s">
        <v>236</v>
      </c>
      <c r="B1" s="594"/>
      <c r="C1" s="594"/>
      <c r="D1" s="594"/>
      <c r="E1" s="594"/>
      <c r="F1" s="594"/>
      <c r="G1" s="594"/>
      <c r="H1" s="594"/>
      <c r="I1" s="594"/>
    </row>
    <row r="2" spans="1:9">
      <c r="A2" s="594" t="s">
        <v>240</v>
      </c>
      <c r="B2" s="594"/>
      <c r="C2" s="594"/>
      <c r="D2" s="594"/>
      <c r="E2" s="594"/>
      <c r="F2" s="594"/>
      <c r="G2" s="594"/>
      <c r="H2" s="594"/>
      <c r="I2" s="99"/>
    </row>
    <row r="3" spans="1:9" ht="29.25">
      <c r="A3" s="84" t="s">
        <v>106</v>
      </c>
      <c r="B3" s="85" t="s">
        <v>206</v>
      </c>
      <c r="C3" s="85" t="s">
        <v>207</v>
      </c>
      <c r="D3" s="85" t="s">
        <v>71</v>
      </c>
      <c r="E3" s="85" t="s">
        <v>208</v>
      </c>
      <c r="F3" s="85" t="s">
        <v>209</v>
      </c>
      <c r="G3" s="84" t="s">
        <v>210</v>
      </c>
      <c r="H3" s="84" t="s">
        <v>211</v>
      </c>
      <c r="I3" s="84" t="s">
        <v>212</v>
      </c>
    </row>
    <row r="4" spans="1:9" ht="48.75">
      <c r="A4" s="89">
        <v>1</v>
      </c>
      <c r="B4" s="86" t="s">
        <v>213</v>
      </c>
      <c r="C4" s="88" t="s">
        <v>214</v>
      </c>
      <c r="D4" s="89"/>
      <c r="E4" s="28"/>
      <c r="F4" s="28"/>
      <c r="G4" s="89"/>
      <c r="H4" s="89"/>
      <c r="I4" s="89"/>
    </row>
    <row r="5" spans="1:9" ht="48.75">
      <c r="A5" s="89"/>
      <c r="B5" s="89" t="s">
        <v>219</v>
      </c>
      <c r="C5" s="88" t="s">
        <v>220</v>
      </c>
      <c r="D5" s="89" t="s">
        <v>217</v>
      </c>
      <c r="E5" s="90">
        <v>2.6</v>
      </c>
      <c r="F5" s="28"/>
      <c r="G5" s="89"/>
      <c r="H5" s="89"/>
      <c r="I5" s="89"/>
    </row>
    <row r="6" spans="1:9" ht="48.75">
      <c r="A6" s="89"/>
      <c r="B6" s="89" t="s">
        <v>221</v>
      </c>
      <c r="C6" s="88" t="s">
        <v>222</v>
      </c>
      <c r="D6" s="89" t="s">
        <v>217</v>
      </c>
      <c r="E6" s="90">
        <v>0.57999999999999996</v>
      </c>
      <c r="F6" s="89"/>
      <c r="G6" s="89"/>
      <c r="H6" s="89"/>
      <c r="I6" s="89"/>
    </row>
    <row r="7" spans="1:9" ht="48.75">
      <c r="A7" s="89">
        <v>2</v>
      </c>
      <c r="B7" s="89" t="s">
        <v>239</v>
      </c>
      <c r="C7" s="88" t="s">
        <v>223</v>
      </c>
      <c r="D7" s="89" t="s">
        <v>224</v>
      </c>
      <c r="E7" s="89"/>
      <c r="F7" s="89">
        <f>2.2*1.9*1</f>
        <v>4.18</v>
      </c>
      <c r="G7" s="89"/>
      <c r="H7" s="89"/>
      <c r="I7" s="89"/>
    </row>
    <row r="8" spans="1:9" ht="48.75">
      <c r="A8" s="89"/>
      <c r="B8" s="89" t="s">
        <v>241</v>
      </c>
      <c r="C8" s="88" t="s">
        <v>220</v>
      </c>
      <c r="D8" s="89" t="s">
        <v>224</v>
      </c>
      <c r="E8" s="89">
        <v>2.6</v>
      </c>
      <c r="F8" s="89">
        <f>F7</f>
        <v>4.18</v>
      </c>
      <c r="G8" s="89"/>
      <c r="H8" s="89">
        <f>F8*E8</f>
        <v>10.868</v>
      </c>
      <c r="I8" s="89"/>
    </row>
    <row r="9" spans="1:9" ht="48.75">
      <c r="A9" s="89"/>
      <c r="B9" s="89" t="s">
        <v>242</v>
      </c>
      <c r="C9" s="88" t="s">
        <v>222</v>
      </c>
      <c r="D9" s="89" t="s">
        <v>224</v>
      </c>
      <c r="E9" s="89">
        <v>0.57999999999999996</v>
      </c>
      <c r="F9" s="89">
        <f>F8</f>
        <v>4.18</v>
      </c>
      <c r="G9" s="89"/>
      <c r="H9" s="92">
        <f>E9*F9</f>
        <v>2.4243999999999999</v>
      </c>
      <c r="I9" s="89"/>
    </row>
    <row r="10" spans="1:9" ht="45">
      <c r="A10" s="89"/>
      <c r="B10" s="86" t="s">
        <v>237</v>
      </c>
      <c r="C10" s="88" t="s">
        <v>238</v>
      </c>
      <c r="D10" s="89" t="s">
        <v>217</v>
      </c>
      <c r="E10" s="100">
        <v>0.3</v>
      </c>
      <c r="F10" s="89"/>
      <c r="G10" s="89"/>
      <c r="H10" s="92">
        <f>(H8+H9)*E10</f>
        <v>3.9877199999999999</v>
      </c>
      <c r="I10" s="89"/>
    </row>
    <row r="11" spans="1:9" ht="30">
      <c r="A11" s="89">
        <v>3</v>
      </c>
      <c r="B11" s="86" t="s">
        <v>243</v>
      </c>
      <c r="C11" s="88" t="s">
        <v>225</v>
      </c>
      <c r="D11" s="89" t="s">
        <v>217</v>
      </c>
      <c r="E11" s="89"/>
      <c r="F11" s="89"/>
      <c r="G11" s="89"/>
      <c r="H11" s="92">
        <f>H8+H9+H10</f>
        <v>17.28012</v>
      </c>
      <c r="I11" s="89"/>
    </row>
    <row r="12" spans="1:9" ht="30">
      <c r="A12" s="89">
        <v>4</v>
      </c>
      <c r="B12" s="86" t="s">
        <v>264</v>
      </c>
      <c r="C12" s="89"/>
      <c r="D12" s="89" t="s">
        <v>126</v>
      </c>
      <c r="E12" s="89"/>
      <c r="F12" s="89"/>
      <c r="G12" s="92">
        <f>СПР_ШТ!D14</f>
        <v>77.87</v>
      </c>
      <c r="H12" s="89"/>
      <c r="I12" s="89"/>
    </row>
    <row r="13" spans="1:9">
      <c r="A13" s="89">
        <v>5</v>
      </c>
      <c r="B13" s="89" t="s">
        <v>27</v>
      </c>
      <c r="C13" s="89"/>
      <c r="D13" s="89" t="s">
        <v>126</v>
      </c>
      <c r="E13" s="89"/>
      <c r="F13" s="89"/>
      <c r="G13" s="89"/>
      <c r="H13" s="89"/>
      <c r="I13" s="92">
        <f>G12*H11</f>
        <v>1345.6029444000001</v>
      </c>
    </row>
    <row r="14" spans="1:9">
      <c r="A14" s="89">
        <v>6</v>
      </c>
      <c r="B14" s="89" t="s">
        <v>226</v>
      </c>
      <c r="C14" s="89"/>
      <c r="D14" s="89" t="s">
        <v>126</v>
      </c>
      <c r="E14" s="89">
        <v>0.22</v>
      </c>
      <c r="F14" s="92">
        <f>I13</f>
        <v>1345.6029444000001</v>
      </c>
      <c r="G14" s="89"/>
      <c r="H14" s="89"/>
      <c r="I14" s="92">
        <f>E14*F14</f>
        <v>296.032647768</v>
      </c>
    </row>
    <row r="15" spans="1:9" ht="30">
      <c r="A15" s="89">
        <v>7</v>
      </c>
      <c r="B15" s="86" t="s">
        <v>227</v>
      </c>
      <c r="C15" s="96" t="s">
        <v>228</v>
      </c>
      <c r="D15" s="89" t="s">
        <v>126</v>
      </c>
      <c r="E15" s="89"/>
      <c r="F15" s="89"/>
      <c r="G15" s="89"/>
      <c r="H15" s="89"/>
      <c r="I15" s="92">
        <f>МатВит!G33</f>
        <v>75.739999999999995</v>
      </c>
    </row>
    <row r="16" spans="1:9">
      <c r="A16" s="89">
        <v>8</v>
      </c>
      <c r="B16" s="96" t="s">
        <v>229</v>
      </c>
      <c r="C16" s="96" t="s">
        <v>230</v>
      </c>
      <c r="D16" s="96" t="s">
        <v>126</v>
      </c>
      <c r="E16" s="96">
        <v>0.27100000000000002</v>
      </c>
      <c r="F16" s="41">
        <f>I13</f>
        <v>1345.6029444000001</v>
      </c>
      <c r="G16" s="96"/>
      <c r="H16" s="96"/>
      <c r="I16" s="41">
        <f>к5ручЛ!C21</f>
        <v>67.489999999999995</v>
      </c>
    </row>
    <row r="17" spans="1:9">
      <c r="A17" s="89">
        <v>9</v>
      </c>
      <c r="B17" s="89" t="s">
        <v>231</v>
      </c>
      <c r="C17" s="89"/>
      <c r="D17" s="89" t="s">
        <v>126</v>
      </c>
      <c r="E17" s="89"/>
      <c r="F17" s="89"/>
      <c r="G17" s="89"/>
      <c r="H17" s="89"/>
      <c r="I17" s="92">
        <f>I13+I14+I15+I16</f>
        <v>1784.8655921680001</v>
      </c>
    </row>
    <row r="18" spans="1:9">
      <c r="A18" s="89">
        <v>10</v>
      </c>
      <c r="B18" s="89" t="s">
        <v>232</v>
      </c>
      <c r="C18" s="89"/>
      <c r="D18" s="89" t="s">
        <v>126</v>
      </c>
      <c r="E18" s="89">
        <v>0.15</v>
      </c>
      <c r="F18" s="92">
        <f>I17</f>
        <v>1784.8655921680001</v>
      </c>
      <c r="G18" s="89"/>
      <c r="H18" s="89"/>
      <c r="I18" s="92">
        <f>E18*F18</f>
        <v>267.72983882520003</v>
      </c>
    </row>
    <row r="19" spans="1:9">
      <c r="A19" s="89">
        <v>11</v>
      </c>
      <c r="B19" s="89" t="s">
        <v>233</v>
      </c>
      <c r="C19" s="89"/>
      <c r="D19" s="89" t="s">
        <v>126</v>
      </c>
      <c r="E19" s="89"/>
      <c r="F19" s="89"/>
      <c r="G19" s="89"/>
      <c r="H19" s="89"/>
      <c r="I19" s="92">
        <f>I17+I18</f>
        <v>2052.5954309932004</v>
      </c>
    </row>
    <row r="20" spans="1:9">
      <c r="A20" s="89">
        <v>12</v>
      </c>
      <c r="B20" s="89" t="s">
        <v>234</v>
      </c>
      <c r="C20" s="89"/>
      <c r="D20" s="89" t="s">
        <v>126</v>
      </c>
      <c r="E20" s="92">
        <v>0.11982082866</v>
      </c>
      <c r="F20" s="92">
        <f>I19</f>
        <v>2052.5954309932004</v>
      </c>
      <c r="G20" s="89"/>
      <c r="H20" s="89"/>
      <c r="I20" s="92">
        <f>E20*F20</f>
        <v>245.94368544533512</v>
      </c>
    </row>
    <row r="21" spans="1:9">
      <c r="A21" s="89">
        <v>13</v>
      </c>
      <c r="B21" s="97" t="s">
        <v>235</v>
      </c>
      <c r="C21" s="89"/>
      <c r="D21" s="89" t="s">
        <v>126</v>
      </c>
      <c r="E21" s="89"/>
      <c r="F21" s="89"/>
      <c r="G21" s="89"/>
      <c r="H21" s="89"/>
      <c r="I21" s="98">
        <f>I19+I20</f>
        <v>2298.5391164385355</v>
      </c>
    </row>
  </sheetData>
  <mergeCells count="2">
    <mergeCell ref="A1:I1"/>
    <mergeCell ref="A2:H2"/>
  </mergeCells>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F29"/>
  <sheetViews>
    <sheetView view="pageBreakPreview" zoomScaleNormal="100" zoomScaleSheetLayoutView="100" workbookViewId="0">
      <selection activeCell="B29" sqref="B29"/>
    </sheetView>
  </sheetViews>
  <sheetFormatPr defaultColWidth="9.140625" defaultRowHeight="15"/>
  <cols>
    <col min="1" max="1" width="4.140625" style="328" customWidth="1"/>
    <col min="2" max="2" width="44" style="328" customWidth="1"/>
    <col min="3" max="3" width="10.28515625" style="328" customWidth="1"/>
    <col min="4" max="4" width="6.28515625" style="328" customWidth="1"/>
    <col min="5" max="5" width="8.5703125" style="328" customWidth="1"/>
    <col min="6" max="6" width="11.140625" style="328" customWidth="1"/>
    <col min="7" max="16384" width="9.140625" style="328"/>
  </cols>
  <sheetData>
    <row r="1" spans="1:6" ht="63" customHeight="1">
      <c r="A1" s="468" t="s">
        <v>537</v>
      </c>
      <c r="B1" s="468"/>
      <c r="C1" s="468"/>
      <c r="D1" s="468"/>
      <c r="E1" s="468"/>
      <c r="F1" s="468"/>
    </row>
    <row r="2" spans="1:6" ht="17.25" thickBot="1">
      <c r="A2" s="330"/>
      <c r="B2" s="76"/>
      <c r="C2" s="76"/>
      <c r="D2" s="76"/>
      <c r="E2" s="76"/>
      <c r="F2" s="76"/>
    </row>
    <row r="3" spans="1:6" ht="38.25" customHeight="1" thickBot="1">
      <c r="A3" s="331" t="s">
        <v>68</v>
      </c>
      <c r="B3" s="332" t="s">
        <v>467</v>
      </c>
      <c r="C3" s="331" t="s">
        <v>71</v>
      </c>
      <c r="D3" s="331" t="s">
        <v>469</v>
      </c>
      <c r="E3" s="333" t="s">
        <v>468</v>
      </c>
      <c r="F3" s="331" t="s">
        <v>453</v>
      </c>
    </row>
    <row r="4" spans="1:6" ht="23.25" customHeight="1" thickBot="1">
      <c r="A4" s="469" t="s">
        <v>454</v>
      </c>
      <c r="B4" s="470"/>
      <c r="C4" s="470"/>
      <c r="D4" s="470"/>
      <c r="E4" s="470"/>
      <c r="F4" s="471"/>
    </row>
    <row r="5" spans="1:6" ht="23.25" customHeight="1" thickBot="1">
      <c r="A5" s="186">
        <v>1</v>
      </c>
      <c r="B5" s="334" t="s">
        <v>526</v>
      </c>
      <c r="C5" s="190" t="s">
        <v>456</v>
      </c>
      <c r="D5" s="191">
        <v>1</v>
      </c>
      <c r="E5" s="191">
        <v>6660</v>
      </c>
      <c r="F5" s="193">
        <f t="shared" ref="F5:F10" si="0">E5*D5</f>
        <v>6660</v>
      </c>
    </row>
    <row r="6" spans="1:6" ht="30.6" customHeight="1" thickBot="1">
      <c r="A6" s="186">
        <v>2</v>
      </c>
      <c r="B6" s="334" t="s">
        <v>527</v>
      </c>
      <c r="C6" s="190" t="s">
        <v>456</v>
      </c>
      <c r="D6" s="191">
        <v>1</v>
      </c>
      <c r="E6" s="191">
        <v>1200</v>
      </c>
      <c r="F6" s="193">
        <f t="shared" si="0"/>
        <v>1200</v>
      </c>
    </row>
    <row r="7" spans="1:6" ht="25.9" customHeight="1" thickBot="1">
      <c r="A7" s="186">
        <v>3</v>
      </c>
      <c r="B7" s="334" t="s">
        <v>580</v>
      </c>
      <c r="C7" s="190" t="s">
        <v>456</v>
      </c>
      <c r="D7" s="191">
        <v>1</v>
      </c>
      <c r="E7" s="191">
        <v>900</v>
      </c>
      <c r="F7" s="193">
        <f t="shared" si="0"/>
        <v>900</v>
      </c>
    </row>
    <row r="8" spans="1:6" ht="25.9" customHeight="1" thickBot="1">
      <c r="A8" s="186">
        <v>4</v>
      </c>
      <c r="B8" s="334" t="s">
        <v>577</v>
      </c>
      <c r="C8" s="190" t="s">
        <v>456</v>
      </c>
      <c r="D8" s="191">
        <v>2</v>
      </c>
      <c r="E8" s="191">
        <v>1100</v>
      </c>
      <c r="F8" s="193">
        <f t="shared" si="0"/>
        <v>2200</v>
      </c>
    </row>
    <row r="9" spans="1:6" ht="49.9" customHeight="1" thickBot="1">
      <c r="A9" s="186">
        <v>5</v>
      </c>
      <c r="B9" s="372" t="s">
        <v>538</v>
      </c>
      <c r="C9" s="190" t="s">
        <v>456</v>
      </c>
      <c r="D9" s="191">
        <v>1</v>
      </c>
      <c r="E9" s="191">
        <v>1040</v>
      </c>
      <c r="F9" s="193">
        <f t="shared" si="0"/>
        <v>1040</v>
      </c>
    </row>
    <row r="10" spans="1:6" ht="22.15" customHeight="1" thickBot="1">
      <c r="A10" s="186">
        <v>4</v>
      </c>
      <c r="B10" s="372" t="s">
        <v>546</v>
      </c>
      <c r="C10" s="190" t="s">
        <v>456</v>
      </c>
      <c r="D10" s="191">
        <v>2</v>
      </c>
      <c r="E10" s="191">
        <v>75</v>
      </c>
      <c r="F10" s="193">
        <f t="shared" si="0"/>
        <v>150</v>
      </c>
    </row>
    <row r="11" spans="1:6" ht="23.25" customHeight="1" thickBot="1">
      <c r="A11" s="186"/>
      <c r="B11" s="334" t="s">
        <v>470</v>
      </c>
      <c r="C11" s="190"/>
      <c r="D11" s="191"/>
      <c r="E11" s="191"/>
      <c r="F11" s="374">
        <f>SUM(F5:F10)</f>
        <v>12150</v>
      </c>
    </row>
    <row r="12" spans="1:6" ht="23.25" customHeight="1" thickBot="1">
      <c r="A12" s="469" t="s">
        <v>460</v>
      </c>
      <c r="B12" s="470"/>
      <c r="C12" s="470"/>
      <c r="D12" s="470"/>
      <c r="E12" s="470"/>
      <c r="F12" s="471"/>
    </row>
    <row r="13" spans="1:6" ht="45.75" customHeight="1" thickBot="1">
      <c r="A13" s="186">
        <v>1</v>
      </c>
      <c r="B13" s="334" t="s">
        <v>547</v>
      </c>
      <c r="C13" s="190" t="s">
        <v>462</v>
      </c>
      <c r="D13" s="191">
        <v>1</v>
      </c>
      <c r="E13" s="191">
        <v>4000</v>
      </c>
      <c r="F13" s="193">
        <f t="shared" ref="F13:F20" si="1">E13*D13</f>
        <v>4000</v>
      </c>
    </row>
    <row r="14" spans="1:6" ht="23.45" customHeight="1" thickBot="1">
      <c r="A14" s="186">
        <v>2</v>
      </c>
      <c r="B14" s="334" t="s">
        <v>530</v>
      </c>
      <c r="C14" s="190" t="s">
        <v>462</v>
      </c>
      <c r="D14" s="191">
        <v>6</v>
      </c>
      <c r="E14" s="191">
        <v>1000</v>
      </c>
      <c r="F14" s="193">
        <f t="shared" si="1"/>
        <v>6000</v>
      </c>
    </row>
    <row r="15" spans="1:6" ht="18.600000000000001" customHeight="1" thickBot="1">
      <c r="A15" s="186">
        <v>3</v>
      </c>
      <c r="B15" s="334" t="s">
        <v>531</v>
      </c>
      <c r="C15" s="190" t="s">
        <v>462</v>
      </c>
      <c r="D15" s="191">
        <v>1</v>
      </c>
      <c r="E15" s="191">
        <v>1400</v>
      </c>
      <c r="F15" s="193">
        <f t="shared" si="1"/>
        <v>1400</v>
      </c>
    </row>
    <row r="16" spans="1:6" ht="18.600000000000001" customHeight="1" thickBot="1">
      <c r="A16" s="186">
        <v>4</v>
      </c>
      <c r="B16" s="334" t="s">
        <v>532</v>
      </c>
      <c r="C16" s="190" t="s">
        <v>462</v>
      </c>
      <c r="D16" s="191">
        <v>1</v>
      </c>
      <c r="E16" s="191">
        <v>2000</v>
      </c>
      <c r="F16" s="193">
        <f t="shared" si="1"/>
        <v>2000</v>
      </c>
    </row>
    <row r="17" spans="1:6" ht="28.15" customHeight="1" thickBot="1">
      <c r="A17" s="186">
        <v>5</v>
      </c>
      <c r="B17" s="189" t="s">
        <v>40</v>
      </c>
      <c r="C17" s="190" t="s">
        <v>462</v>
      </c>
      <c r="D17" s="191">
        <v>1</v>
      </c>
      <c r="E17" s="192">
        <f>К1договор!C23</f>
        <v>27.339999999999996</v>
      </c>
      <c r="F17" s="336">
        <f>E17*D17</f>
        <v>27.339999999999996</v>
      </c>
    </row>
    <row r="18" spans="1:6" ht="25.9" customHeight="1" thickBot="1">
      <c r="A18" s="186">
        <v>6</v>
      </c>
      <c r="B18" s="189" t="s">
        <v>357</v>
      </c>
      <c r="C18" s="190" t="s">
        <v>462</v>
      </c>
      <c r="D18" s="191">
        <v>1</v>
      </c>
      <c r="E18" s="192">
        <f>'К2свид-во'!C23</f>
        <v>17.909999999999997</v>
      </c>
      <c r="F18" s="336">
        <f>E18*D18</f>
        <v>17.909999999999997</v>
      </c>
    </row>
    <row r="19" spans="1:6" ht="91.5" customHeight="1" thickBot="1">
      <c r="A19" s="186">
        <v>7</v>
      </c>
      <c r="B19" s="189" t="s">
        <v>514</v>
      </c>
      <c r="C19" s="190" t="s">
        <v>462</v>
      </c>
      <c r="D19" s="191">
        <v>1</v>
      </c>
      <c r="E19" s="192">
        <f>Роз15_ВЛіто!E45</f>
        <v>2961.0899999999992</v>
      </c>
      <c r="F19" s="193">
        <f>E19*D19</f>
        <v>2961.0899999999992</v>
      </c>
    </row>
    <row r="20" spans="1:6" ht="91.5" customHeight="1" thickBot="1">
      <c r="A20" s="186">
        <v>8</v>
      </c>
      <c r="B20" s="189" t="s">
        <v>513</v>
      </c>
      <c r="C20" s="190" t="s">
        <v>462</v>
      </c>
      <c r="D20" s="191">
        <v>1</v>
      </c>
      <c r="E20" s="192">
        <f>Роз16ВЗима!E45</f>
        <v>3304.25</v>
      </c>
      <c r="F20" s="193">
        <f t="shared" si="1"/>
        <v>3304.25</v>
      </c>
    </row>
    <row r="21" spans="1:6" ht="23.25" customHeight="1" thickBot="1">
      <c r="A21" s="186"/>
      <c r="B21" s="334" t="s">
        <v>464</v>
      </c>
      <c r="C21" s="190"/>
      <c r="D21" s="191"/>
      <c r="E21" s="191"/>
      <c r="F21" s="336">
        <f>F11+F13+F14+F15+F16+F17+F18+F19</f>
        <v>28556.34</v>
      </c>
    </row>
    <row r="22" spans="1:6" ht="23.25" customHeight="1" thickBot="1">
      <c r="A22" s="186"/>
      <c r="B22" s="334" t="s">
        <v>465</v>
      </c>
      <c r="C22" s="190"/>
      <c r="D22" s="191"/>
      <c r="E22" s="191"/>
      <c r="F22" s="336">
        <f>F11+F13+F14+F15+F16+F17+F18+F20</f>
        <v>28899.5</v>
      </c>
    </row>
    <row r="23" spans="1:6">
      <c r="A23" s="337"/>
      <c r="B23" s="337"/>
      <c r="C23" s="337"/>
      <c r="D23" s="337"/>
      <c r="E23" s="337"/>
      <c r="F23" s="337"/>
    </row>
    <row r="24" spans="1:6" ht="13.15" customHeight="1">
      <c r="A24" s="338" t="s">
        <v>466</v>
      </c>
      <c r="B24" s="76"/>
      <c r="C24" s="76"/>
      <c r="D24" s="76"/>
      <c r="E24" s="76"/>
      <c r="F24" s="76"/>
    </row>
    <row r="25" spans="1:6" ht="16.5">
      <c r="A25" s="339" t="s">
        <v>533</v>
      </c>
      <c r="B25" s="76"/>
      <c r="C25" s="76"/>
      <c r="D25" s="76"/>
      <c r="E25" s="76"/>
      <c r="F25" s="76"/>
    </row>
    <row r="26" spans="1:6" ht="16.5">
      <c r="A26" s="343"/>
    </row>
    <row r="27" spans="1:6" ht="16.5">
      <c r="A27" s="343"/>
    </row>
    <row r="28" spans="1:6" ht="16.5">
      <c r="A28" s="343"/>
    </row>
    <row r="29" spans="1:6">
      <c r="A29" s="344"/>
    </row>
  </sheetData>
  <mergeCells count="3">
    <mergeCell ref="A1:F1"/>
    <mergeCell ref="A4:F4"/>
    <mergeCell ref="A12:F12"/>
  </mergeCells>
  <phoneticPr fontId="5" type="noConversion"/>
  <pageMargins left="1.299212598425197" right="0.11811023622047245" top="0.74803149606299213" bottom="0.74803149606299213" header="0.31496062992125984" footer="0.31496062992125984"/>
  <pageSetup paperSize="9" scale="8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E33"/>
  <sheetViews>
    <sheetView view="pageBreakPreview" zoomScale="95" zoomScaleNormal="100" zoomScaleSheetLayoutView="95" workbookViewId="0">
      <selection activeCell="H17" sqref="H17"/>
    </sheetView>
  </sheetViews>
  <sheetFormatPr defaultRowHeight="15"/>
  <cols>
    <col min="1" max="1" width="6.28515625" customWidth="1"/>
    <col min="2" max="2" width="47.85546875" customWidth="1"/>
    <col min="3" max="3" width="15" style="136" customWidth="1"/>
  </cols>
  <sheetData>
    <row r="1" spans="1:4" ht="12" customHeight="1">
      <c r="C1" s="135" t="s">
        <v>34</v>
      </c>
    </row>
    <row r="2" spans="1:4" ht="12" customHeight="1">
      <c r="C2" s="135" t="s">
        <v>35</v>
      </c>
    </row>
    <row r="3" spans="1:4" ht="12" customHeight="1">
      <c r="C3" s="135" t="s">
        <v>36</v>
      </c>
    </row>
    <row r="4" spans="1:4" ht="12" customHeight="1">
      <c r="C4" s="135" t="s">
        <v>37</v>
      </c>
    </row>
    <row r="5" spans="1:4" ht="12" customHeight="1">
      <c r="C5" s="135" t="s">
        <v>38</v>
      </c>
    </row>
    <row r="6" spans="1:4" ht="30.75" customHeight="1">
      <c r="A6" s="404" t="s">
        <v>529</v>
      </c>
      <c r="B6" s="404"/>
      <c r="C6" s="404"/>
    </row>
    <row r="7" spans="1:4" ht="55.15" customHeight="1">
      <c r="A7" s="405" t="s">
        <v>541</v>
      </c>
      <c r="B7" s="405"/>
      <c r="C7" s="405"/>
      <c r="D7" s="405"/>
    </row>
    <row r="8" spans="1:4" ht="3.75" customHeight="1"/>
    <row r="9" spans="1:4" ht="3.75" customHeight="1"/>
    <row r="10" spans="1:4">
      <c r="A10" s="406" t="s">
        <v>33</v>
      </c>
      <c r="B10" s="408" t="s">
        <v>1</v>
      </c>
      <c r="C10" s="409" t="s">
        <v>2</v>
      </c>
    </row>
    <row r="11" spans="1:4" ht="25.15" customHeight="1">
      <c r="A11" s="407"/>
      <c r="B11" s="408"/>
      <c r="C11" s="409"/>
    </row>
    <row r="12" spans="1:4" ht="22.5" customHeight="1">
      <c r="A12" s="1">
        <v>1</v>
      </c>
      <c r="B12" s="2" t="s">
        <v>3</v>
      </c>
      <c r="C12" s="353">
        <f>C13+C18+C24</f>
        <v>2565.8599999999997</v>
      </c>
    </row>
    <row r="13" spans="1:4">
      <c r="A13" s="1" t="s">
        <v>13</v>
      </c>
      <c r="B13" s="2" t="s">
        <v>4</v>
      </c>
      <c r="C13" s="131">
        <f>C14+C15+C16</f>
        <v>2402.2799999999997</v>
      </c>
    </row>
    <row r="14" spans="1:4" ht="42.75" customHeight="1">
      <c r="A14" s="1" t="s">
        <v>14</v>
      </c>
      <c r="B14" s="2" t="s">
        <v>334</v>
      </c>
      <c r="C14" s="131">
        <f>МатВит!G33+Роз14НеопізнанніЗима!E21</f>
        <v>1657.85</v>
      </c>
    </row>
    <row r="15" spans="1:4">
      <c r="A15" s="1" t="s">
        <v>22</v>
      </c>
      <c r="B15" s="23" t="s">
        <v>27</v>
      </c>
      <c r="C15" s="131">
        <f>Роз14НеопізнанніЗима!E36</f>
        <v>610.18999999999994</v>
      </c>
    </row>
    <row r="16" spans="1:4">
      <c r="A16" s="410" t="s">
        <v>23</v>
      </c>
      <c r="B16" s="23" t="s">
        <v>5</v>
      </c>
      <c r="C16" s="412">
        <f>ROUND(C15*22%,2)</f>
        <v>134.24</v>
      </c>
    </row>
    <row r="17" spans="1:5" ht="30">
      <c r="A17" s="411"/>
      <c r="B17" s="24" t="s">
        <v>6</v>
      </c>
      <c r="C17" s="412"/>
    </row>
    <row r="18" spans="1:5">
      <c r="A18" s="1" t="s">
        <v>24</v>
      </c>
      <c r="B18" s="2" t="s">
        <v>7</v>
      </c>
      <c r="C18" s="131">
        <f>C21+C20+C19</f>
        <v>163.57999999999998</v>
      </c>
    </row>
    <row r="19" spans="1:5" ht="30">
      <c r="A19" s="1" t="s">
        <v>85</v>
      </c>
      <c r="B19" s="2" t="s">
        <v>521</v>
      </c>
      <c r="C19" s="131">
        <f>Роз14НеопізнанніЗима!E40</f>
        <v>96.09</v>
      </c>
    </row>
    <row r="20" spans="1:5">
      <c r="A20" s="1" t="s">
        <v>87</v>
      </c>
      <c r="B20" s="2" t="s">
        <v>86</v>
      </c>
      <c r="C20" s="131">
        <f>Роз14НеопізнанніЗима!E41</f>
        <v>0</v>
      </c>
    </row>
    <row r="21" spans="1:5">
      <c r="A21" s="1" t="s">
        <v>88</v>
      </c>
      <c r="B21" s="2" t="s">
        <v>28</v>
      </c>
      <c r="C21" s="131">
        <f>ОпВитратиРоз3!D12</f>
        <v>67.489999999999995</v>
      </c>
    </row>
    <row r="22" spans="1:5">
      <c r="A22" s="1">
        <v>2</v>
      </c>
      <c r="B22" s="2" t="s">
        <v>29</v>
      </c>
      <c r="C22" s="131"/>
    </row>
    <row r="23" spans="1:5">
      <c r="A23" s="1" t="s">
        <v>89</v>
      </c>
      <c r="B23" s="2" t="s">
        <v>30</v>
      </c>
      <c r="C23" s="131">
        <f>C13+C18</f>
        <v>2565.8599999999997</v>
      </c>
    </row>
    <row r="24" spans="1:5" ht="30">
      <c r="A24" s="1" t="s">
        <v>90</v>
      </c>
      <c r="B24" s="2" t="s">
        <v>9</v>
      </c>
      <c r="C24" s="131">
        <f>Роз14НеопізнанніЗима!E44</f>
        <v>0</v>
      </c>
    </row>
    <row r="25" spans="1:5">
      <c r="A25" s="1" t="s">
        <v>91</v>
      </c>
      <c r="B25" s="2" t="s">
        <v>31</v>
      </c>
      <c r="C25" s="133">
        <f>C23+C24</f>
        <v>2565.8599999999997</v>
      </c>
    </row>
    <row r="26" spans="1:5">
      <c r="A26" s="1" t="s">
        <v>92</v>
      </c>
      <c r="B26" s="2" t="s">
        <v>11</v>
      </c>
      <c r="C26" s="132">
        <v>1</v>
      </c>
      <c r="D26" s="329"/>
    </row>
    <row r="27" spans="1:5" s="25" customFormat="1" ht="24.6" customHeight="1">
      <c r="A27" s="1" t="s">
        <v>93</v>
      </c>
      <c r="B27" s="2" t="s">
        <v>32</v>
      </c>
      <c r="C27" s="353">
        <f>C25*C26</f>
        <v>2565.8599999999997</v>
      </c>
      <c r="E27" s="145"/>
    </row>
    <row r="28" spans="1:5" s="40" customFormat="1" ht="36.6" customHeight="1">
      <c r="A28" s="346" t="s">
        <v>350</v>
      </c>
      <c r="B28" s="347" t="s">
        <v>573</v>
      </c>
      <c r="C28" s="353">
        <f>ВитНеопізниніх!F11+ВитНеопізниніх!F13+ВитНеопізниніх!F14+ВитНеопізниніх!F15+ВитНеопізниніх!F16+ВитНеопізниніх!F17</f>
        <v>24445</v>
      </c>
      <c r="E28" s="342"/>
    </row>
    <row r="29" spans="1:5" ht="66" customHeight="1">
      <c r="A29" s="1" t="s">
        <v>351</v>
      </c>
      <c r="B29" s="386" t="s">
        <v>576</v>
      </c>
      <c r="C29" s="133">
        <f>ROUND(C28+C27,2)</f>
        <v>27010.86</v>
      </c>
    </row>
    <row r="31" spans="1:5" s="70" customFormat="1" ht="15.75">
      <c r="A31" s="179" t="s">
        <v>536</v>
      </c>
      <c r="C31" s="187"/>
      <c r="D31" s="375">
        <f>ROUND(C29,0)</f>
        <v>27011</v>
      </c>
    </row>
    <row r="33" spans="1:3" ht="28.5" customHeight="1">
      <c r="A33" s="403" t="s">
        <v>55</v>
      </c>
      <c r="B33" s="403"/>
      <c r="C33" s="373" t="s">
        <v>528</v>
      </c>
    </row>
  </sheetData>
  <mergeCells count="8">
    <mergeCell ref="A33:B33"/>
    <mergeCell ref="A6:C6"/>
    <mergeCell ref="A10:A11"/>
    <mergeCell ref="B10:B11"/>
    <mergeCell ref="C10:C11"/>
    <mergeCell ref="A16:A17"/>
    <mergeCell ref="C16:C17"/>
    <mergeCell ref="A7:D7"/>
  </mergeCells>
  <phoneticPr fontId="5" type="noConversion"/>
  <pageMargins left="1.3385826771653544" right="0" top="0.98425196850393704" bottom="0.98425196850393704" header="0.51181102362204722" footer="0.51181102362204722"/>
  <pageSetup paperSize="9" scale="95"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K52"/>
  <sheetViews>
    <sheetView view="pageBreakPreview" zoomScaleNormal="100" zoomScaleSheetLayoutView="100" workbookViewId="0">
      <selection activeCell="G4" sqref="G4"/>
    </sheetView>
  </sheetViews>
  <sheetFormatPr defaultColWidth="9.140625" defaultRowHeight="15.75"/>
  <cols>
    <col min="1" max="1" width="30" style="292" customWidth="1"/>
    <col min="2" max="2" width="24" style="301" customWidth="1"/>
    <col min="3" max="3" width="21.140625" style="292" customWidth="1"/>
    <col min="4" max="4" width="11.28515625" style="292" customWidth="1"/>
    <col min="5" max="5" width="13.140625" style="292" customWidth="1"/>
    <col min="6" max="6" width="12.28515625" style="292" customWidth="1"/>
    <col min="7" max="16384" width="9.140625" style="292"/>
  </cols>
  <sheetData>
    <row r="1" spans="1:6" ht="27" customHeight="1">
      <c r="A1" s="453" t="s">
        <v>299</v>
      </c>
      <c r="B1" s="453"/>
      <c r="C1" s="130" t="str">
        <f>К14_ВоєнніНеопізнанніЗима!A6</f>
        <v>КАЛЬКУЛЯЦІЯ № 14</v>
      </c>
      <c r="D1" s="130"/>
      <c r="E1" s="130"/>
    </row>
    <row r="2" spans="1:6" ht="57" customHeight="1">
      <c r="A2" s="454" t="str">
        <f>К14_ВоєнніНеопізнанніЗима!A7</f>
        <v xml:space="preserve">Послуга з організації та проведення поховання невпізнаних тіл (останків) війсковослужбовців, поліцейських та інших осіб, які загинули (померли) внаслідок збройної агресії проти України у зимовий період на кладовищах Южненської міської територіальної громади Одеського району Одеської області </v>
      </c>
      <c r="B2" s="454"/>
      <c r="C2" s="454"/>
      <c r="D2" s="454"/>
      <c r="E2" s="454"/>
    </row>
    <row r="3" spans="1:6" ht="53.25" customHeight="1">
      <c r="A3" s="454" t="s">
        <v>321</v>
      </c>
      <c r="B3" s="454"/>
      <c r="C3" s="454"/>
      <c r="D3" s="454"/>
      <c r="E3" s="454"/>
    </row>
    <row r="4" spans="1:6" ht="65.25" customHeight="1">
      <c r="A4" s="447" t="s">
        <v>322</v>
      </c>
      <c r="B4" s="447"/>
      <c r="C4" s="447"/>
      <c r="D4" s="447"/>
      <c r="E4" s="447"/>
    </row>
    <row r="5" spans="1:6" ht="108.75" customHeight="1">
      <c r="A5" s="447" t="s">
        <v>323</v>
      </c>
      <c r="B5" s="447"/>
      <c r="C5" s="447"/>
      <c r="D5" s="447"/>
      <c r="E5" s="447"/>
    </row>
    <row r="6" spans="1:6" ht="75" customHeight="1">
      <c r="A6" s="472" t="s">
        <v>572</v>
      </c>
      <c r="B6" s="472"/>
      <c r="C6" s="472"/>
      <c r="D6" s="472"/>
      <c r="E6" s="472"/>
    </row>
    <row r="7" spans="1:6" ht="10.5" customHeight="1" thickBot="1">
      <c r="A7" s="436"/>
      <c r="B7" s="436"/>
      <c r="C7" s="436"/>
      <c r="D7" s="436"/>
    </row>
    <row r="8" spans="1:6" ht="18.75" customHeight="1" thickBot="1">
      <c r="A8" s="250" t="s">
        <v>1</v>
      </c>
      <c r="B8" s="183" t="s">
        <v>208</v>
      </c>
      <c r="C8" s="251" t="s">
        <v>266</v>
      </c>
      <c r="D8" s="252" t="s">
        <v>193</v>
      </c>
      <c r="E8" s="138" t="s">
        <v>489</v>
      </c>
    </row>
    <row r="9" spans="1:6" ht="17.25" customHeight="1">
      <c r="A9" s="418" t="s">
        <v>268</v>
      </c>
      <c r="B9" s="253" t="s">
        <v>286</v>
      </c>
      <c r="C9" s="449" t="s">
        <v>284</v>
      </c>
      <c r="D9" s="449" t="s">
        <v>283</v>
      </c>
      <c r="E9" s="451">
        <f>2.2*1.9*1</f>
        <v>4.18</v>
      </c>
    </row>
    <row r="10" spans="1:6" ht="28.5" customHeight="1" thickBot="1">
      <c r="A10" s="448"/>
      <c r="B10" s="272" t="s">
        <v>313</v>
      </c>
      <c r="C10" s="450"/>
      <c r="D10" s="450"/>
      <c r="E10" s="452"/>
    </row>
    <row r="11" spans="1:6" ht="21.75" customHeight="1" thickBot="1">
      <c r="A11" s="440" t="s">
        <v>480</v>
      </c>
      <c r="B11" s="441"/>
      <c r="C11" s="442"/>
      <c r="D11" s="254"/>
      <c r="E11" s="302"/>
    </row>
    <row r="12" spans="1:6" ht="41.25" customHeight="1" thickBot="1">
      <c r="A12" s="293" t="s">
        <v>314</v>
      </c>
      <c r="B12" s="438" t="s">
        <v>492</v>
      </c>
      <c r="C12" s="257" t="s">
        <v>327</v>
      </c>
      <c r="D12" s="257" t="s">
        <v>316</v>
      </c>
      <c r="E12" s="258">
        <f>ROUND(0.14*E9,2)</f>
        <v>0.59</v>
      </c>
    </row>
    <row r="13" spans="1:6" ht="51" customHeight="1" thickBot="1">
      <c r="A13" s="294" t="s">
        <v>315</v>
      </c>
      <c r="B13" s="439"/>
      <c r="C13" s="260" t="s">
        <v>317</v>
      </c>
      <c r="D13" s="257" t="s">
        <v>316</v>
      </c>
      <c r="E13" s="385">
        <v>1</v>
      </c>
    </row>
    <row r="14" spans="1:6" ht="49.5" customHeight="1" thickBot="1">
      <c r="A14" s="440" t="s">
        <v>481</v>
      </c>
      <c r="B14" s="441"/>
      <c r="C14" s="442"/>
      <c r="D14" s="262" t="s">
        <v>56</v>
      </c>
      <c r="E14" s="302">
        <f>E15+E16</f>
        <v>267.58</v>
      </c>
      <c r="F14" s="295"/>
    </row>
    <row r="15" spans="1:6" ht="30" customHeight="1" thickBot="1">
      <c r="A15" s="293" t="s">
        <v>314</v>
      </c>
      <c r="B15" s="438" t="s">
        <v>319</v>
      </c>
      <c r="C15" s="257" t="s">
        <v>366</v>
      </c>
      <c r="D15" s="262" t="s">
        <v>56</v>
      </c>
      <c r="E15" s="263">
        <f>ROUND(E12*E17*5*1.08,2)</f>
        <v>187.94</v>
      </c>
    </row>
    <row r="16" spans="1:6" ht="33.75" customHeight="1" thickBot="1">
      <c r="A16" s="296" t="s">
        <v>336</v>
      </c>
      <c r="B16" s="439"/>
      <c r="C16" s="260" t="s">
        <v>373</v>
      </c>
      <c r="D16" s="262" t="s">
        <v>56</v>
      </c>
      <c r="E16" s="263">
        <f>ROUND(E13*E17*10/8*1.08,2)</f>
        <v>79.64</v>
      </c>
    </row>
    <row r="17" spans="1:6" ht="23.25" customHeight="1" thickBot="1">
      <c r="A17" s="265" t="s">
        <v>318</v>
      </c>
      <c r="B17" s="443" t="s">
        <v>320</v>
      </c>
      <c r="C17" s="444"/>
      <c r="D17" s="262" t="s">
        <v>56</v>
      </c>
      <c r="E17" s="141">
        <v>58.99</v>
      </c>
    </row>
    <row r="18" spans="1:6" ht="23.25" customHeight="1" thickBot="1">
      <c r="A18" s="433" t="s">
        <v>482</v>
      </c>
      <c r="B18" s="434"/>
      <c r="C18" s="437"/>
      <c r="D18" s="262" t="s">
        <v>56</v>
      </c>
      <c r="E18" s="302">
        <f>E19+E20</f>
        <v>1314.53</v>
      </c>
      <c r="F18" s="295"/>
    </row>
    <row r="19" spans="1:6" ht="32.25" customHeight="1" thickBot="1">
      <c r="A19" s="297" t="s">
        <v>325</v>
      </c>
      <c r="B19" s="445" t="s">
        <v>367</v>
      </c>
      <c r="C19" s="257" t="s">
        <v>553</v>
      </c>
      <c r="D19" s="262" t="s">
        <v>56</v>
      </c>
      <c r="E19" s="378">
        <f>ROUND(1838.51*E12,2)</f>
        <v>1084.72</v>
      </c>
      <c r="F19" s="295"/>
    </row>
    <row r="20" spans="1:6" ht="31.5" customHeight="1" thickBot="1">
      <c r="A20" s="296" t="s">
        <v>336</v>
      </c>
      <c r="B20" s="446"/>
      <c r="C20" s="267" t="s">
        <v>554</v>
      </c>
      <c r="D20" s="262" t="s">
        <v>56</v>
      </c>
      <c r="E20" s="379">
        <f>ROUND(1838.51*E13/8,2)</f>
        <v>229.81</v>
      </c>
      <c r="F20" s="295"/>
    </row>
    <row r="21" spans="1:6" ht="34.5" customHeight="1" thickBot="1">
      <c r="A21" s="433" t="s">
        <v>483</v>
      </c>
      <c r="B21" s="434"/>
      <c r="C21" s="435"/>
      <c r="D21" s="268" t="s">
        <v>56</v>
      </c>
      <c r="E21" s="379">
        <f>E14+E18</f>
        <v>1582.11</v>
      </c>
    </row>
    <row r="22" spans="1:6" ht="18.75" customHeight="1">
      <c r="A22" s="418" t="s">
        <v>292</v>
      </c>
      <c r="B22" s="253" t="s">
        <v>293</v>
      </c>
      <c r="C22" s="420" t="s">
        <v>359</v>
      </c>
      <c r="D22" s="432" t="s">
        <v>56</v>
      </c>
      <c r="E22" s="424">
        <f>ROUND(E34*2.2*0.1,2)</f>
        <v>17.13</v>
      </c>
    </row>
    <row r="23" spans="1:6" ht="30.75" customHeight="1" thickBot="1">
      <c r="A23" s="419"/>
      <c r="B23" s="290" t="s">
        <v>271</v>
      </c>
      <c r="C23" s="421"/>
      <c r="D23" s="429"/>
      <c r="E23" s="425"/>
    </row>
    <row r="24" spans="1:6" ht="18.75" customHeight="1">
      <c r="A24" s="418" t="s">
        <v>270</v>
      </c>
      <c r="B24" s="253" t="s">
        <v>295</v>
      </c>
      <c r="C24" s="420" t="s">
        <v>360</v>
      </c>
      <c r="D24" s="432" t="s">
        <v>56</v>
      </c>
      <c r="E24" s="424">
        <f>ROUND(E34*2.2*0.13,2)</f>
        <v>22.27</v>
      </c>
    </row>
    <row r="25" spans="1:6" ht="35.25" customHeight="1" thickBot="1">
      <c r="A25" s="419"/>
      <c r="B25" s="290" t="s">
        <v>271</v>
      </c>
      <c r="C25" s="421"/>
      <c r="D25" s="429"/>
      <c r="E25" s="425"/>
    </row>
    <row r="26" spans="1:6" ht="18.75" customHeight="1">
      <c r="A26" s="413" t="s">
        <v>328</v>
      </c>
      <c r="B26" s="428" t="s">
        <v>329</v>
      </c>
      <c r="C26" s="430" t="s">
        <v>517</v>
      </c>
      <c r="D26" s="428" t="s">
        <v>285</v>
      </c>
      <c r="E26" s="431">
        <f>ROUND(0.125*((2.2*1)+(2.2+1 )*2*1.9),2)</f>
        <v>1.8</v>
      </c>
    </row>
    <row r="27" spans="1:6" ht="41.25" customHeight="1" thickBot="1">
      <c r="A27" s="413"/>
      <c r="B27" s="429"/>
      <c r="C27" s="430"/>
      <c r="D27" s="429"/>
      <c r="E27" s="431"/>
    </row>
    <row r="28" spans="1:6" ht="34.5" customHeight="1">
      <c r="A28" s="418" t="s">
        <v>491</v>
      </c>
      <c r="B28" s="183"/>
      <c r="C28" s="420" t="s">
        <v>331</v>
      </c>
      <c r="D28" s="426" t="s">
        <v>285</v>
      </c>
      <c r="E28" s="424">
        <f>E26*1.3</f>
        <v>2.3400000000000003</v>
      </c>
    </row>
    <row r="29" spans="1:6" ht="60" customHeight="1" thickBot="1">
      <c r="A29" s="419"/>
      <c r="B29" s="184" t="s">
        <v>269</v>
      </c>
      <c r="C29" s="421"/>
      <c r="D29" s="427"/>
      <c r="E29" s="425"/>
    </row>
    <row r="30" spans="1:6" ht="24" customHeight="1">
      <c r="A30" s="418" t="s">
        <v>272</v>
      </c>
      <c r="B30" s="253" t="s">
        <v>332</v>
      </c>
      <c r="C30" s="420" t="s">
        <v>361</v>
      </c>
      <c r="D30" s="422" t="s">
        <v>285</v>
      </c>
      <c r="E30" s="424">
        <f>ROUND(0.79*E9,2)</f>
        <v>3.3</v>
      </c>
    </row>
    <row r="31" spans="1:6" ht="30" customHeight="1" thickBot="1">
      <c r="A31" s="419"/>
      <c r="B31" s="290" t="s">
        <v>273</v>
      </c>
      <c r="C31" s="421"/>
      <c r="D31" s="423"/>
      <c r="E31" s="425"/>
    </row>
    <row r="32" spans="1:6" ht="28.5" customHeight="1" thickBot="1">
      <c r="A32" s="418" t="s">
        <v>301</v>
      </c>
      <c r="B32" s="253" t="s">
        <v>274</v>
      </c>
      <c r="C32" s="172" t="s">
        <v>368</v>
      </c>
      <c r="D32" s="422" t="s">
        <v>285</v>
      </c>
      <c r="E32" s="141">
        <f>E30+E28</f>
        <v>5.6400000000000006</v>
      </c>
    </row>
    <row r="33" spans="1:11" ht="35.25" customHeight="1" thickBot="1">
      <c r="A33" s="419"/>
      <c r="B33" s="290" t="s">
        <v>275</v>
      </c>
      <c r="C33" s="174" t="s">
        <v>369</v>
      </c>
      <c r="D33" s="423"/>
      <c r="E33" s="182">
        <f>ROUND(E32*1.3,2)</f>
        <v>7.33</v>
      </c>
    </row>
    <row r="34" spans="1:11" ht="36.75" customHeight="1" thickBot="1">
      <c r="A34" s="270" t="s">
        <v>264</v>
      </c>
      <c r="B34" s="291" t="s">
        <v>289</v>
      </c>
      <c r="C34" s="298"/>
      <c r="D34" s="272" t="s">
        <v>56</v>
      </c>
      <c r="E34" s="142">
        <f>СПР_ШТ!D14</f>
        <v>77.87</v>
      </c>
    </row>
    <row r="35" spans="1:11" ht="94.5" customHeight="1" thickBot="1">
      <c r="A35" s="273" t="s">
        <v>333</v>
      </c>
      <c r="B35" s="257" t="s">
        <v>303</v>
      </c>
      <c r="C35" s="274" t="s">
        <v>370</v>
      </c>
      <c r="D35" s="257" t="s">
        <v>56</v>
      </c>
      <c r="E35" s="141">
        <f>ROUND(E34*E33,2)</f>
        <v>570.79</v>
      </c>
    </row>
    <row r="36" spans="1:11" ht="47.25" customHeight="1" thickBot="1">
      <c r="A36" s="275" t="s">
        <v>276</v>
      </c>
      <c r="B36" s="299"/>
      <c r="C36" s="277" t="s">
        <v>371</v>
      </c>
      <c r="D36" s="183" t="s">
        <v>56</v>
      </c>
      <c r="E36" s="143">
        <f>E35+E24+E22</f>
        <v>610.18999999999994</v>
      </c>
    </row>
    <row r="37" spans="1:11" ht="32.25" customHeight="1" thickBot="1">
      <c r="A37" s="270" t="s">
        <v>277</v>
      </c>
      <c r="B37" s="278">
        <v>0.22</v>
      </c>
      <c r="C37" s="277" t="s">
        <v>372</v>
      </c>
      <c r="D37" s="183" t="s">
        <v>56</v>
      </c>
      <c r="E37" s="185">
        <f>ROUND(E36*0.22,2)</f>
        <v>134.24</v>
      </c>
    </row>
    <row r="38" spans="1:11" ht="33" customHeight="1" thickBot="1">
      <c r="A38" s="300" t="s">
        <v>227</v>
      </c>
      <c r="B38" s="280" t="s">
        <v>290</v>
      </c>
      <c r="C38" s="281"/>
      <c r="D38" s="183" t="s">
        <v>56</v>
      </c>
      <c r="E38" s="185">
        <f>МатВит!G33</f>
        <v>75.739999999999995</v>
      </c>
    </row>
    <row r="39" spans="1:11" ht="33" customHeight="1" thickBot="1">
      <c r="A39" s="282" t="s">
        <v>278</v>
      </c>
      <c r="B39" s="280"/>
      <c r="C39" s="277" t="s">
        <v>564</v>
      </c>
      <c r="D39" s="257" t="s">
        <v>56</v>
      </c>
      <c r="E39" s="381">
        <f>E37+E36+E38+E21</f>
        <v>2402.2799999999997</v>
      </c>
    </row>
    <row r="40" spans="1:11" ht="21" customHeight="1" thickBot="1">
      <c r="A40" s="282" t="s">
        <v>279</v>
      </c>
      <c r="B40" s="278">
        <v>0.04</v>
      </c>
      <c r="C40" s="277" t="s">
        <v>585</v>
      </c>
      <c r="D40" s="184" t="s">
        <v>56</v>
      </c>
      <c r="E40" s="185">
        <f>ROUND(E39*B40,2)</f>
        <v>96.09</v>
      </c>
    </row>
    <row r="41" spans="1:11" ht="21" customHeight="1" thickBot="1">
      <c r="A41" s="282" t="s">
        <v>298</v>
      </c>
      <c r="B41" s="278"/>
      <c r="C41" s="277"/>
      <c r="D41" s="184" t="s">
        <v>56</v>
      </c>
      <c r="E41" s="185">
        <f>ROUND(E39*B41,2)</f>
        <v>0</v>
      </c>
    </row>
    <row r="42" spans="1:11" ht="18.75" customHeight="1" thickBot="1">
      <c r="A42" s="282" t="s">
        <v>280</v>
      </c>
      <c r="B42" s="280" t="s">
        <v>297</v>
      </c>
      <c r="C42" s="277"/>
      <c r="D42" s="184" t="s">
        <v>56</v>
      </c>
      <c r="E42" s="185">
        <f>ОпВитратиРоз3!D12</f>
        <v>67.489999999999995</v>
      </c>
    </row>
    <row r="43" spans="1:11" ht="30" customHeight="1" thickBot="1">
      <c r="A43" s="393" t="s">
        <v>67</v>
      </c>
      <c r="B43" s="394"/>
      <c r="C43" s="277" t="s">
        <v>601</v>
      </c>
      <c r="D43" s="184" t="s">
        <v>56</v>
      </c>
      <c r="E43" s="182">
        <f>E39+E40+E42+E41</f>
        <v>2565.8599999999997</v>
      </c>
    </row>
    <row r="44" spans="1:11" ht="21" customHeight="1" thickBot="1">
      <c r="A44" s="265" t="s">
        <v>281</v>
      </c>
      <c r="B44" s="398">
        <v>0</v>
      </c>
      <c r="C44" s="395"/>
      <c r="D44" s="184" t="s">
        <v>56</v>
      </c>
      <c r="E44" s="185"/>
    </row>
    <row r="45" spans="1:11" ht="21" customHeight="1" thickBot="1">
      <c r="A45" s="283" t="s">
        <v>282</v>
      </c>
      <c r="B45" s="290"/>
      <c r="C45" s="174">
        <v>2565.86</v>
      </c>
      <c r="D45" s="184" t="s">
        <v>56</v>
      </c>
      <c r="E45" s="144">
        <f>ROUND(E44+E43,0)</f>
        <v>2566</v>
      </c>
      <c r="F45" s="295"/>
    </row>
    <row r="46" spans="1:11" ht="9.75" customHeight="1">
      <c r="A46" s="130"/>
    </row>
    <row r="47" spans="1:11">
      <c r="A47" s="285"/>
    </row>
    <row r="48" spans="1:11" s="45" customFormat="1" ht="24.75" customHeight="1">
      <c r="A48" s="45" t="s">
        <v>168</v>
      </c>
      <c r="B48" s="176"/>
      <c r="D48" s="45" t="s">
        <v>169</v>
      </c>
      <c r="F48" s="60"/>
      <c r="G48" s="176"/>
      <c r="H48" s="176"/>
      <c r="I48" s="176"/>
      <c r="J48" s="177"/>
      <c r="K48" s="178"/>
    </row>
    <row r="49" spans="1:1">
      <c r="A49" s="130"/>
    </row>
    <row r="50" spans="1:1">
      <c r="A50" s="285"/>
    </row>
    <row r="51" spans="1:1">
      <c r="A51" s="130"/>
    </row>
    <row r="52" spans="1:1">
      <c r="A52" s="286"/>
    </row>
  </sheetData>
  <mergeCells count="42">
    <mergeCell ref="E24:E25"/>
    <mergeCell ref="A28:A29"/>
    <mergeCell ref="C28:C29"/>
    <mergeCell ref="E30:E31"/>
    <mergeCell ref="A26:A27"/>
    <mergeCell ref="B26:B27"/>
    <mergeCell ref="A24:A25"/>
    <mergeCell ref="C24:C25"/>
    <mergeCell ref="D24:D25"/>
    <mergeCell ref="D30:D31"/>
    <mergeCell ref="E28:E29"/>
    <mergeCell ref="E26:E27"/>
    <mergeCell ref="A30:A31"/>
    <mergeCell ref="C30:C31"/>
    <mergeCell ref="D26:D27"/>
    <mergeCell ref="A21:C21"/>
    <mergeCell ref="D22:D23"/>
    <mergeCell ref="A32:A33"/>
    <mergeCell ref="D32:D33"/>
    <mergeCell ref="C26:C27"/>
    <mergeCell ref="D28:D29"/>
    <mergeCell ref="A1:B1"/>
    <mergeCell ref="A2:E2"/>
    <mergeCell ref="A3:E3"/>
    <mergeCell ref="A4:E4"/>
    <mergeCell ref="A5:E5"/>
    <mergeCell ref="E22:E23"/>
    <mergeCell ref="A11:C11"/>
    <mergeCell ref="A6:E6"/>
    <mergeCell ref="E9:E10"/>
    <mergeCell ref="B19:B20"/>
    <mergeCell ref="B12:B13"/>
    <mergeCell ref="A14:C14"/>
    <mergeCell ref="A7:D7"/>
    <mergeCell ref="A9:A10"/>
    <mergeCell ref="A22:A23"/>
    <mergeCell ref="C22:C23"/>
    <mergeCell ref="C9:C10"/>
    <mergeCell ref="D9:D10"/>
    <mergeCell ref="B15:B16"/>
    <mergeCell ref="B17:C17"/>
    <mergeCell ref="A18:C18"/>
  </mergeCells>
  <phoneticPr fontId="5" type="noConversion"/>
  <pageMargins left="1.1023622047244095" right="0.11811023622047245" top="0.55118110236220474" bottom="0.15748031496062992" header="0.31496062992125984" footer="0.31496062992125984"/>
  <pageSetup paperSize="9" scale="88" orientation="portrait" blackAndWhite="1" horizontalDpi="300" verticalDpi="300" r:id="rId1"/>
  <rowBreaks count="1" manualBreakCount="1">
    <brk id="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E35"/>
  <sheetViews>
    <sheetView view="pageBreakPreview" topLeftCell="A13" zoomScale="98" zoomScaleNormal="100" zoomScaleSheetLayoutView="98" workbookViewId="0">
      <selection activeCell="C29" sqref="C29"/>
    </sheetView>
  </sheetViews>
  <sheetFormatPr defaultColWidth="9.140625" defaultRowHeight="15"/>
  <cols>
    <col min="1" max="1" width="6.28515625" style="40" customWidth="1"/>
    <col min="2" max="2" width="50.7109375" style="40" customWidth="1"/>
    <col min="3" max="3" width="20.85546875" style="341" customWidth="1"/>
    <col min="4" max="4" width="9.140625" style="40"/>
    <col min="5" max="5" width="15.42578125" style="40" customWidth="1"/>
    <col min="6" max="16384" width="9.140625" style="40"/>
  </cols>
  <sheetData>
    <row r="1" spans="1:3" ht="12" customHeight="1">
      <c r="A1" s="70"/>
      <c r="B1" s="70"/>
      <c r="C1" s="365" t="s">
        <v>34</v>
      </c>
    </row>
    <row r="2" spans="1:3" ht="12" customHeight="1">
      <c r="A2" s="70"/>
      <c r="B2" s="70"/>
      <c r="C2" s="365" t="s">
        <v>35</v>
      </c>
    </row>
    <row r="3" spans="1:3" ht="12" customHeight="1">
      <c r="A3" s="70"/>
      <c r="B3" s="70"/>
      <c r="C3" s="365" t="s">
        <v>36</v>
      </c>
    </row>
    <row r="4" spans="1:3" ht="12" customHeight="1">
      <c r="A4" s="70"/>
      <c r="B4" s="70"/>
      <c r="C4" s="365" t="s">
        <v>37</v>
      </c>
    </row>
    <row r="5" spans="1:3" ht="12" customHeight="1">
      <c r="A5" s="70"/>
      <c r="B5" s="70"/>
      <c r="C5" s="365" t="s">
        <v>38</v>
      </c>
    </row>
    <row r="6" spans="1:3" ht="23.25" customHeight="1">
      <c r="A6" s="458" t="s">
        <v>525</v>
      </c>
      <c r="B6" s="458"/>
      <c r="C6" s="458"/>
    </row>
    <row r="7" spans="1:3" ht="59.45" customHeight="1">
      <c r="A7" s="405" t="s">
        <v>540</v>
      </c>
      <c r="B7" s="405"/>
      <c r="C7" s="405"/>
    </row>
    <row r="8" spans="1:3" ht="3" customHeight="1">
      <c r="A8" s="70"/>
      <c r="B8" s="70"/>
      <c r="C8" s="187"/>
    </row>
    <row r="9" spans="1:3" ht="3" customHeight="1">
      <c r="A9" s="70"/>
      <c r="B9" s="70"/>
      <c r="C9" s="187"/>
    </row>
    <row r="10" spans="1:3" ht="19.5" customHeight="1">
      <c r="A10" s="459" t="s">
        <v>33</v>
      </c>
      <c r="B10" s="461" t="s">
        <v>1</v>
      </c>
      <c r="C10" s="462" t="s">
        <v>2</v>
      </c>
    </row>
    <row r="11" spans="1:3" ht="21" customHeight="1">
      <c r="A11" s="460"/>
      <c r="B11" s="461"/>
      <c r="C11" s="462"/>
    </row>
    <row r="12" spans="1:3" ht="18.75" customHeight="1">
      <c r="A12" s="346">
        <v>1</v>
      </c>
      <c r="B12" s="347" t="s">
        <v>3</v>
      </c>
      <c r="C12" s="353">
        <f>C13+C18+C24</f>
        <v>2536.48</v>
      </c>
    </row>
    <row r="13" spans="1:3" ht="16.5" customHeight="1">
      <c r="A13" s="346" t="s">
        <v>13</v>
      </c>
      <c r="B13" s="347" t="s">
        <v>4</v>
      </c>
      <c r="C13" s="353">
        <f>C14+C15+C16</f>
        <v>2146.9499999999998</v>
      </c>
    </row>
    <row r="14" spans="1:3" ht="32.450000000000003" customHeight="1">
      <c r="A14" s="346" t="s">
        <v>14</v>
      </c>
      <c r="B14" s="347" t="s">
        <v>202</v>
      </c>
      <c r="C14" s="366">
        <f>МатВит!G33+Роз13_НеопізнаніЛіто!E21</f>
        <v>1577.32</v>
      </c>
    </row>
    <row r="15" spans="1:3">
      <c r="A15" s="346" t="s">
        <v>22</v>
      </c>
      <c r="B15" s="350" t="s">
        <v>27</v>
      </c>
      <c r="C15" s="366">
        <f>Роз13_НеопізнаніЛіто!E36</f>
        <v>466.90999999999997</v>
      </c>
    </row>
    <row r="16" spans="1:3">
      <c r="A16" s="455" t="s">
        <v>23</v>
      </c>
      <c r="B16" s="350" t="s">
        <v>5</v>
      </c>
      <c r="C16" s="457">
        <f>Роз13_НеопізнаніЛіто!E37</f>
        <v>102.72</v>
      </c>
    </row>
    <row r="17" spans="1:5" ht="30">
      <c r="A17" s="456"/>
      <c r="B17" s="351" t="s">
        <v>6</v>
      </c>
      <c r="C17" s="457"/>
    </row>
    <row r="18" spans="1:5">
      <c r="A18" s="346" t="s">
        <v>24</v>
      </c>
      <c r="B18" s="347" t="s">
        <v>7</v>
      </c>
      <c r="C18" s="353">
        <f>C21+C20+C19</f>
        <v>389.53000000000003</v>
      </c>
    </row>
    <row r="19" spans="1:5" ht="30">
      <c r="A19" s="346" t="s">
        <v>85</v>
      </c>
      <c r="B19" s="347" t="s">
        <v>84</v>
      </c>
      <c r="C19" s="366">
        <f>Роз13_НеопізнаніЛіто!E40</f>
        <v>322.04000000000002</v>
      </c>
    </row>
    <row r="20" spans="1:5">
      <c r="A20" s="346" t="s">
        <v>87</v>
      </c>
      <c r="B20" s="347" t="s">
        <v>86</v>
      </c>
      <c r="C20" s="366">
        <f>Роз13_НеопізнаніЛіто!E41</f>
        <v>0</v>
      </c>
    </row>
    <row r="21" spans="1:5">
      <c r="A21" s="346" t="s">
        <v>88</v>
      </c>
      <c r="B21" s="347" t="s">
        <v>28</v>
      </c>
      <c r="C21" s="366">
        <f>Роз13_НеопізнаніЛіто!E42</f>
        <v>67.489999999999995</v>
      </c>
    </row>
    <row r="22" spans="1:5">
      <c r="A22" s="346">
        <v>2</v>
      </c>
      <c r="B22" s="347" t="s">
        <v>29</v>
      </c>
      <c r="C22" s="366"/>
    </row>
    <row r="23" spans="1:5">
      <c r="A23" s="346" t="s">
        <v>89</v>
      </c>
      <c r="B23" s="347" t="s">
        <v>30</v>
      </c>
      <c r="C23" s="353">
        <f>C13+C18</f>
        <v>2536.48</v>
      </c>
    </row>
    <row r="24" spans="1:5" ht="28.15" customHeight="1">
      <c r="A24" s="346" t="s">
        <v>90</v>
      </c>
      <c r="B24" s="347" t="s">
        <v>515</v>
      </c>
      <c r="C24" s="366">
        <f>Роз13_НеопізнаніЛіто!E44</f>
        <v>0</v>
      </c>
    </row>
    <row r="25" spans="1:5">
      <c r="A25" s="346" t="s">
        <v>91</v>
      </c>
      <c r="B25" s="347" t="s">
        <v>31</v>
      </c>
      <c r="C25" s="353">
        <f>C23+C24</f>
        <v>2536.48</v>
      </c>
    </row>
    <row r="26" spans="1:5">
      <c r="A26" s="346" t="s">
        <v>92</v>
      </c>
      <c r="B26" s="347" t="s">
        <v>11</v>
      </c>
      <c r="C26" s="367">
        <v>1</v>
      </c>
    </row>
    <row r="27" spans="1:5">
      <c r="A27" s="346" t="s">
        <v>93</v>
      </c>
      <c r="B27" s="347" t="s">
        <v>32</v>
      </c>
      <c r="C27" s="353">
        <f>C25*C26</f>
        <v>2536.48</v>
      </c>
      <c r="E27" s="342"/>
    </row>
    <row r="28" spans="1:5" ht="43.15" customHeight="1">
      <c r="A28" s="346" t="s">
        <v>350</v>
      </c>
      <c r="B28" s="347" t="s">
        <v>573</v>
      </c>
      <c r="C28" s="353">
        <f>ВитНеопізниніх!F11+ВитНеопізниніх!F13+ВитНеопізниніх!F14+ВитНеопізниніх!F15+ВитНеопізниніх!F16+ВитНеопізниніх!F17</f>
        <v>24445</v>
      </c>
      <c r="E28" s="342"/>
    </row>
    <row r="29" spans="1:5" ht="63" customHeight="1">
      <c r="A29" s="346" t="s">
        <v>351</v>
      </c>
      <c r="B29" s="386" t="s">
        <v>574</v>
      </c>
      <c r="C29" s="353">
        <f>ROUND(C28+C27,2)</f>
        <v>26981.48</v>
      </c>
      <c r="E29" s="342"/>
    </row>
    <row r="30" spans="1:5">
      <c r="A30" s="368"/>
      <c r="B30" s="369"/>
      <c r="C30" s="370"/>
      <c r="E30" s="342"/>
    </row>
    <row r="31" spans="1:5">
      <c r="A31" s="371" t="s">
        <v>534</v>
      </c>
      <c r="B31" s="70"/>
      <c r="C31" s="375">
        <f>ROUND(C29,0)</f>
        <v>26981</v>
      </c>
    </row>
    <row r="32" spans="1:5">
      <c r="A32" s="70"/>
      <c r="B32" s="70"/>
      <c r="C32" s="187"/>
    </row>
    <row r="33" spans="1:3" ht="16.5">
      <c r="A33" s="339" t="s">
        <v>533</v>
      </c>
      <c r="B33" s="369"/>
      <c r="C33" s="70"/>
    </row>
    <row r="35" spans="1:3">
      <c r="B35" s="342"/>
    </row>
  </sheetData>
  <mergeCells count="7">
    <mergeCell ref="A16:A17"/>
    <mergeCell ref="C16:C17"/>
    <mergeCell ref="A6:C6"/>
    <mergeCell ref="A7:C7"/>
    <mergeCell ref="A10:A11"/>
    <mergeCell ref="B10:B11"/>
    <mergeCell ref="C10:C11"/>
  </mergeCells>
  <phoneticPr fontId="5" type="noConversion"/>
  <pageMargins left="1.3385826771653544" right="0.15748031496062992" top="0.78740157480314965" bottom="0.59055118110236227" header="0.51181102362204722" footer="0.51181102362204722"/>
  <pageSetup paperSize="9" scale="10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K52"/>
  <sheetViews>
    <sheetView view="pageBreakPreview" topLeftCell="A33" zoomScaleNormal="100" zoomScaleSheetLayoutView="100" workbookViewId="0">
      <selection activeCell="F48" sqref="F48"/>
    </sheetView>
  </sheetViews>
  <sheetFormatPr defaultColWidth="9.140625" defaultRowHeight="15.75"/>
  <cols>
    <col min="1" max="1" width="28.5703125" customWidth="1"/>
    <col min="2" max="2" width="24" style="292" customWidth="1"/>
    <col min="3" max="3" width="25.140625" style="292" customWidth="1"/>
    <col min="4" max="4" width="10.7109375" customWidth="1"/>
    <col min="5" max="5" width="13.42578125" customWidth="1"/>
    <col min="6" max="6" width="12.28515625" customWidth="1"/>
  </cols>
  <sheetData>
    <row r="1" spans="1:5" ht="27" customHeight="1">
      <c r="A1" s="467" t="s">
        <v>299</v>
      </c>
      <c r="B1" s="467"/>
      <c r="C1" s="130" t="str">
        <f>К13_ВоєнніНеопізнанніЛіто!A6</f>
        <v>КАЛЬКУЛЯЦІЯ №13</v>
      </c>
      <c r="D1" s="137"/>
      <c r="E1" s="137"/>
    </row>
    <row r="2" spans="1:5" ht="45.6" customHeight="1">
      <c r="A2" s="473" t="str">
        <f>К13_ВоєнніНеопізнанніЛіто!A7</f>
        <v xml:space="preserve">Послуга з організації та проведення на поховання невпізнаних тіл (останків) війсковослужбовців, поліцейських та інших осіб, які загинули (померли) внаслідок збройної агресії проти України у літній період на кладовищах Южненської міської територіальної громади Одеського району Одеської області </v>
      </c>
      <c r="B2" s="473"/>
      <c r="C2" s="473"/>
      <c r="D2" s="473"/>
      <c r="E2" s="473"/>
    </row>
    <row r="3" spans="1:5" ht="56.25" customHeight="1">
      <c r="A3" s="454" t="s">
        <v>321</v>
      </c>
      <c r="B3" s="454"/>
      <c r="C3" s="454"/>
      <c r="D3" s="454"/>
      <c r="E3" s="454"/>
    </row>
    <row r="4" spans="1:5" ht="65.25" customHeight="1">
      <c r="A4" s="447" t="s">
        <v>322</v>
      </c>
      <c r="B4" s="447"/>
      <c r="C4" s="447"/>
      <c r="D4" s="447"/>
      <c r="E4" s="447"/>
    </row>
    <row r="5" spans="1:5" ht="105.75" customHeight="1">
      <c r="A5" s="447" t="s">
        <v>323</v>
      </c>
      <c r="B5" s="447"/>
      <c r="C5" s="447"/>
      <c r="D5" s="447"/>
      <c r="E5" s="447"/>
    </row>
    <row r="6" spans="1:5" ht="78.599999999999994" customHeight="1">
      <c r="A6" s="472" t="s">
        <v>572</v>
      </c>
      <c r="B6" s="472"/>
      <c r="C6" s="472"/>
      <c r="D6" s="472"/>
      <c r="E6" s="472"/>
    </row>
    <row r="7" spans="1:5" ht="7.5" customHeight="1" thickBot="1">
      <c r="A7" s="436"/>
      <c r="B7" s="436"/>
      <c r="C7" s="436"/>
      <c r="D7" s="436"/>
    </row>
    <row r="8" spans="1:5" ht="24" customHeight="1" thickBot="1">
      <c r="A8" s="250" t="s">
        <v>1</v>
      </c>
      <c r="B8" s="183" t="s">
        <v>208</v>
      </c>
      <c r="C8" s="251" t="s">
        <v>266</v>
      </c>
      <c r="D8" s="252" t="s">
        <v>193</v>
      </c>
      <c r="E8" s="138" t="s">
        <v>489</v>
      </c>
    </row>
    <row r="9" spans="1:5" ht="18" customHeight="1">
      <c r="A9" s="418" t="s">
        <v>268</v>
      </c>
      <c r="B9" s="253" t="s">
        <v>286</v>
      </c>
      <c r="C9" s="449" t="s">
        <v>284</v>
      </c>
      <c r="D9" s="449" t="s">
        <v>283</v>
      </c>
      <c r="E9" s="451">
        <f>2.2*1.9*1</f>
        <v>4.18</v>
      </c>
    </row>
    <row r="10" spans="1:5" ht="31.5" customHeight="1" thickBot="1">
      <c r="A10" s="448"/>
      <c r="B10" s="272" t="s">
        <v>313</v>
      </c>
      <c r="C10" s="450"/>
      <c r="D10" s="450"/>
      <c r="E10" s="452"/>
    </row>
    <row r="11" spans="1:5" ht="23.25" customHeight="1" thickBot="1">
      <c r="A11" s="466" t="s">
        <v>480</v>
      </c>
      <c r="B11" s="441"/>
      <c r="C11" s="442"/>
      <c r="D11" s="254"/>
      <c r="E11" s="255"/>
    </row>
    <row r="12" spans="1:5" ht="47.25" customHeight="1" thickBot="1">
      <c r="A12" s="256" t="s">
        <v>314</v>
      </c>
      <c r="B12" s="438" t="s">
        <v>490</v>
      </c>
      <c r="C12" s="257" t="s">
        <v>327</v>
      </c>
      <c r="D12" s="257" t="s">
        <v>316</v>
      </c>
      <c r="E12" s="258">
        <f>ROUND(0.14*E9,2)</f>
        <v>0.59</v>
      </c>
    </row>
    <row r="13" spans="1:5" ht="47.25" customHeight="1" thickBot="1">
      <c r="A13" s="259" t="s">
        <v>315</v>
      </c>
      <c r="B13" s="439"/>
      <c r="C13" s="260" t="s">
        <v>317</v>
      </c>
      <c r="D13" s="257" t="s">
        <v>316</v>
      </c>
      <c r="E13" s="364">
        <v>1</v>
      </c>
    </row>
    <row r="14" spans="1:5" ht="23.25" customHeight="1" thickBot="1">
      <c r="A14" s="466" t="s">
        <v>324</v>
      </c>
      <c r="B14" s="441"/>
      <c r="C14" s="442"/>
      <c r="D14" s="262" t="s">
        <v>56</v>
      </c>
      <c r="E14" s="255">
        <f>E15+E16</f>
        <v>233.01000000000002</v>
      </c>
    </row>
    <row r="15" spans="1:5" ht="33" customHeight="1" thickBot="1">
      <c r="A15" s="256" t="s">
        <v>314</v>
      </c>
      <c r="B15" s="438" t="s">
        <v>319</v>
      </c>
      <c r="C15" s="257" t="s">
        <v>358</v>
      </c>
      <c r="D15" s="262" t="s">
        <v>56</v>
      </c>
      <c r="E15" s="263">
        <f>ROUND(E12*E17*5,2)</f>
        <v>174.02</v>
      </c>
    </row>
    <row r="16" spans="1:5" ht="35.25" customHeight="1" thickBot="1">
      <c r="A16" s="264" t="s">
        <v>362</v>
      </c>
      <c r="B16" s="439"/>
      <c r="C16" s="260" t="s">
        <v>365</v>
      </c>
      <c r="D16" s="262" t="s">
        <v>56</v>
      </c>
      <c r="E16" s="263">
        <f>ROUND(E13*E17*10/10,2)</f>
        <v>58.99</v>
      </c>
    </row>
    <row r="17" spans="1:5" ht="23.25" customHeight="1" thickBot="1">
      <c r="A17" s="265" t="s">
        <v>318</v>
      </c>
      <c r="B17" s="443" t="s">
        <v>320</v>
      </c>
      <c r="C17" s="444"/>
      <c r="D17" s="262" t="s">
        <v>56</v>
      </c>
      <c r="E17" s="141">
        <v>58.99</v>
      </c>
    </row>
    <row r="18" spans="1:5" ht="23.25" customHeight="1" thickBot="1">
      <c r="A18" s="465" t="s">
        <v>482</v>
      </c>
      <c r="B18" s="434"/>
      <c r="C18" s="437"/>
      <c r="D18" s="262" t="s">
        <v>56</v>
      </c>
      <c r="E18" s="255">
        <f>E19+E20</f>
        <v>1268.57</v>
      </c>
    </row>
    <row r="19" spans="1:5" ht="36.75" customHeight="1" thickBot="1">
      <c r="A19" s="266" t="s">
        <v>325</v>
      </c>
      <c r="B19" s="445" t="s">
        <v>326</v>
      </c>
      <c r="C19" s="257" t="s">
        <v>549</v>
      </c>
      <c r="D19" s="262" t="s">
        <v>56</v>
      </c>
      <c r="E19" s="378">
        <f>ROUND(1838.51*E12,2)</f>
        <v>1084.72</v>
      </c>
    </row>
    <row r="20" spans="1:5" ht="32.25" customHeight="1" thickBot="1">
      <c r="A20" s="264" t="s">
        <v>362</v>
      </c>
      <c r="B20" s="446"/>
      <c r="C20" s="267" t="s">
        <v>550</v>
      </c>
      <c r="D20" s="262" t="s">
        <v>56</v>
      </c>
      <c r="E20" s="379">
        <f>ROUND(1838.51*E13/10,2)</f>
        <v>183.85</v>
      </c>
    </row>
    <row r="21" spans="1:5" ht="34.5" customHeight="1" thickBot="1">
      <c r="A21" s="433" t="s">
        <v>483</v>
      </c>
      <c r="B21" s="434"/>
      <c r="C21" s="435"/>
      <c r="D21" s="268" t="s">
        <v>56</v>
      </c>
      <c r="E21" s="379">
        <f>E14+E18</f>
        <v>1501.58</v>
      </c>
    </row>
    <row r="22" spans="1:5" ht="18.75" customHeight="1">
      <c r="A22" s="418" t="s">
        <v>292</v>
      </c>
      <c r="B22" s="253" t="s">
        <v>293</v>
      </c>
      <c r="C22" s="420" t="s">
        <v>359</v>
      </c>
      <c r="D22" s="432" t="s">
        <v>56</v>
      </c>
      <c r="E22" s="424">
        <f>ROUND(E34*2.2*0.1,2)</f>
        <v>17.13</v>
      </c>
    </row>
    <row r="23" spans="1:5" ht="33" customHeight="1" thickBot="1">
      <c r="A23" s="419"/>
      <c r="B23" s="290" t="s">
        <v>271</v>
      </c>
      <c r="C23" s="421"/>
      <c r="D23" s="429"/>
      <c r="E23" s="425"/>
    </row>
    <row r="24" spans="1:5" ht="18.75" customHeight="1">
      <c r="A24" s="418" t="s">
        <v>270</v>
      </c>
      <c r="B24" s="253" t="s">
        <v>295</v>
      </c>
      <c r="C24" s="420" t="s">
        <v>360</v>
      </c>
      <c r="D24" s="432" t="s">
        <v>56</v>
      </c>
      <c r="E24" s="424">
        <f>ROUND(E34*2.2*0.13,2)</f>
        <v>22.27</v>
      </c>
    </row>
    <row r="25" spans="1:5" ht="33" customHeight="1" thickBot="1">
      <c r="A25" s="419"/>
      <c r="B25" s="290" t="s">
        <v>271</v>
      </c>
      <c r="C25" s="421"/>
      <c r="D25" s="429"/>
      <c r="E25" s="425"/>
    </row>
    <row r="26" spans="1:5" ht="18.75" customHeight="1">
      <c r="A26" s="413" t="s">
        <v>328</v>
      </c>
      <c r="B26" s="428" t="s">
        <v>329</v>
      </c>
      <c r="C26" s="430" t="s">
        <v>330</v>
      </c>
      <c r="D26" s="428" t="s">
        <v>285</v>
      </c>
      <c r="E26" s="431">
        <f>ROUND(0.125*((2.2*1)+(2.2+1 )*2*1.9),2)</f>
        <v>1.8</v>
      </c>
    </row>
    <row r="27" spans="1:5" ht="44.25" customHeight="1" thickBot="1">
      <c r="A27" s="413"/>
      <c r="B27" s="429"/>
      <c r="C27" s="430"/>
      <c r="D27" s="429"/>
      <c r="E27" s="431"/>
    </row>
    <row r="28" spans="1:5" ht="34.5" hidden="1" customHeight="1">
      <c r="A28" s="418"/>
      <c r="B28" s="183"/>
      <c r="C28" s="463"/>
      <c r="D28" s="426"/>
      <c r="E28" s="424"/>
    </row>
    <row r="29" spans="1:5" ht="34.5" hidden="1" customHeight="1" thickBot="1">
      <c r="A29" s="419"/>
      <c r="B29" s="289"/>
      <c r="C29" s="464"/>
      <c r="D29" s="427"/>
      <c r="E29" s="425"/>
    </row>
    <row r="30" spans="1:5" ht="18.75" customHeight="1">
      <c r="A30" s="418" t="s">
        <v>272</v>
      </c>
      <c r="B30" s="253" t="s">
        <v>296</v>
      </c>
      <c r="C30" s="420" t="s">
        <v>374</v>
      </c>
      <c r="D30" s="422" t="s">
        <v>285</v>
      </c>
      <c r="E30" s="424">
        <f>ROUND(0.58*E9,2)</f>
        <v>2.42</v>
      </c>
    </row>
    <row r="31" spans="1:5" ht="37.5" customHeight="1" thickBot="1">
      <c r="A31" s="419"/>
      <c r="B31" s="290" t="s">
        <v>273</v>
      </c>
      <c r="C31" s="421"/>
      <c r="D31" s="423"/>
      <c r="E31" s="425"/>
    </row>
    <row r="32" spans="1:5" ht="28.5" customHeight="1" thickBot="1">
      <c r="A32" s="418" t="s">
        <v>301</v>
      </c>
      <c r="B32" s="253" t="s">
        <v>274</v>
      </c>
      <c r="C32" s="172" t="s">
        <v>397</v>
      </c>
      <c r="D32" s="422" t="s">
        <v>285</v>
      </c>
      <c r="E32" s="141">
        <f>E30+E26</f>
        <v>4.22</v>
      </c>
    </row>
    <row r="33" spans="1:11" ht="35.25" customHeight="1" thickBot="1">
      <c r="A33" s="419"/>
      <c r="B33" s="290" t="s">
        <v>275</v>
      </c>
      <c r="C33" s="174" t="s">
        <v>429</v>
      </c>
      <c r="D33" s="423"/>
      <c r="E33" s="182">
        <f>ROUND(E32*1.3,2)</f>
        <v>5.49</v>
      </c>
    </row>
    <row r="34" spans="1:11" ht="51" customHeight="1" thickBot="1">
      <c r="A34" s="270" t="s">
        <v>264</v>
      </c>
      <c r="B34" s="291" t="s">
        <v>289</v>
      </c>
      <c r="C34" s="271"/>
      <c r="D34" s="272" t="s">
        <v>56</v>
      </c>
      <c r="E34" s="142">
        <f>СПР_ШТ!D14</f>
        <v>77.87</v>
      </c>
    </row>
    <row r="35" spans="1:11" ht="113.25" customHeight="1" thickBot="1">
      <c r="A35" s="273" t="s">
        <v>333</v>
      </c>
      <c r="B35" s="257" t="s">
        <v>303</v>
      </c>
      <c r="C35" s="274" t="s">
        <v>430</v>
      </c>
      <c r="D35" s="257" t="s">
        <v>56</v>
      </c>
      <c r="E35" s="141">
        <f>ROUND(E34*E33,2)</f>
        <v>427.51</v>
      </c>
    </row>
    <row r="36" spans="1:11" ht="47.25" customHeight="1" thickBot="1">
      <c r="A36" s="275" t="s">
        <v>276</v>
      </c>
      <c r="B36" s="276"/>
      <c r="C36" s="277" t="s">
        <v>431</v>
      </c>
      <c r="D36" s="183" t="s">
        <v>56</v>
      </c>
      <c r="E36" s="143">
        <f>E35+E24+E22</f>
        <v>466.90999999999997</v>
      </c>
    </row>
    <row r="37" spans="1:11" ht="34.5" customHeight="1" thickBot="1">
      <c r="A37" s="270" t="s">
        <v>277</v>
      </c>
      <c r="B37" s="278">
        <v>0.22</v>
      </c>
      <c r="C37" s="277" t="s">
        <v>432</v>
      </c>
      <c r="D37" s="183" t="s">
        <v>56</v>
      </c>
      <c r="E37" s="185">
        <f>ROUND(E36*0.22,2)</f>
        <v>102.72</v>
      </c>
    </row>
    <row r="38" spans="1:11" ht="33" customHeight="1" thickBot="1">
      <c r="A38" s="279" t="s">
        <v>227</v>
      </c>
      <c r="B38" s="280" t="s">
        <v>290</v>
      </c>
      <c r="C38" s="281"/>
      <c r="D38" s="183" t="s">
        <v>56</v>
      </c>
      <c r="E38" s="185">
        <f>МатВит!G33</f>
        <v>75.739999999999995</v>
      </c>
    </row>
    <row r="39" spans="1:11" ht="32.25" customHeight="1" thickBot="1">
      <c r="A39" s="275" t="s">
        <v>278</v>
      </c>
      <c r="B39" s="280"/>
      <c r="C39" s="277" t="s">
        <v>557</v>
      </c>
      <c r="D39" s="257" t="s">
        <v>56</v>
      </c>
      <c r="E39" s="143">
        <f>E37+E36+E38+E21</f>
        <v>2146.9499999999998</v>
      </c>
    </row>
    <row r="40" spans="1:11" ht="18.75" customHeight="1" thickBot="1">
      <c r="A40" s="282" t="s">
        <v>279</v>
      </c>
      <c r="B40" s="278">
        <v>0.15</v>
      </c>
      <c r="C40" s="277" t="s">
        <v>558</v>
      </c>
      <c r="D40" s="184" t="s">
        <v>56</v>
      </c>
      <c r="E40" s="185">
        <f>ROUND(E39*0.15,2)</f>
        <v>322.04000000000002</v>
      </c>
    </row>
    <row r="41" spans="1:11" ht="18.75" customHeight="1" thickBot="1">
      <c r="A41" s="282" t="s">
        <v>298</v>
      </c>
      <c r="B41" s="278"/>
      <c r="C41" s="277"/>
      <c r="D41" s="184" t="s">
        <v>56</v>
      </c>
      <c r="E41" s="185"/>
    </row>
    <row r="42" spans="1:11" ht="18.75" customHeight="1" thickBot="1">
      <c r="A42" s="282" t="s">
        <v>280</v>
      </c>
      <c r="B42" s="280" t="s">
        <v>297</v>
      </c>
      <c r="C42" s="281"/>
      <c r="D42" s="184" t="s">
        <v>56</v>
      </c>
      <c r="E42" s="185">
        <f>ОпВитратиРоз3!D12</f>
        <v>67.489999999999995</v>
      </c>
    </row>
    <row r="43" spans="1:11" ht="33" customHeight="1" thickBot="1">
      <c r="A43" s="393" t="s">
        <v>599</v>
      </c>
      <c r="B43" s="394"/>
      <c r="C43" s="174" t="s">
        <v>600</v>
      </c>
      <c r="D43" s="184" t="s">
        <v>56</v>
      </c>
      <c r="E43" s="182">
        <f>E39+E40+E42+E41</f>
        <v>2536.4799999999996</v>
      </c>
    </row>
    <row r="44" spans="1:11" ht="24" customHeight="1" thickBot="1">
      <c r="A44" s="396" t="s">
        <v>281</v>
      </c>
      <c r="B44" s="400">
        <v>0</v>
      </c>
      <c r="C44" s="277"/>
      <c r="D44" s="184" t="s">
        <v>56</v>
      </c>
      <c r="E44" s="185"/>
    </row>
    <row r="45" spans="1:11" ht="24.75" customHeight="1" thickBot="1">
      <c r="A45" s="283" t="s">
        <v>282</v>
      </c>
      <c r="B45" s="396"/>
      <c r="C45" s="395"/>
      <c r="D45" s="184" t="s">
        <v>56</v>
      </c>
      <c r="E45" s="144">
        <f>ROUND(E44+E43,0)</f>
        <v>2536</v>
      </c>
    </row>
    <row r="46" spans="1:11">
      <c r="A46" s="130"/>
    </row>
    <row r="47" spans="1:11">
      <c r="A47" s="285"/>
    </row>
    <row r="48" spans="1:11" s="44" customFormat="1">
      <c r="A48" s="45" t="s">
        <v>168</v>
      </c>
      <c r="B48" s="48"/>
      <c r="C48" s="45"/>
      <c r="D48" s="45" t="s">
        <v>169</v>
      </c>
      <c r="F48" s="60"/>
      <c r="G48" s="176"/>
      <c r="H48" s="176"/>
      <c r="I48" s="176"/>
      <c r="J48" s="177"/>
      <c r="K48" s="178"/>
    </row>
    <row r="49" spans="1:1">
      <c r="A49" s="130"/>
    </row>
    <row r="50" spans="1:1">
      <c r="A50" s="285"/>
    </row>
    <row r="51" spans="1:1">
      <c r="A51" s="130"/>
    </row>
    <row r="52" spans="1:1">
      <c r="A52" s="286"/>
    </row>
  </sheetData>
  <mergeCells count="42">
    <mergeCell ref="E24:E25"/>
    <mergeCell ref="A28:A29"/>
    <mergeCell ref="C28:C29"/>
    <mergeCell ref="E30:E31"/>
    <mergeCell ref="A26:A27"/>
    <mergeCell ref="B26:B27"/>
    <mergeCell ref="A24:A25"/>
    <mergeCell ref="C24:C25"/>
    <mergeCell ref="D24:D25"/>
    <mergeCell ref="D30:D31"/>
    <mergeCell ref="E28:E29"/>
    <mergeCell ref="E26:E27"/>
    <mergeCell ref="A30:A31"/>
    <mergeCell ref="C30:C31"/>
    <mergeCell ref="D26:D27"/>
    <mergeCell ref="A21:C21"/>
    <mergeCell ref="D22:D23"/>
    <mergeCell ref="A32:A33"/>
    <mergeCell ref="D32:D33"/>
    <mergeCell ref="C26:C27"/>
    <mergeCell ref="D28:D29"/>
    <mergeCell ref="A1:B1"/>
    <mergeCell ref="A2:E2"/>
    <mergeCell ref="A3:E3"/>
    <mergeCell ref="A4:E4"/>
    <mergeCell ref="A5:E5"/>
    <mergeCell ref="E22:E23"/>
    <mergeCell ref="A11:C11"/>
    <mergeCell ref="A6:E6"/>
    <mergeCell ref="E9:E10"/>
    <mergeCell ref="B19:B20"/>
    <mergeCell ref="B12:B13"/>
    <mergeCell ref="A14:C14"/>
    <mergeCell ref="A7:D7"/>
    <mergeCell ref="A9:A10"/>
    <mergeCell ref="A22:A23"/>
    <mergeCell ref="C22:C23"/>
    <mergeCell ref="C9:C10"/>
    <mergeCell ref="D9:D10"/>
    <mergeCell ref="B15:B16"/>
    <mergeCell ref="B17:C17"/>
    <mergeCell ref="A18:C18"/>
  </mergeCells>
  <phoneticPr fontId="5" type="noConversion"/>
  <pageMargins left="0.9055118110236221" right="0.31496062992125984" top="0.55118110236220474" bottom="0.35433070866141736" header="0.31496062992125984" footer="0.31496062992125984"/>
  <pageSetup paperSize="9" scale="88" orientation="portrait" blackAndWhite="1" horizontalDpi="300" verticalDpi="300" r:id="rId1"/>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44</vt:i4>
      </vt:variant>
      <vt:variant>
        <vt:lpstr>Именованные диапазоны</vt:lpstr>
      </vt:variant>
      <vt:variant>
        <vt:i4>6</vt:i4>
      </vt:variant>
    </vt:vector>
  </HeadingPairs>
  <TitlesOfParts>
    <vt:vector size="50" baseType="lpstr">
      <vt:lpstr>К16_ВоенніЗима</vt:lpstr>
      <vt:lpstr>Роз16ВЗима</vt:lpstr>
      <vt:lpstr>К15_ВоенніЛіто</vt:lpstr>
      <vt:lpstr>Роз15_ВЛіто</vt:lpstr>
      <vt:lpstr>Вит_війскових_опізнаних</vt:lpstr>
      <vt:lpstr>К14_ВоєнніНеопізнанніЗима</vt:lpstr>
      <vt:lpstr>Роз14НеопізнанніЗима</vt:lpstr>
      <vt:lpstr>К13_ВоєнніНеопізнанніЛіто</vt:lpstr>
      <vt:lpstr>Роз13_НеопізнаніЛіто</vt:lpstr>
      <vt:lpstr>ВитНеопізниніх</vt:lpstr>
      <vt:lpstr>порівняльна</vt:lpstr>
      <vt:lpstr>СВОДНАЯ</vt:lpstr>
      <vt:lpstr>к12екОз</vt:lpstr>
      <vt:lpstr>Роз12єкОз</vt:lpstr>
      <vt:lpstr>к11екОл</vt:lpstr>
      <vt:lpstr>Роз11єкОл</vt:lpstr>
      <vt:lpstr>ВитратиОГ</vt:lpstr>
      <vt:lpstr>К10урнаЗ</vt:lpstr>
      <vt:lpstr>Роз10</vt:lpstr>
      <vt:lpstr>К9урнаЛ</vt:lpstr>
      <vt:lpstr>Роз9</vt:lpstr>
      <vt:lpstr>к8броньЗ</vt:lpstr>
      <vt:lpstr>Роз8</vt:lpstr>
      <vt:lpstr>к7броньЛ</vt:lpstr>
      <vt:lpstr>Роз7</vt:lpstr>
      <vt:lpstr>к6ручЗ</vt:lpstr>
      <vt:lpstr>Роз6</vt:lpstr>
      <vt:lpstr>к5ручЛ</vt:lpstr>
      <vt:lpstr>Роз5 </vt:lpstr>
      <vt:lpstr>к4екскЗ</vt:lpstr>
      <vt:lpstr>Роз4</vt:lpstr>
      <vt:lpstr>к3екскЛ</vt:lpstr>
      <vt:lpstr>Роз3</vt:lpstr>
      <vt:lpstr>К2свид-во</vt:lpstr>
      <vt:lpstr>кал2дод1</vt:lpstr>
      <vt:lpstr>К1договор</vt:lpstr>
      <vt:lpstr>кал1дод1</vt:lpstr>
      <vt:lpstr>СПР_ШТ</vt:lpstr>
      <vt:lpstr>ШТАТ</vt:lpstr>
      <vt:lpstr>похов</vt:lpstr>
      <vt:lpstr>ОпВитратиРоз3</vt:lpstr>
      <vt:lpstr>МатВит</vt:lpstr>
      <vt:lpstr>Аркуш10</vt:lpstr>
      <vt:lpstr>Аркуш9</vt:lpstr>
      <vt:lpstr>К13_ВоєнніНеопізнанніЛіто!Область_печати</vt:lpstr>
      <vt:lpstr>К14_ВоєнніНеопізнанніЗима!Область_печати</vt:lpstr>
      <vt:lpstr>К15_ВоенніЛіто!Область_печати</vt:lpstr>
      <vt:lpstr>К16_ВоенніЗима!Область_печати</vt:lpstr>
      <vt:lpstr>к8броньЗ!Область_печати</vt:lpstr>
      <vt:lpstr>кал2дод1!Область_печати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User</cp:lastModifiedBy>
  <cp:lastPrinted>2025-07-04T08:11:46Z</cp:lastPrinted>
  <dcterms:created xsi:type="dcterms:W3CDTF">2019-08-19T06:54:22Z</dcterms:created>
  <dcterms:modified xsi:type="dcterms:W3CDTF">2025-07-04T08:30:38Z</dcterms:modified>
</cp:coreProperties>
</file>