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B-1-FIN-OTDEL\share\БЮДЖЕТ 2025 рік\Рішення про бюджет 2025\5. Рішення №     -VIII від          2025р\Рішення від          2025 р №     -VIII\Нова редакція УКБ\"/>
    </mc:Choice>
  </mc:AlternateContent>
  <xr:revisionPtr revIDLastSave="0" documentId="13_ncr:1_{EC7D7D4E-46D4-4D9D-8092-ABA771C0CF79}" xr6:coauthVersionLast="47" xr6:coauthVersionMax="47" xr10:uidLastSave="{00000000-0000-0000-0000-000000000000}"/>
  <bookViews>
    <workbookView xWindow="-120" yWindow="-120" windowWidth="29040" windowHeight="15720" activeTab="5" xr2:uid="{00000000-000D-0000-FFFF-FFFF00000000}"/>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Hlk120021892" localSheetId="4">'дод 5 Програми'!$E$44</definedName>
    <definedName name="_Hlk125474567" localSheetId="4">'дод 5 Програми'!$E$41</definedName>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Доходи'!$A$1:$F$90</definedName>
    <definedName name="_xlnm.Print_Area" localSheetId="1">'дод 2 Джерела'!$A$1:$F$40</definedName>
    <definedName name="_xlnm.Print_Area" localSheetId="2">'дод 3 Видатки'!$A$1:$P$144</definedName>
    <definedName name="_xlnm.Print_Area" localSheetId="3">'дод 4 Трансферти'!$A$1:$D$72</definedName>
    <definedName name="_xlnm.Print_Area" localSheetId="4">'дод 5 Програми'!$A$1:$J$129</definedName>
    <definedName name="_xlnm.Print_Area" localSheetId="5">'дод 6 Бюдж розвитку'!$A$1:$K$108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17" l="1"/>
  <c r="J65" i="17"/>
  <c r="D65" i="20" l="1"/>
  <c r="D62" i="20"/>
  <c r="E28" i="16" l="1"/>
  <c r="D28" i="16"/>
  <c r="J44" i="11"/>
  <c r="H44" i="11"/>
  <c r="J43" i="11"/>
  <c r="I43" i="11" s="1"/>
  <c r="H43" i="11"/>
  <c r="J42" i="11"/>
  <c r="I42" i="11" s="1"/>
  <c r="H42" i="11"/>
  <c r="J41" i="11"/>
  <c r="H41" i="11"/>
  <c r="I41" i="11"/>
  <c r="G41" i="11" s="1"/>
  <c r="I44" i="11"/>
  <c r="J40" i="11"/>
  <c r="H40" i="11"/>
  <c r="J35" i="17"/>
  <c r="O39" i="19"/>
  <c r="F39" i="19"/>
  <c r="H47" i="11"/>
  <c r="I109" i="11"/>
  <c r="H68" i="11"/>
  <c r="J46" i="11"/>
  <c r="I46" i="11"/>
  <c r="I114" i="11"/>
  <c r="I111" i="11"/>
  <c r="I108" i="11"/>
  <c r="I105" i="11"/>
  <c r="G105" i="11" s="1"/>
  <c r="J105" i="11"/>
  <c r="I104" i="11"/>
  <c r="I103" i="11"/>
  <c r="J103" i="11" s="1"/>
  <c r="H118" i="11"/>
  <c r="H92" i="11"/>
  <c r="H91" i="11"/>
  <c r="H96" i="11"/>
  <c r="H94" i="11"/>
  <c r="H99" i="11"/>
  <c r="G99" i="11" s="1"/>
  <c r="H86" i="11"/>
  <c r="H85" i="11"/>
  <c r="H84" i="11"/>
  <c r="H69" i="11"/>
  <c r="H66" i="11"/>
  <c r="G66" i="11" s="1"/>
  <c r="H63" i="11"/>
  <c r="H58" i="11"/>
  <c r="G58" i="11" s="1"/>
  <c r="H57" i="11"/>
  <c r="G57" i="11" s="1"/>
  <c r="H51" i="11"/>
  <c r="H48" i="11"/>
  <c r="H33" i="11"/>
  <c r="H34" i="11"/>
  <c r="H32" i="11"/>
  <c r="D61" i="20"/>
  <c r="D33" i="20"/>
  <c r="D35" i="20"/>
  <c r="D56" i="20"/>
  <c r="D57" i="20"/>
  <c r="H133" i="19"/>
  <c r="J105" i="17"/>
  <c r="J47" i="17"/>
  <c r="J46" i="17"/>
  <c r="J37" i="17"/>
  <c r="J101" i="17"/>
  <c r="J102" i="17"/>
  <c r="K100" i="17"/>
  <c r="K97" i="17"/>
  <c r="I97" i="17"/>
  <c r="K73" i="17"/>
  <c r="I73" i="17"/>
  <c r="J69" i="17"/>
  <c r="K69" i="17" s="1"/>
  <c r="I70" i="17"/>
  <c r="K62" i="17"/>
  <c r="G44" i="11" l="1"/>
  <c r="G43" i="11"/>
  <c r="G42" i="11"/>
  <c r="G103" i="11"/>
  <c r="H89" i="11"/>
  <c r="F92" i="19"/>
  <c r="O124" i="19"/>
  <c r="O120" i="19"/>
  <c r="O119" i="19"/>
  <c r="O118" i="19"/>
  <c r="O115" i="19"/>
  <c r="O114" i="19"/>
  <c r="K114" i="19"/>
  <c r="O112" i="19"/>
  <c r="J112" i="19" s="1"/>
  <c r="K112" i="19"/>
  <c r="O74" i="19"/>
  <c r="K74" i="19"/>
  <c r="K68" i="19"/>
  <c r="O44" i="19"/>
  <c r="K44" i="19"/>
  <c r="F133" i="19"/>
  <c r="G132" i="19"/>
  <c r="F132" i="19"/>
  <c r="F129" i="19"/>
  <c r="F127" i="19"/>
  <c r="G123" i="19"/>
  <c r="F123" i="19"/>
  <c r="G113" i="19"/>
  <c r="F113" i="19"/>
  <c r="F102" i="19"/>
  <c r="F101" i="19"/>
  <c r="F105" i="19"/>
  <c r="F108" i="19"/>
  <c r="E108" i="19" s="1"/>
  <c r="P108" i="19" s="1"/>
  <c r="F104" i="19"/>
  <c r="G99" i="19"/>
  <c r="F99" i="19"/>
  <c r="F95" i="19"/>
  <c r="F93" i="19"/>
  <c r="G86" i="19"/>
  <c r="F86" i="19"/>
  <c r="H88" i="19"/>
  <c r="G88" i="19"/>
  <c r="F88" i="19"/>
  <c r="G83" i="19"/>
  <c r="F83" i="19"/>
  <c r="F75" i="19"/>
  <c r="G74" i="19"/>
  <c r="F74" i="19"/>
  <c r="F71" i="19"/>
  <c r="F65" i="19"/>
  <c r="O68" i="19"/>
  <c r="F68" i="19"/>
  <c r="F50" i="19"/>
  <c r="F59" i="19"/>
  <c r="E59" i="19" s="1"/>
  <c r="P59" i="19" s="1"/>
  <c r="F58" i="19"/>
  <c r="E58" i="19" s="1"/>
  <c r="P58" i="19" s="1"/>
  <c r="E57" i="19"/>
  <c r="F44" i="19"/>
  <c r="H44" i="19"/>
  <c r="G54" i="19"/>
  <c r="F54" i="19"/>
  <c r="H54" i="19"/>
  <c r="G53" i="19"/>
  <c r="F53" i="19"/>
  <c r="H51" i="19"/>
  <c r="F51" i="19"/>
  <c r="G51" i="19"/>
  <c r="H49" i="19"/>
  <c r="F49" i="19"/>
  <c r="G48" i="19"/>
  <c r="F48" i="19"/>
  <c r="H48" i="19"/>
  <c r="G43" i="19"/>
  <c r="F43" i="19"/>
  <c r="H43" i="19"/>
  <c r="H42" i="19"/>
  <c r="F42" i="19"/>
  <c r="E39" i="19"/>
  <c r="F29" i="19"/>
  <c r="F33" i="19"/>
  <c r="E33" i="19" s="1"/>
  <c r="P33" i="19" s="1"/>
  <c r="F28" i="19"/>
  <c r="D26" i="16"/>
  <c r="D75" i="21"/>
  <c r="D77" i="21"/>
  <c r="D82" i="21"/>
  <c r="C82" i="21" s="1"/>
  <c r="K67" i="17"/>
  <c r="D76" i="21" l="1"/>
  <c r="C76" i="21" s="1"/>
  <c r="P112" i="19"/>
  <c r="F98" i="19"/>
  <c r="G84" i="19" l="1"/>
  <c r="D25" i="16"/>
  <c r="J34" i="17"/>
  <c r="J114" i="11"/>
  <c r="I107" i="11"/>
  <c r="G60" i="11"/>
  <c r="J37" i="11"/>
  <c r="I37" i="11"/>
  <c r="G118" i="11"/>
  <c r="H117" i="11"/>
  <c r="H116" i="11" s="1"/>
  <c r="G91" i="11"/>
  <c r="H59" i="11"/>
  <c r="H50" i="11"/>
  <c r="H52" i="11"/>
  <c r="H36" i="11"/>
  <c r="D66" i="20"/>
  <c r="D42" i="20"/>
  <c r="D32" i="20"/>
  <c r="O117" i="19"/>
  <c r="O111" i="19" s="1"/>
  <c r="O41" i="19"/>
  <c r="N41" i="19"/>
  <c r="M41" i="19"/>
  <c r="K41" i="19"/>
  <c r="J61" i="19"/>
  <c r="E61" i="19"/>
  <c r="O36" i="19"/>
  <c r="K36" i="19"/>
  <c r="E127" i="19"/>
  <c r="E129" i="19"/>
  <c r="P129" i="19" s="1"/>
  <c r="F128" i="19"/>
  <c r="F126" i="19" s="1"/>
  <c r="E101" i="19"/>
  <c r="E94" i="19"/>
  <c r="F84" i="19"/>
  <c r="H60" i="19"/>
  <c r="H41" i="19" s="1"/>
  <c r="G60" i="19"/>
  <c r="F60" i="19"/>
  <c r="F35" i="19"/>
  <c r="C81" i="21"/>
  <c r="C75" i="21"/>
  <c r="C74" i="21" s="1"/>
  <c r="D74" i="21"/>
  <c r="H46" i="11" l="1"/>
  <c r="G46" i="11" s="1"/>
  <c r="P61" i="19"/>
  <c r="G82" i="19"/>
  <c r="C85" i="21"/>
  <c r="C83" i="21"/>
  <c r="C80" i="21"/>
  <c r="C79" i="21"/>
  <c r="C78" i="21"/>
  <c r="C77" i="21"/>
  <c r="C73" i="21"/>
  <c r="C72" i="21"/>
  <c r="C71" i="21"/>
  <c r="C70" i="21"/>
  <c r="D69" i="21"/>
  <c r="C68" i="21"/>
  <c r="D67" i="21"/>
  <c r="C67" i="21" s="1"/>
  <c r="F63" i="21"/>
  <c r="F62" i="21" s="1"/>
  <c r="C63" i="21"/>
  <c r="C62" i="21" s="1"/>
  <c r="E62" i="21"/>
  <c r="C61" i="21"/>
  <c r="E60" i="21"/>
  <c r="C60" i="21" s="1"/>
  <c r="F59" i="21"/>
  <c r="F56" i="21" s="1"/>
  <c r="F45" i="21" s="1"/>
  <c r="C59" i="21"/>
  <c r="C58" i="21"/>
  <c r="C57" i="21"/>
  <c r="E56" i="21"/>
  <c r="D56" i="21"/>
  <c r="C56" i="21" s="1"/>
  <c r="C55" i="21"/>
  <c r="C54" i="21"/>
  <c r="C53" i="21"/>
  <c r="C52" i="21"/>
  <c r="C51" i="21"/>
  <c r="D50" i="21"/>
  <c r="C50" i="21" s="1"/>
  <c r="C49" i="21"/>
  <c r="C48" i="21"/>
  <c r="C47" i="21"/>
  <c r="D46" i="21"/>
  <c r="C46" i="21" s="1"/>
  <c r="C44" i="21"/>
  <c r="E43" i="21"/>
  <c r="E20" i="21" s="1"/>
  <c r="C42" i="21"/>
  <c r="C41" i="21"/>
  <c r="C40" i="21"/>
  <c r="C39" i="21"/>
  <c r="C38" i="21"/>
  <c r="C37" i="21"/>
  <c r="C36" i="21"/>
  <c r="D35" i="21"/>
  <c r="C35" i="21" s="1"/>
  <c r="C34" i="21"/>
  <c r="C33" i="21"/>
  <c r="C32" i="21"/>
  <c r="C31" i="21"/>
  <c r="D30" i="21"/>
  <c r="C30" i="21" s="1"/>
  <c r="C27" i="21"/>
  <c r="C26" i="21"/>
  <c r="C25" i="21"/>
  <c r="D24" i="21"/>
  <c r="C24" i="21" s="1"/>
  <c r="C23" i="21"/>
  <c r="C22" i="21"/>
  <c r="D21" i="21"/>
  <c r="C21" i="21" s="1"/>
  <c r="E45" i="21" l="1"/>
  <c r="C43" i="21"/>
  <c r="C69" i="21"/>
  <c r="D66" i="21"/>
  <c r="E64" i="21"/>
  <c r="E86" i="21" s="1"/>
  <c r="F64" i="21"/>
  <c r="F86" i="21" s="1"/>
  <c r="D45" i="21"/>
  <c r="C45" i="21" s="1"/>
  <c r="D29" i="21"/>
  <c r="C66" i="21" l="1"/>
  <c r="D65" i="21"/>
  <c r="C65" i="21" s="1"/>
  <c r="C29" i="21"/>
  <c r="D28" i="21"/>
  <c r="C28" i="21" l="1"/>
  <c r="D20" i="21"/>
  <c r="C20" i="21" l="1"/>
  <c r="D64" i="21"/>
  <c r="D86" i="21" l="1"/>
  <c r="C86" i="21" s="1"/>
  <c r="C64" i="21"/>
  <c r="D64" i="20" l="1"/>
  <c r="D70" i="20" s="1"/>
  <c r="J26" i="17" l="1"/>
  <c r="J33" i="11"/>
  <c r="I33" i="11" s="1"/>
  <c r="H73" i="11"/>
  <c r="G70" i="11"/>
  <c r="H67" i="11"/>
  <c r="H62" i="11" s="1"/>
  <c r="I40" i="11"/>
  <c r="I39" i="11"/>
  <c r="H31" i="11"/>
  <c r="K39" i="19"/>
  <c r="K28" i="19"/>
  <c r="O29" i="19"/>
  <c r="O27" i="19"/>
  <c r="K27" i="19" s="1"/>
  <c r="F80" i="19"/>
  <c r="F76" i="19"/>
  <c r="E76" i="19" s="1"/>
  <c r="P76" i="19" s="1"/>
  <c r="F27" i="19"/>
  <c r="F24" i="19"/>
  <c r="O23" i="19" l="1"/>
  <c r="G40" i="11"/>
  <c r="G67" i="11"/>
  <c r="J27" i="19"/>
  <c r="K29" i="19"/>
  <c r="J39" i="19"/>
  <c r="P39" i="19" s="1"/>
  <c r="H38" i="11" l="1"/>
  <c r="F37" i="19"/>
  <c r="E25" i="16"/>
  <c r="C26" i="16" l="1"/>
  <c r="C25" i="16" s="1"/>
  <c r="C24" i="16" s="1"/>
  <c r="C29" i="16" s="1"/>
  <c r="J104" i="17" l="1"/>
  <c r="J103" i="17" s="1"/>
  <c r="H102" i="17"/>
  <c r="G102" i="17"/>
  <c r="H101" i="17"/>
  <c r="G101" i="17"/>
  <c r="H95" i="17"/>
  <c r="I95" i="17" s="1"/>
  <c r="G89" i="17"/>
  <c r="G88" i="17"/>
  <c r="J87" i="17"/>
  <c r="H85" i="17"/>
  <c r="J84" i="17"/>
  <c r="H84" i="17"/>
  <c r="I84" i="17" s="1"/>
  <c r="J80" i="17"/>
  <c r="H80" i="17"/>
  <c r="I80" i="17" s="1"/>
  <c r="H77" i="17"/>
  <c r="G77" i="17"/>
  <c r="H66" i="17"/>
  <c r="H65" i="17" s="1"/>
  <c r="H64" i="17"/>
  <c r="J63" i="17"/>
  <c r="H63" i="17"/>
  <c r="I63" i="17" s="1"/>
  <c r="J57" i="17"/>
  <c r="J56" i="17" s="1"/>
  <c r="J53" i="17"/>
  <c r="J52" i="17" s="1"/>
  <c r="J49" i="17"/>
  <c r="J48" i="17" s="1"/>
  <c r="J44" i="17"/>
  <c r="J43" i="17" s="1"/>
  <c r="J36" i="17"/>
  <c r="J31" i="17"/>
  <c r="J30" i="17" s="1"/>
  <c r="J61" i="17" l="1"/>
  <c r="J60" i="17" s="1"/>
  <c r="J24" i="17"/>
  <c r="J23" i="17" s="1"/>
  <c r="I65" i="17"/>
  <c r="K65" i="17"/>
  <c r="K84" i="17"/>
  <c r="K101" i="17"/>
  <c r="I102" i="17"/>
  <c r="I101" i="17"/>
  <c r="I106" i="11"/>
  <c r="I110" i="11"/>
  <c r="G110" i="11" s="1"/>
  <c r="G109" i="11"/>
  <c r="J104" i="11"/>
  <c r="G55" i="11"/>
  <c r="G56" i="11"/>
  <c r="G49" i="11"/>
  <c r="G98" i="11"/>
  <c r="H87" i="11"/>
  <c r="H75" i="11" s="1"/>
  <c r="G37" i="11"/>
  <c r="G39" i="11"/>
  <c r="H27" i="11"/>
  <c r="H24" i="11" s="1"/>
  <c r="H35" i="11"/>
  <c r="G26" i="11"/>
  <c r="G106" i="11" l="1"/>
  <c r="I102" i="11"/>
  <c r="J108" i="11"/>
  <c r="J109" i="11"/>
  <c r="J106" i="17"/>
  <c r="G104" i="11"/>
  <c r="J110" i="11"/>
  <c r="G108" i="11"/>
  <c r="J106" i="11"/>
  <c r="D44" i="20"/>
  <c r="D34" i="20"/>
  <c r="D30" i="20"/>
  <c r="D26" i="20"/>
  <c r="O122" i="19"/>
  <c r="J116" i="19"/>
  <c r="P116" i="19" s="1"/>
  <c r="J119" i="19"/>
  <c r="P119" i="19" s="1"/>
  <c r="K119" i="19"/>
  <c r="K118" i="19"/>
  <c r="K116" i="19"/>
  <c r="J115" i="19"/>
  <c r="P115" i="19" s="1"/>
  <c r="J114" i="19"/>
  <c r="J123" i="19"/>
  <c r="P55" i="19"/>
  <c r="P56" i="19"/>
  <c r="J36" i="19"/>
  <c r="P36" i="19" s="1"/>
  <c r="J32" i="19"/>
  <c r="J34" i="19"/>
  <c r="J35" i="19"/>
  <c r="J37" i="19"/>
  <c r="J38" i="19"/>
  <c r="E107" i="19"/>
  <c r="P107" i="19" s="1"/>
  <c r="F96" i="19"/>
  <c r="F82" i="19" s="1"/>
  <c r="E73" i="19"/>
  <c r="P73" i="19" s="1"/>
  <c r="F63" i="19"/>
  <c r="E45" i="19"/>
  <c r="E46" i="19"/>
  <c r="P46" i="19" s="1"/>
  <c r="E53" i="19"/>
  <c r="P53" i="19" s="1"/>
  <c r="P57" i="19"/>
  <c r="J45" i="19"/>
  <c r="L44" i="19"/>
  <c r="L41" i="19" s="1"/>
  <c r="G44" i="19"/>
  <c r="E38" i="19"/>
  <c r="F25" i="19"/>
  <c r="F34" i="19"/>
  <c r="F23" i="19" s="1"/>
  <c r="P114" i="19" l="1"/>
  <c r="P45" i="19"/>
  <c r="K117" i="19"/>
  <c r="K115" i="19"/>
  <c r="J118" i="19"/>
  <c r="P118" i="19" s="1"/>
  <c r="P38" i="19"/>
  <c r="H131" i="19" l="1"/>
  <c r="H130" i="19" s="1"/>
  <c r="G52" i="19" l="1"/>
  <c r="F52" i="19" s="1"/>
  <c r="F41" i="19" s="1"/>
  <c r="E52" i="19" l="1"/>
  <c r="P52" i="19" s="1"/>
  <c r="E66" i="19"/>
  <c r="P66" i="19" s="1"/>
  <c r="E67" i="19"/>
  <c r="P67" i="19" s="1"/>
  <c r="H121" i="11" l="1"/>
  <c r="H120" i="11" s="1"/>
  <c r="G122" i="11"/>
  <c r="J113" i="11" l="1"/>
  <c r="J112" i="11" s="1"/>
  <c r="I113" i="11"/>
  <c r="I112" i="11" s="1"/>
  <c r="H113" i="11"/>
  <c r="H112" i="11" s="1"/>
  <c r="G114" i="11"/>
  <c r="G112" i="11" l="1"/>
  <c r="G113" i="11"/>
  <c r="N122" i="19" l="1"/>
  <c r="M122" i="19"/>
  <c r="L122" i="19"/>
  <c r="J122" i="19" s="1"/>
  <c r="J124" i="19"/>
  <c r="K124" i="19"/>
  <c r="K122" i="19" s="1"/>
  <c r="E124" i="19"/>
  <c r="J117" i="19"/>
  <c r="G47" i="19"/>
  <c r="P124" i="19" l="1"/>
  <c r="I89" i="11"/>
  <c r="G89" i="11" s="1"/>
  <c r="J94" i="11"/>
  <c r="G30" i="11"/>
  <c r="J30" i="11"/>
  <c r="G93" i="11"/>
  <c r="J93" i="11"/>
  <c r="J29" i="11"/>
  <c r="J24" i="11" s="1"/>
  <c r="J89" i="11" l="1"/>
  <c r="G96" i="11" l="1"/>
  <c r="I119" i="11"/>
  <c r="J119" i="11"/>
  <c r="G123" i="11"/>
  <c r="G121" i="11"/>
  <c r="G120" i="11"/>
  <c r="H102" i="11"/>
  <c r="G95" i="11"/>
  <c r="G64" i="11"/>
  <c r="H119" i="11" l="1"/>
  <c r="J62" i="11"/>
  <c r="I62" i="11"/>
  <c r="G62" i="11" s="1"/>
  <c r="G59" i="11"/>
  <c r="G119" i="11" l="1"/>
  <c r="N111" i="19"/>
  <c r="M111" i="19"/>
  <c r="L111" i="19"/>
  <c r="I111" i="19"/>
  <c r="H111" i="19"/>
  <c r="G111" i="19"/>
  <c r="F111" i="19"/>
  <c r="K120" i="19"/>
  <c r="K111" i="19" s="1"/>
  <c r="J120" i="19"/>
  <c r="E117" i="19"/>
  <c r="E120" i="19"/>
  <c r="P120" i="19" l="1"/>
  <c r="O98" i="19"/>
  <c r="N98" i="19"/>
  <c r="M98" i="19"/>
  <c r="L98" i="19"/>
  <c r="K98" i="19"/>
  <c r="I98" i="19"/>
  <c r="H98" i="19"/>
  <c r="G98" i="19"/>
  <c r="J103" i="19"/>
  <c r="E103" i="19"/>
  <c r="P103" i="19" l="1"/>
  <c r="K26" i="19"/>
  <c r="K23" i="19" s="1"/>
  <c r="G137" i="19" l="1"/>
  <c r="F137" i="19"/>
  <c r="E140" i="19"/>
  <c r="P140" i="19" s="1"/>
  <c r="G131" i="19"/>
  <c r="F131" i="19"/>
  <c r="E135" i="19"/>
  <c r="P135" i="19" s="1"/>
  <c r="E133" i="19"/>
  <c r="P133" i="19" s="1"/>
  <c r="E134" i="19"/>
  <c r="P134" i="19" s="1"/>
  <c r="G127" i="19"/>
  <c r="E105" i="19"/>
  <c r="O82" i="19"/>
  <c r="N82" i="19"/>
  <c r="M82" i="19"/>
  <c r="L82" i="19"/>
  <c r="I82" i="19"/>
  <c r="H82" i="19"/>
  <c r="H68" i="19"/>
  <c r="G68" i="19"/>
  <c r="G65" i="19"/>
  <c r="O63" i="19"/>
  <c r="N63" i="19"/>
  <c r="M63" i="19"/>
  <c r="L63" i="19"/>
  <c r="K63" i="19"/>
  <c r="I63" i="19"/>
  <c r="E60" i="19"/>
  <c r="P60" i="19" s="1"/>
  <c r="P105" i="19" l="1"/>
  <c r="G63" i="19"/>
  <c r="H63" i="19"/>
  <c r="G50" i="19" l="1"/>
  <c r="G41" i="19" s="1"/>
  <c r="G122" i="19" l="1"/>
  <c r="E72" i="19" l="1"/>
  <c r="P72" i="19" s="1"/>
  <c r="E69" i="19"/>
  <c r="P69" i="19" s="1"/>
  <c r="E70" i="19"/>
  <c r="P70" i="19" s="1"/>
  <c r="D36" i="20" l="1"/>
  <c r="G25" i="11" l="1"/>
  <c r="N23" i="19" l="1"/>
  <c r="M23" i="19"/>
  <c r="L23" i="19"/>
  <c r="I23" i="19"/>
  <c r="H23" i="19"/>
  <c r="G23" i="19"/>
  <c r="G54" i="11" l="1"/>
  <c r="I41" i="19" l="1"/>
  <c r="K89" i="19"/>
  <c r="K87" i="19"/>
  <c r="K86" i="19"/>
  <c r="K84" i="19"/>
  <c r="P117" i="19"/>
  <c r="J132" i="19"/>
  <c r="J109" i="19"/>
  <c r="I137" i="19"/>
  <c r="K137" i="19"/>
  <c r="L137" i="19"/>
  <c r="M137" i="19"/>
  <c r="N137" i="19"/>
  <c r="O137" i="19"/>
  <c r="H137" i="19"/>
  <c r="E35" i="16"/>
  <c r="E32" i="16" s="1"/>
  <c r="K82" i="19" l="1"/>
  <c r="J107" i="11"/>
  <c r="G107" i="11"/>
  <c r="J139" i="19" l="1"/>
  <c r="E139" i="19"/>
  <c r="J138" i="19"/>
  <c r="E138" i="19"/>
  <c r="K136" i="19"/>
  <c r="G136" i="19"/>
  <c r="F136" i="19"/>
  <c r="I136" i="19"/>
  <c r="H136" i="19"/>
  <c r="E132" i="19"/>
  <c r="O131" i="19"/>
  <c r="O130" i="19" s="1"/>
  <c r="N131" i="19"/>
  <c r="N130" i="19" s="1"/>
  <c r="M131" i="19"/>
  <c r="M130" i="19" s="1"/>
  <c r="L131" i="19"/>
  <c r="L130" i="19" s="1"/>
  <c r="K131" i="19"/>
  <c r="K130" i="19" s="1"/>
  <c r="I131" i="19"/>
  <c r="I130" i="19" s="1"/>
  <c r="G130" i="19"/>
  <c r="F130" i="19"/>
  <c r="E128" i="19"/>
  <c r="J127" i="19"/>
  <c r="J126" i="19" s="1"/>
  <c r="J125" i="19" s="1"/>
  <c r="O126" i="19"/>
  <c r="O125" i="19" s="1"/>
  <c r="N126" i="19"/>
  <c r="N125" i="19" s="1"/>
  <c r="M126" i="19"/>
  <c r="M125" i="19" s="1"/>
  <c r="L126" i="19"/>
  <c r="L125" i="19" s="1"/>
  <c r="K126" i="19"/>
  <c r="K125" i="19" s="1"/>
  <c r="I126" i="19"/>
  <c r="I125" i="19" s="1"/>
  <c r="H126" i="19"/>
  <c r="H125" i="19" s="1"/>
  <c r="G126" i="19"/>
  <c r="G125" i="19" s="1"/>
  <c r="F125" i="19"/>
  <c r="J121" i="19"/>
  <c r="E123" i="19"/>
  <c r="O121" i="19"/>
  <c r="M121" i="19"/>
  <c r="L121" i="19"/>
  <c r="K121" i="19"/>
  <c r="I122" i="19"/>
  <c r="I121" i="19" s="1"/>
  <c r="H122" i="19"/>
  <c r="H121" i="19" s="1"/>
  <c r="G121" i="19"/>
  <c r="F122" i="19"/>
  <c r="F121" i="19" s="1"/>
  <c r="N121" i="19"/>
  <c r="J113" i="19"/>
  <c r="J111" i="19" s="1"/>
  <c r="E113" i="19"/>
  <c r="E111" i="19" s="1"/>
  <c r="O110" i="19"/>
  <c r="N110" i="19"/>
  <c r="M110" i="19"/>
  <c r="L110" i="19"/>
  <c r="K110" i="19"/>
  <c r="I110" i="19"/>
  <c r="H110" i="19"/>
  <c r="G110" i="19"/>
  <c r="E109" i="19"/>
  <c r="J106" i="19"/>
  <c r="E106" i="19"/>
  <c r="J104" i="19"/>
  <c r="E104" i="19"/>
  <c r="J102" i="19"/>
  <c r="E102" i="19"/>
  <c r="J100" i="19"/>
  <c r="E100" i="19"/>
  <c r="K97" i="19"/>
  <c r="E99" i="19"/>
  <c r="O97" i="19"/>
  <c r="N97" i="19"/>
  <c r="M97" i="19"/>
  <c r="L97" i="19"/>
  <c r="I97" i="19"/>
  <c r="H97" i="19"/>
  <c r="G97" i="19"/>
  <c r="F97" i="19"/>
  <c r="J96" i="19"/>
  <c r="E96" i="19"/>
  <c r="J95" i="19"/>
  <c r="E95" i="19"/>
  <c r="J93" i="19"/>
  <c r="E93" i="19"/>
  <c r="J92" i="19"/>
  <c r="E92" i="19"/>
  <c r="J91" i="19"/>
  <c r="E91" i="19"/>
  <c r="J90" i="19"/>
  <c r="E90" i="19"/>
  <c r="J89" i="19"/>
  <c r="E89" i="19"/>
  <c r="J88" i="19"/>
  <c r="E88" i="19"/>
  <c r="J87" i="19"/>
  <c r="E87" i="19"/>
  <c r="J86" i="19"/>
  <c r="E86" i="19"/>
  <c r="J85" i="19"/>
  <c r="E85" i="19"/>
  <c r="J84" i="19"/>
  <c r="E84" i="19"/>
  <c r="J83" i="19"/>
  <c r="E83" i="19"/>
  <c r="O81" i="19"/>
  <c r="N81" i="19"/>
  <c r="M81" i="19"/>
  <c r="L81" i="19"/>
  <c r="K81" i="19"/>
  <c r="I81" i="19"/>
  <c r="H81" i="19"/>
  <c r="G81" i="19"/>
  <c r="F81" i="19"/>
  <c r="J80" i="19"/>
  <c r="E80" i="19"/>
  <c r="J79" i="19"/>
  <c r="E79" i="19"/>
  <c r="O78" i="19"/>
  <c r="O77" i="19" s="1"/>
  <c r="N78" i="19"/>
  <c r="N77" i="19" s="1"/>
  <c r="M78" i="19"/>
  <c r="M77" i="19" s="1"/>
  <c r="L78" i="19"/>
  <c r="L77" i="19" s="1"/>
  <c r="K78" i="19"/>
  <c r="K77" i="19" s="1"/>
  <c r="I78" i="19"/>
  <c r="I77" i="19" s="1"/>
  <c r="H78" i="19"/>
  <c r="H77" i="19" s="1"/>
  <c r="G78" i="19"/>
  <c r="G77" i="19" s="1"/>
  <c r="F78" i="19"/>
  <c r="F77" i="19" s="1"/>
  <c r="J75" i="19"/>
  <c r="E75" i="19"/>
  <c r="J74" i="19"/>
  <c r="E74" i="19"/>
  <c r="J71" i="19"/>
  <c r="E71" i="19"/>
  <c r="J68" i="19"/>
  <c r="E68" i="19"/>
  <c r="J65" i="19"/>
  <c r="E65" i="19"/>
  <c r="J64" i="19"/>
  <c r="E64" i="19"/>
  <c r="O62" i="19"/>
  <c r="N62" i="19"/>
  <c r="M62" i="19"/>
  <c r="L62" i="19"/>
  <c r="K62" i="19"/>
  <c r="I62" i="19"/>
  <c r="H62" i="19"/>
  <c r="G62" i="19"/>
  <c r="F62" i="19"/>
  <c r="E54" i="19"/>
  <c r="E51" i="19"/>
  <c r="E50" i="19"/>
  <c r="E49" i="19"/>
  <c r="P49" i="19" s="1"/>
  <c r="E48" i="19"/>
  <c r="P48" i="19" s="1"/>
  <c r="J47" i="19"/>
  <c r="F40" i="19" s="1"/>
  <c r="J44" i="19"/>
  <c r="E44" i="19"/>
  <c r="J43" i="19"/>
  <c r="E43" i="19"/>
  <c r="J42" i="19"/>
  <c r="E42" i="19"/>
  <c r="N40" i="19"/>
  <c r="M40" i="19"/>
  <c r="K40" i="19"/>
  <c r="H40" i="19"/>
  <c r="O40" i="19"/>
  <c r="L40" i="19"/>
  <c r="I40" i="19"/>
  <c r="E37" i="19"/>
  <c r="E35" i="19"/>
  <c r="E34" i="19"/>
  <c r="E32" i="19"/>
  <c r="J31" i="19"/>
  <c r="E31" i="19"/>
  <c r="J30" i="19"/>
  <c r="E30" i="19"/>
  <c r="J29" i="19"/>
  <c r="E29" i="19"/>
  <c r="J28" i="19"/>
  <c r="E28" i="19"/>
  <c r="E27" i="19"/>
  <c r="J26" i="19"/>
  <c r="E26" i="19"/>
  <c r="J25" i="19"/>
  <c r="E25" i="19"/>
  <c r="J24" i="19"/>
  <c r="E24" i="19"/>
  <c r="O22" i="19"/>
  <c r="N22" i="19"/>
  <c r="M22" i="19"/>
  <c r="K22" i="19"/>
  <c r="I22" i="19"/>
  <c r="H22" i="19"/>
  <c r="G22" i="19"/>
  <c r="F22" i="19"/>
  <c r="L22" i="19"/>
  <c r="E23" i="19" l="1"/>
  <c r="P111" i="19"/>
  <c r="E98" i="19"/>
  <c r="P50" i="19"/>
  <c r="J41" i="19"/>
  <c r="J40" i="19" s="1"/>
  <c r="P128" i="19"/>
  <c r="E126" i="19"/>
  <c r="E125" i="19" s="1"/>
  <c r="P125" i="19" s="1"/>
  <c r="E97" i="19"/>
  <c r="E82" i="19"/>
  <c r="E81" i="19" s="1"/>
  <c r="E63" i="19"/>
  <c r="E62" i="19" s="1"/>
  <c r="J23" i="19"/>
  <c r="J22" i="19" s="1"/>
  <c r="E122" i="19"/>
  <c r="E121" i="19" s="1"/>
  <c r="P121" i="19" s="1"/>
  <c r="P123" i="19"/>
  <c r="P54" i="19"/>
  <c r="H141" i="19"/>
  <c r="K141" i="19"/>
  <c r="E137" i="19"/>
  <c r="E136" i="19" s="1"/>
  <c r="J98" i="19"/>
  <c r="J97" i="19" s="1"/>
  <c r="P132" i="19"/>
  <c r="P131" i="19" s="1"/>
  <c r="E131" i="19"/>
  <c r="E130" i="19" s="1"/>
  <c r="J63" i="19"/>
  <c r="J62" i="19" s="1"/>
  <c r="E110" i="19"/>
  <c r="F110" i="19" s="1"/>
  <c r="F141" i="19" s="1"/>
  <c r="J82" i="19"/>
  <c r="J81" i="19" s="1"/>
  <c r="E47" i="19"/>
  <c r="E41" i="19" s="1"/>
  <c r="P41" i="19" s="1"/>
  <c r="P42" i="19"/>
  <c r="P34" i="19"/>
  <c r="J110" i="19"/>
  <c r="P102" i="19"/>
  <c r="P25" i="19"/>
  <c r="P31" i="19"/>
  <c r="P37" i="19"/>
  <c r="P104" i="19"/>
  <c r="P83" i="19"/>
  <c r="P99" i="19"/>
  <c r="P100" i="19"/>
  <c r="P84" i="19"/>
  <c r="P92" i="19"/>
  <c r="P86" i="19"/>
  <c r="P87" i="19"/>
  <c r="P91" i="19"/>
  <c r="P96" i="19"/>
  <c r="P44" i="19"/>
  <c r="P65" i="19"/>
  <c r="P85" i="19"/>
  <c r="P93" i="19"/>
  <c r="G40" i="19"/>
  <c r="G141" i="19" s="1"/>
  <c r="P35" i="19"/>
  <c r="P51" i="19"/>
  <c r="P79" i="19"/>
  <c r="P74" i="19"/>
  <c r="P24" i="19"/>
  <c r="P43" i="19"/>
  <c r="P68" i="19"/>
  <c r="P80" i="19"/>
  <c r="P138" i="19"/>
  <c r="J78" i="19"/>
  <c r="J77" i="19" s="1"/>
  <c r="P32" i="19"/>
  <c r="L141" i="19"/>
  <c r="P30" i="19"/>
  <c r="P27" i="19"/>
  <c r="J137" i="19"/>
  <c r="J136" i="19" s="1"/>
  <c r="J131" i="19"/>
  <c r="J130" i="19" s="1"/>
  <c r="P89" i="19"/>
  <c r="P106" i="19"/>
  <c r="P139" i="19"/>
  <c r="P75" i="19"/>
  <c r="P88" i="19"/>
  <c r="P113" i="19"/>
  <c r="P127" i="19"/>
  <c r="O141" i="19"/>
  <c r="I141" i="19"/>
  <c r="P28" i="19"/>
  <c r="P109" i="19"/>
  <c r="P29" i="19"/>
  <c r="P71" i="19"/>
  <c r="M141" i="19"/>
  <c r="P26" i="19"/>
  <c r="N141" i="19"/>
  <c r="P95" i="19"/>
  <c r="E78" i="19"/>
  <c r="P64" i="19"/>
  <c r="P90" i="19"/>
  <c r="P23" i="19" l="1"/>
  <c r="P98" i="19"/>
  <c r="P63" i="19"/>
  <c r="P122" i="19"/>
  <c r="E22" i="19"/>
  <c r="P22" i="19" s="1"/>
  <c r="P137" i="19"/>
  <c r="P126" i="19"/>
  <c r="P47" i="19"/>
  <c r="P82" i="19"/>
  <c r="P81" i="19"/>
  <c r="P130" i="19"/>
  <c r="P110" i="19"/>
  <c r="P136" i="19"/>
  <c r="J141" i="19"/>
  <c r="P62" i="19"/>
  <c r="P97" i="19"/>
  <c r="E77" i="19"/>
  <c r="P77" i="19" s="1"/>
  <c r="P78" i="19"/>
  <c r="E40" i="19"/>
  <c r="P40" i="19" l="1"/>
  <c r="E141" i="19"/>
  <c r="P141" i="19" l="1"/>
  <c r="D22" i="20"/>
  <c r="I31" i="11" l="1"/>
  <c r="I24" i="11" s="1"/>
  <c r="G24" i="11" s="1"/>
  <c r="H115" i="11"/>
  <c r="I116" i="11"/>
  <c r="I115" i="11" s="1"/>
  <c r="J116" i="11"/>
  <c r="J115" i="11" s="1"/>
  <c r="G117" i="11"/>
  <c r="G116" i="11" s="1"/>
  <c r="G115" i="11" l="1"/>
  <c r="G77" i="11" l="1"/>
  <c r="G65" i="11"/>
  <c r="G68" i="11"/>
  <c r="H74" i="11" l="1"/>
  <c r="G87" i="11"/>
  <c r="J23" i="11" l="1"/>
  <c r="H23" i="11"/>
  <c r="G32" i="11"/>
  <c r="G27" i="11" l="1"/>
  <c r="G111" i="11" l="1"/>
  <c r="G73" i="11"/>
  <c r="J111" i="11" l="1"/>
  <c r="J102" i="11" s="1"/>
  <c r="G102" i="11" l="1"/>
  <c r="G100" i="11"/>
  <c r="G97" i="11"/>
  <c r="G94" i="11"/>
  <c r="G92" i="11"/>
  <c r="G90" i="11"/>
  <c r="J75" i="11"/>
  <c r="I75" i="11"/>
  <c r="G75" i="11" s="1"/>
  <c r="G86" i="11"/>
  <c r="G85" i="11"/>
  <c r="G84" i="11"/>
  <c r="G83" i="11"/>
  <c r="G82" i="11"/>
  <c r="G81" i="11"/>
  <c r="G80" i="11"/>
  <c r="G79" i="11"/>
  <c r="G78" i="11"/>
  <c r="G76" i="11"/>
  <c r="G69" i="11"/>
  <c r="G63" i="11"/>
  <c r="G48" i="11"/>
  <c r="G50" i="11"/>
  <c r="G51" i="11"/>
  <c r="G52" i="11"/>
  <c r="G53" i="11"/>
  <c r="G47" i="11"/>
  <c r="G31" i="11" l="1"/>
  <c r="G33" i="11"/>
  <c r="G34" i="11"/>
  <c r="G35" i="11"/>
  <c r="G36" i="11"/>
  <c r="G38" i="11"/>
  <c r="G29" i="11"/>
  <c r="G28" i="11"/>
  <c r="D59" i="20" l="1"/>
  <c r="D55" i="20"/>
  <c r="D40" i="20"/>
  <c r="D38" i="20"/>
  <c r="D28" i="20"/>
  <c r="D24" i="20"/>
  <c r="D69" i="20" l="1"/>
  <c r="D49" i="20"/>
  <c r="D48" i="20" s="1"/>
  <c r="D68" i="20"/>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88" i="11"/>
  <c r="I88" i="11"/>
  <c r="J74" i="11"/>
  <c r="J72" i="11"/>
  <c r="J71" i="11" s="1"/>
  <c r="I72" i="11"/>
  <c r="I71" i="11" s="1"/>
  <c r="H72" i="11"/>
  <c r="J61" i="11"/>
  <c r="H61" i="11"/>
  <c r="J45" i="11"/>
  <c r="H45" i="11"/>
  <c r="H71" i="11" l="1"/>
  <c r="G72" i="11"/>
  <c r="I74" i="11"/>
  <c r="G74" i="11" s="1"/>
  <c r="J101" i="11"/>
  <c r="J124" i="11" s="1"/>
  <c r="I101" i="11"/>
  <c r="I61" i="11"/>
  <c r="G61" i="11" s="1"/>
  <c r="H101" i="11"/>
  <c r="I45" i="11"/>
  <c r="G45" i="11" l="1"/>
  <c r="I124" i="11"/>
  <c r="G71" i="11"/>
  <c r="G101" i="11"/>
  <c r="H88" i="11"/>
  <c r="H124" i="11" s="1"/>
  <c r="G88" i="11" l="1"/>
  <c r="G124" i="11"/>
</calcChain>
</file>

<file path=xl/sharedStrings.xml><?xml version="1.0" encoding="utf-8"?>
<sst xmlns="http://schemas.openxmlformats.org/spreadsheetml/2006/main" count="1660" uniqueCount="688">
  <si>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</si>
  <si>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</si>
  <si>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</si>
  <si>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</si>
  <si>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</si>
  <si>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</si>
  <si>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</si>
  <si>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</si>
  <si>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</si>
  <si>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</si>
  <si>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</si>
  <si>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</si>
  <si>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</si>
  <si>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</si>
  <si>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</si>
  <si>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</si>
  <si>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</si>
  <si>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</si>
  <si>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</si>
  <si>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</si>
  <si>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</si>
  <si>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</si>
  <si>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</si>
  <si>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</si>
  <si>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</si>
  <si>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</si>
  <si>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</si>
  <si>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</si>
  <si>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</si>
  <si>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</si>
  <si>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</si>
  <si>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</si>
  <si>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</si>
  <si>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</si>
  <si>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</si>
  <si>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</si>
  <si>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</si>
  <si>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</si>
  <si>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</si>
  <si>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</si>
  <si>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</si>
  <si>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</si>
  <si>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</si>
  <si>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</si>
  <si>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</si>
  <si>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</si>
  <si>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</si>
  <si>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</si>
  <si>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</si>
  <si>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</si>
  <si>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</si>
  <si>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</si>
  <si>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</si>
  <si>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</si>
  <si>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</si>
  <si>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</si>
  <si>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</si>
  <si>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</si>
  <si>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</si>
  <si>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</si>
  <si>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</si>
  <si>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</si>
  <si>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</si>
  <si>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</si>
  <si>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</si>
  <si>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</si>
  <si>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</si>
  <si>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</si>
  <si>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</si>
  <si>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</si>
  <si>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</si>
  <si>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</si>
  <si>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</si>
  <si>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</si>
  <si>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</si>
  <si>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</si>
  <si>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</si>
  <si>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</si>
  <si>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</si>
  <si>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</si>
  <si>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</si>
  <si>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</si>
  <si>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</si>
  <si>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</si>
  <si>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</si>
  <si>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</si>
  <si>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</si>
  <si>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</si>
  <si>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</si>
  <si>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</si>
  <si>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</si>
  <si>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</si>
  <si>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</si>
  <si>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</si>
  <si>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</si>
  <si>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</si>
  <si>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</si>
  <si>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</si>
  <si>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</si>
  <si>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</si>
  <si>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</si>
  <si>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</si>
  <si>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</si>
  <si>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</si>
  <si>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</si>
  <si>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</si>
  <si>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</si>
  <si>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</si>
  <si>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</si>
  <si>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</si>
  <si>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</si>
  <si>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</si>
  <si>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</si>
  <si>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</si>
  <si>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</si>
  <si>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</si>
  <si>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</si>
  <si>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</si>
  <si>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</si>
  <si>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</si>
  <si>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</si>
  <si>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</si>
  <si>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</si>
  <si>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</si>
  <si>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</si>
  <si>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</si>
  <si>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</si>
  <si>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</si>
  <si>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</si>
  <si>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</si>
  <si>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</si>
  <si>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</si>
  <si>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</si>
  <si>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</si>
  <si>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</si>
  <si>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</si>
  <si>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</si>
  <si>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</si>
  <si>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</si>
  <si>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</si>
  <si>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</si>
  <si>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</si>
  <si>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</si>
  <si>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</si>
  <si>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</si>
  <si>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</si>
  <si>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</si>
  <si>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</si>
  <si>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</si>
  <si>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</si>
  <si>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</si>
  <si>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</si>
  <si>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</si>
  <si>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</si>
  <si>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</si>
  <si>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</si>
  <si>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</si>
  <si>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</si>
  <si>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</si>
  <si>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</si>
  <si>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</si>
  <si>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</si>
  <si>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</si>
  <si>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</si>
  <si>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</si>
  <si>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</si>
  <si>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</si>
  <si>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</si>
  <si>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</si>
  <si>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</si>
  <si>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</si>
  <si>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</si>
  <si>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</si>
  <si>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</si>
  <si>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</si>
  <si>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</si>
  <si>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</si>
  <si>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</si>
  <si>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</si>
  <si>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</si>
  <si>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</si>
  <si>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</si>
  <si>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</si>
  <si>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</si>
  <si>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</si>
  <si>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</si>
  <si>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</si>
  <si>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</si>
  <si>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</si>
  <si>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</si>
  <si>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</si>
  <si>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</si>
  <si>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</si>
  <si>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</si>
  <si>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</si>
  <si>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</si>
  <si>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</si>
  <si>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</si>
  <si>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</si>
  <si>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</si>
  <si>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</si>
  <si>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</si>
  <si>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</si>
  <si>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</si>
  <si>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</si>
  <si>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</si>
  <si>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</si>
  <si>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</si>
  <si>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</si>
  <si>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</si>
  <si>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</si>
  <si>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</si>
  <si>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</si>
  <si>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</si>
  <si>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</si>
  <si>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</si>
  <si>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</si>
  <si>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</si>
  <si>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</si>
  <si>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</si>
  <si>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</si>
  <si>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</si>
  <si>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</si>
  <si>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</si>
  <si>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</si>
  <si>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</si>
  <si>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</si>
  <si>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</si>
  <si>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</si>
  <si>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</si>
  <si>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</si>
  <si>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</si>
  <si>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</si>
  <si>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</si>
  <si>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</si>
  <si>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</si>
  <si>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</si>
  <si>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</si>
  <si>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</si>
  <si>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</si>
  <si>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</si>
  <si>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</si>
  <si>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</si>
  <si>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</si>
  <si>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</si>
  <si>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</si>
  <si>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</si>
  <si>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</si>
  <si>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</si>
  <si>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</si>
  <si>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</si>
  <si>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</si>
  <si>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</si>
  <si>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</si>
  <si>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</si>
  <si>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</si>
  <si>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</si>
  <si>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</si>
  <si>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</si>
  <si>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</si>
  <si>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</si>
  <si>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</si>
  <si>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</si>
  <si>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</si>
  <si>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</si>
  <si>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</si>
  <si>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</si>
  <si>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</si>
  <si>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</si>
  <si>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</si>
  <si>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</si>
  <si>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</si>
  <si>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</si>
  <si>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</si>
  <si>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</si>
  <si>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</si>
  <si>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</si>
  <si>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</si>
  <si>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</si>
  <si>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</si>
  <si>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</si>
  <si>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</si>
  <si>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</si>
  <si>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</si>
  <si>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</si>
  <si>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</si>
  <si>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</si>
  <si>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</si>
  <si>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</si>
  <si>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</si>
  <si>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</si>
  <si>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</si>
  <si>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</si>
  <si>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</si>
  <si>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</si>
  <si>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</si>
  <si>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</si>
  <si>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</si>
  <si>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</si>
  <si>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</si>
  <si>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</si>
  <si>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</si>
  <si>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</si>
  <si>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</si>
  <si>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</si>
  <si>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</si>
  <si>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</si>
  <si>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</si>
  <si>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</si>
  <si>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</si>
  <si>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</si>
  <si>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</si>
  <si>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</si>
  <si>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</si>
  <si>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</si>
  <si>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</si>
  <si>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</si>
  <si>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</si>
  <si>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</si>
  <si>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</si>
  <si>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</si>
  <si>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</si>
  <si>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</si>
  <si>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</si>
  <si>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</si>
  <si>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</si>
  <si>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</si>
  <si>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</si>
  <si>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</si>
  <si>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</si>
  <si>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</si>
  <si>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</si>
  <si>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</si>
  <si>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</si>
  <si>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</si>
  <si>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</si>
  <si>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</si>
  <si>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</si>
  <si>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</si>
  <si>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</si>
  <si>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</si>
  <si>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</si>
  <si>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</si>
  <si>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</si>
  <si>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</si>
  <si>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</si>
  <si>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</si>
  <si>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</si>
  <si>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</si>
  <si>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</si>
  <si>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</si>
  <si>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</si>
  <si>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</si>
  <si>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</si>
  <si>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</si>
  <si>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</si>
  <si>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</si>
  <si>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</si>
  <si>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</si>
  <si>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</si>
  <si>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</si>
  <si>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</si>
  <si>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</si>
  <si>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</si>
  <si>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</si>
  <si>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</si>
  <si>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</si>
  <si>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</si>
  <si>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</si>
  <si>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</si>
  <si>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</si>
  <si>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</si>
  <si>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</si>
  <si>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</si>
  <si>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</si>
  <si>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</si>
  <si>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</si>
  <si>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</si>
  <si>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</si>
  <si>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</si>
  <si>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</si>
  <si>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</si>
  <si>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</si>
  <si>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</si>
  <si>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</si>
  <si>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</si>
  <si>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</si>
  <si>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</si>
  <si>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</si>
  <si>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</si>
  <si>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</si>
  <si>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</si>
  <si>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</si>
  <si>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</si>
  <si>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</si>
  <si>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</si>
  <si>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</si>
  <si>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</si>
  <si>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</si>
  <si>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</si>
  <si>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</si>
  <si>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</si>
  <si>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</si>
  <si>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</si>
  <si>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</si>
  <si>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</si>
  <si>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</si>
  <si>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</si>
  <si>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</si>
  <si>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</si>
  <si>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</si>
  <si>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</si>
  <si>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</si>
  <si>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</si>
  <si>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</si>
  <si>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</si>
  <si>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</si>
  <si>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</si>
  <si>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</si>
  <si>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</si>
  <si>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</si>
  <si>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</si>
  <si>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</si>
  <si>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</si>
  <si>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</si>
  <si>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</si>
  <si>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</si>
  <si>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</si>
  <si>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</si>
  <si>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</si>
  <si>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</si>
  <si>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</si>
  <si>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</si>
  <si>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</si>
  <si>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</si>
  <si>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</si>
  <si>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</si>
  <si>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</si>
  <si>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</si>
  <si>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</si>
  <si>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</si>
  <si>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</si>
  <si>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</si>
  <si>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</si>
  <si>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</si>
  <si>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</si>
  <si>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</si>
  <si>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</si>
  <si>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</si>
  <si>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</si>
  <si>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</si>
  <si>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</si>
  <si>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</si>
  <si>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</si>
  <si>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</si>
  <si>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</si>
  <si>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</si>
  <si>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</si>
  <si>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</si>
  <si>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</si>
  <si>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</si>
  <si>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</si>
  <si>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</si>
  <si>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</si>
  <si>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</si>
  <si>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</si>
  <si>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</si>
  <si>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</si>
  <si>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</si>
  <si>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</si>
  <si>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</si>
  <si>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</si>
  <si>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</si>
  <si>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</si>
  <si>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</si>
  <si>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</si>
  <si>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</si>
  <si>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</si>
  <si>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</si>
  <si>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</si>
  <si>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</si>
  <si>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</si>
  <si>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</si>
  <si>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</si>
  <si>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</si>
  <si>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</si>
  <si>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</si>
  <si>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</si>
  <si>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</si>
  <si>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</si>
  <si>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</si>
  <si>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</si>
  <si>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</si>
  <si>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</si>
  <si>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</si>
  <si>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</si>
  <si>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</si>
  <si>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</si>
  <si>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</si>
  <si>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</si>
  <si>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</si>
  <si>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</si>
  <si>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</si>
  <si>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</si>
  <si>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</si>
  <si>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</si>
  <si>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</si>
  <si>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</si>
  <si>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</si>
  <si>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</si>
  <si>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</si>
  <si>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</si>
  <si>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</si>
  <si>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</si>
  <si>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</si>
  <si>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</si>
  <si>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</si>
  <si>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(пункт 3)"</t>
  </si>
  <si>
    <t xml:space="preserve">Рішення ЮМР від 14.12.2023 року № 1567-VIIІ  з внесеними змінами  від  29.08.2024 року №1849-VIII шляхом викладення  у новій редакції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</si>
  <si>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</si>
  <si>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</si>
  <si>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</si>
  <si>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</si>
  <si>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</si>
  <si>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</si>
  <si>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</si>
  <si>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</si>
  <si>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</si>
  <si>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</si>
  <si>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</si>
  <si>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</si>
  <si>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</si>
  <si>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</si>
  <si>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</si>
  <si>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</si>
  <si>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</si>
  <si>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</si>
  <si>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</si>
  <si>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</si>
  <si>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</si>
  <si>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</si>
  <si>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</si>
  <si>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</si>
  <si>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</si>
  <si>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</si>
  <si>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</si>
  <si>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</si>
  <si>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</si>
  <si>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</si>
  <si>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</si>
  <si>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</si>
  <si>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</si>
  <si>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</si>
  <si>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</si>
  <si>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</si>
  <si>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</si>
  <si>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</si>
  <si>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</si>
  <si>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</si>
  <si>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</si>
  <si>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</si>
  <si>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</si>
  <si>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</si>
  <si>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</si>
  <si>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</si>
  <si>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</si>
  <si>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</si>
  <si>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</si>
  <si>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</si>
  <si>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</si>
  <si>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</si>
  <si>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</si>
  <si>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</si>
  <si>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</si>
  <si>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</si>
  <si>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</si>
  <si>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</si>
  <si>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</si>
  <si>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</si>
  <si>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</si>
  <si>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</si>
  <si>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</si>
  <si>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</si>
  <si>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</si>
  <si>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</si>
  <si>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</si>
  <si>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</si>
  <si>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</si>
  <si>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</si>
  <si>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</si>
  <si>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</si>
  <si>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</si>
  <si>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</si>
  <si>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</si>
  <si>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</si>
  <si>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</si>
  <si>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</si>
  <si>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</si>
  <si>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</si>
  <si>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</si>
  <si>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</si>
  <si>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</si>
  <si>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</si>
  <si>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</si>
  <si>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</si>
  <si>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</si>
  <si>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</si>
  <si>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</si>
  <si>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</si>
  <si>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</si>
  <si>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</si>
  <si>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</si>
  <si>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</si>
  <si>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</si>
  <si>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</si>
  <si>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</si>
  <si>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</si>
  <si>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</si>
  <si>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</si>
  <si>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</si>
  <si>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</si>
  <si>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</si>
  <si>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</si>
  <si>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</si>
  <si>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</si>
  <si>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</si>
  <si>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</si>
  <si>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Муніципальна інвестиційна програма розвитку Южненської міської територіальної громади на 2025-2027 роки</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</si>
  <si>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</si>
  <si>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</si>
  <si>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</si>
  <si>
    <t>(пункти 1.2)</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</si>
  <si>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</si>
  <si>
    <t>Рішення ЮМР від 13.07.2023 року №1402 -VIIІ з внесеними змінами від  10.04.2025 року № 2183-VIII шляхом викладення у новій редакції</t>
  </si>
  <si>
    <t>Рішення Южненської міської ради  від 29.04.2021 року №360-VIIІ з внесеними змінами  від  22.05.2025 року № 2248-VIII, шляхом викладення у новій редакції</t>
  </si>
  <si>
    <t xml:space="preserve">Рішення ПМР від  06.03.2025 року № 2109-VIIІ з внесеними змінами від  10.04.2025 року № 2187-VIII шляхом викладення  у новій редакції  </t>
  </si>
  <si>
    <t>Рішення ЮМР від 23.08.2023 року № 1431- VIIІ з внесеними змінами від  10.04.2025 року   №  2186-VIIІ шляхом викладення у новій редакції</t>
  </si>
  <si>
    <t>Субвенція з місцевого бюджету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відповідної субвенції з державного бюджету</t>
  </si>
  <si>
    <t>від                        2025 року</t>
  </si>
  <si>
    <t>№              -VIII</t>
  </si>
  <si>
    <t>від                    2025 року</t>
  </si>
  <si>
    <t>№                -VIII</t>
  </si>
  <si>
    <t>від                   2025 року</t>
  </si>
  <si>
    <t>№          -VIII</t>
  </si>
  <si>
    <t>0218110</t>
  </si>
  <si>
    <t>0611231</t>
  </si>
  <si>
    <t>0611232</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</si>
  <si>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</si>
  <si>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</si>
  <si>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Проєктні роботи: «Капітальний ремонт систем вентиляції та кондиціонування адміністративної будівлі, яка знаходиться в комунальній власності, за адресою: Одеська область, Одеський район, Южненська територіальна громада, м. Південне, проспект Григорівського десанту, 18»</t>
  </si>
  <si>
    <t>1511050</t>
  </si>
  <si>
    <t>1512010</t>
  </si>
  <si>
    <t>Капітальний ремонт частини підвального приміщення закладу охорони здоров'я з влаштуванням найпростішого укриття, що розміщується за адресою: Одеська область, Одеський район, м. Южне, вул. Будівельників, 19, у т.ч.:</t>
  </si>
  <si>
    <t xml:space="preserve">проєктні роботи </t>
  </si>
  <si>
    <t xml:space="preserve">2023 - 2025 роки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</si>
  <si>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</si>
  <si>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2023-2025 роки</t>
  </si>
  <si>
    <t>Проєктні роботи: «Капітальний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Південне, Одеський район, Одеська область"</t>
  </si>
  <si>
    <t>від                       2025 року</t>
  </si>
  <si>
    <t>№             -VIII</t>
  </si>
  <si>
    <t xml:space="preserve">№                -VIII </t>
  </si>
  <si>
    <t>Рішення ЮМР від 14.10.2024 року № 1892-VІІІ з внесеними змінами від               2025 року  №           -VIIІ шляхом викладення у новій редакції</t>
  </si>
  <si>
    <t>Цілова програма "Соціальне таксі" на 2025 рік</t>
  </si>
  <si>
    <t xml:space="preserve">Рішення ПМР від 06.03.2025 року № 2094-VІІІ  </t>
  </si>
  <si>
    <t xml:space="preserve">Рішення ПМР від  06.03.2025 року № 2109-VIIІ з внесеними змінами від                      2025 року №       -VIII шляхом викладення  у новій редакції  </t>
  </si>
  <si>
    <t>Рішення ПМР від       2025 року №     -VIII</t>
  </si>
  <si>
    <t>Рішення ЮМР від 29.08.2024 року № 1856-VIІI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</si>
  <si>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</si>
  <si>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</si>
  <si>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Рішення ЮМР від 24.12.2024 року № 2053-VIІI з внесеними змінами від      2025 року №         -VIIІ шляхом викладення у новій редакції</t>
  </si>
  <si>
    <t xml:space="preserve">Рішення Южненської міської ради від 14.11.2024 року № 1919-VIIІ  з внесеними змінами  від             2025  року №         -VIII, шляхом викладення у новій редакції  </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</si>
  <si>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</si>
  <si>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</si>
  <si>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</si>
  <si>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Рішення ЮМР від 13.07.2023 року № 1401-VIІI з внесеними змінами від                   2025 року №      -VIIІ шляхом викладення у новій редакції</t>
  </si>
  <si>
    <t xml:space="preserve">Рішення ЮМР від 13.07.2023 року № 1404-VII з внесеними змінами від      2025 року  №     -VIIІ  </t>
  </si>
  <si>
    <t>Рішення ЮМР від 07.03.2023 року               №1299-VIIІ з внесеними змінами від               2025 року   №      -VIII шляхом викладення у новій редакції</t>
  </si>
  <si>
    <t>Рішення ЮМР від 28.10.2022 року № 1121-VIIІ  з внесеними змінами від      2025 року №      -VIIІ шляхом викладення у новій редакції</t>
  </si>
  <si>
    <t>Програма зміцнення законності, безпеки та порядку на території Южненської міської територіальної громади Одеського району Одеської області на 2025-2027 роки</t>
  </si>
  <si>
    <t>Програма «Поліцейський офіцер громади» Южненської міської територіальної громади Одеського району Одеської області на 2025-2027 роки</t>
  </si>
  <si>
    <t>Програма підвищення ефективності діяльності прикордонних загонів Південного регіонального управління Державної прикордонної служби України на 2025-2027 роки</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</si>
  <si>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</si>
  <si>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 xml:space="preserve">Рішення ПМР від  09.03.2024 року № 1680-VIIІ з внесеними змінами від 14.11.2024 року № 1932-VIII шляхом викладення  у новій редакції  </t>
  </si>
  <si>
    <t>Рішення ЮМР від 28.10.2022 року № 1121-VIІI з внесеними змінами від         2025 року №       -VIIІ шляхом викладення у новій редакції</t>
  </si>
  <si>
    <t xml:space="preserve">Рішення Южненської міської ради від 26.10.2023 року № 1503-VIIІ  з внесеними змінами  від 14.12.2023  року № 1558 -VIII, шляхом викладення у новій редакції  </t>
  </si>
  <si>
    <t>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 в т.ч.:</t>
  </si>
  <si>
    <t>від                     2025 року</t>
  </si>
  <si>
    <t>№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</si>
</sst>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50"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166" fontId="12" fillId="0" borderId="0" applyFont="0" applyFill="0" applyBorder="0" applyAlignment="0" applyProtection="0"/>
    <xf numFmtId="0" fontId="14" fillId="0" borderId="0"/>
    <xf numFmtId="0" fontId="12" fillId="0" borderId="0"/>
    <xf numFmtId="164" fontId="14" fillId="0" borderId="0" applyFont="0" applyFill="0" applyBorder="0" applyAlignment="0" applyProtection="0"/>
  </cellStyleXfs>
  <cellXfs count="912">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5"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5" fontId="7" fillId="2" borderId="15" xfId="0" applyNumberFormat="1" applyFont="1" applyFill="1" applyBorder="1" applyAlignment="1">
      <alignment horizontal="right" vertical="center"/>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5" fontId="6"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165"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5" fontId="6" fillId="0" borderId="1" xfId="0" applyNumberFormat="1" applyFont="1" applyBorder="1" applyAlignment="1">
      <alignment horizontal="right" vertical="center"/>
    </xf>
    <xf numFmtId="165"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5" fontId="6" fillId="2" borderId="12" xfId="0" applyNumberFormat="1" applyFont="1" applyFill="1" applyBorder="1" applyAlignment="1">
      <alignment horizontal="right" vertical="center"/>
    </xf>
    <xf numFmtId="165" fontId="6" fillId="0" borderId="12" xfId="0" applyNumberFormat="1" applyFont="1" applyBorder="1" applyAlignment="1">
      <alignment horizontal="right" vertical="center"/>
    </xf>
    <xf numFmtId="165" fontId="6" fillId="0" borderId="13" xfId="0" applyNumberFormat="1" applyFont="1" applyBorder="1" applyAlignment="1">
      <alignment horizontal="right" vertical="center"/>
    </xf>
    <xf numFmtId="165" fontId="9" fillId="2" borderId="18" xfId="0" applyNumberFormat="1" applyFont="1" applyFill="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5" fontId="9" fillId="2" borderId="7" xfId="0" applyNumberFormat="1" applyFont="1" applyFill="1" applyBorder="1" applyAlignment="1">
      <alignment horizontal="right" vertical="center"/>
    </xf>
    <xf numFmtId="165" fontId="9" fillId="0" borderId="7" xfId="0" applyNumberFormat="1" applyFont="1" applyBorder="1" applyAlignment="1">
      <alignment horizontal="right" vertical="center"/>
    </xf>
    <xf numFmtId="165"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5"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5" fontId="7" fillId="2" borderId="9" xfId="0" applyNumberFormat="1" applyFont="1" applyFill="1" applyBorder="1" applyAlignment="1">
      <alignment vertical="center"/>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right" vertical="center"/>
    </xf>
    <xf numFmtId="165" fontId="7" fillId="2" borderId="10" xfId="0" applyNumberFormat="1" applyFont="1" applyFill="1" applyBorder="1" applyAlignment="1">
      <alignment horizontal="right" vertical="center"/>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0" xfId="0" applyNumberFormat="1" applyFont="1" applyFill="1" applyBorder="1" applyAlignment="1">
      <alignment horizontal="right" vertical="center"/>
    </xf>
    <xf numFmtId="165" fontId="9" fillId="2" borderId="10" xfId="0" applyNumberFormat="1" applyFont="1" applyFill="1" applyBorder="1" applyAlignment="1">
      <alignment horizontal="right" vertical="center"/>
    </xf>
    <xf numFmtId="165" fontId="7" fillId="2" borderId="9" xfId="0" applyNumberFormat="1" applyFont="1" applyFill="1" applyBorder="1" applyAlignment="1">
      <alignment horizontal="center"/>
    </xf>
    <xf numFmtId="165" fontId="7" fillId="2" borderId="1" xfId="0" applyNumberFormat="1" applyFont="1" applyFill="1" applyBorder="1"/>
    <xf numFmtId="165" fontId="7" fillId="2" borderId="1" xfId="0" applyNumberFormat="1" applyFont="1" applyFill="1" applyBorder="1" applyAlignment="1">
      <alignment horizontal="right"/>
    </xf>
    <xf numFmtId="165" fontId="18" fillId="2" borderId="10" xfId="0" applyNumberFormat="1" applyFont="1" applyFill="1" applyBorder="1" applyAlignment="1">
      <alignment horizontal="right"/>
    </xf>
    <xf numFmtId="165" fontId="18" fillId="2" borderId="10" xfId="0" applyNumberFormat="1" applyFont="1" applyFill="1" applyBorder="1" applyAlignment="1">
      <alignment horizontal="right" vertical="center"/>
    </xf>
    <xf numFmtId="165" fontId="6" fillId="2" borderId="11" xfId="0" applyNumberFormat="1" applyFont="1" applyFill="1" applyBorder="1" applyAlignment="1">
      <alignment vertical="center"/>
    </xf>
    <xf numFmtId="165" fontId="6" fillId="2" borderId="12" xfId="0" applyNumberFormat="1" applyFont="1" applyFill="1" applyBorder="1" applyAlignment="1">
      <alignment vertical="center" wrapText="1"/>
    </xf>
    <xf numFmtId="165" fontId="6" fillId="2" borderId="13" xfId="0" applyNumberFormat="1" applyFont="1" applyFill="1" applyBorder="1" applyAlignment="1">
      <alignment horizontal="right" vertical="center"/>
    </xf>
    <xf numFmtId="165" fontId="7" fillId="2" borderId="14" xfId="0" applyNumberFormat="1" applyFont="1" applyFill="1" applyBorder="1" applyAlignment="1">
      <alignment horizontal="center"/>
    </xf>
    <xf numFmtId="165" fontId="7" fillId="2" borderId="15" xfId="0" applyNumberFormat="1" applyFont="1" applyFill="1" applyBorder="1"/>
    <xf numFmtId="165" fontId="7" fillId="2" borderId="15" xfId="0" applyNumberFormat="1" applyFont="1" applyFill="1" applyBorder="1" applyAlignment="1">
      <alignment horizontal="right"/>
    </xf>
    <xf numFmtId="165"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7"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7"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5" fontId="6" fillId="0" borderId="44" xfId="0" applyNumberFormat="1" applyFont="1" applyBorder="1" applyAlignment="1">
      <alignment horizontal="center" vertical="center"/>
    </xf>
    <xf numFmtId="168" fontId="7" fillId="0" borderId="34" xfId="0" applyNumberFormat="1" applyFont="1" applyBorder="1" applyAlignment="1">
      <alignment horizontal="center" vertical="center"/>
    </xf>
    <xf numFmtId="0" fontId="0" fillId="2" borderId="0" xfId="0" applyFill="1"/>
    <xf numFmtId="0" fontId="7" fillId="0" borderId="31" xfId="0" applyFont="1" applyBorder="1" applyAlignment="1">
      <alignment horizontal="center"/>
    </xf>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5" fontId="7"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5"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5"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1" fontId="7" fillId="0" borderId="34" xfId="0" applyNumberFormat="1" applyFont="1" applyBorder="1" applyAlignment="1">
      <alignment horizont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5"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7"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5" fontId="6" fillId="2" borderId="21" xfId="0" applyNumberFormat="1" applyFont="1" applyFill="1" applyBorder="1" applyAlignment="1">
      <alignment horizontal="right" vertical="center"/>
    </xf>
    <xf numFmtId="165"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5"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8" fillId="0" borderId="1" xfId="0" applyNumberFormat="1" applyFont="1" applyBorder="1" applyAlignment="1">
      <alignment horizontal="right" vertical="center"/>
    </xf>
    <xf numFmtId="165" fontId="8" fillId="2" borderId="1"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165" fontId="8" fillId="0" borderId="10" xfId="0" applyNumberFormat="1" applyFont="1" applyBorder="1" applyAlignment="1">
      <alignment horizontal="right" vertical="center"/>
    </xf>
    <xf numFmtId="165"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5"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5" fontId="6" fillId="2" borderId="1" xfId="0" applyNumberFormat="1" applyFont="1" applyFill="1" applyBorder="1" applyAlignment="1">
      <alignment vertical="center"/>
    </xf>
    <xf numFmtId="165" fontId="6" fillId="2" borderId="12" xfId="0" applyNumberFormat="1" applyFont="1" applyFill="1" applyBorder="1" applyAlignment="1">
      <alignment vertical="center"/>
    </xf>
    <xf numFmtId="165" fontId="9" fillId="2" borderId="18" xfId="0" applyNumberFormat="1" applyFont="1" applyFill="1" applyBorder="1" applyAlignment="1">
      <alignment vertical="center"/>
    </xf>
    <xf numFmtId="165" fontId="6" fillId="2" borderId="18" xfId="0" applyNumberFormat="1" applyFont="1" applyFill="1" applyBorder="1" applyAlignment="1">
      <alignment vertical="center"/>
    </xf>
    <xf numFmtId="165"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5" fontId="7" fillId="2" borderId="15" xfId="0" applyNumberFormat="1" applyFont="1" applyFill="1" applyBorder="1" applyAlignment="1">
      <alignment horizontal="right" vertical="center" wrapText="1"/>
    </xf>
    <xf numFmtId="165"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5" fontId="9" fillId="2" borderId="18" xfId="0" applyNumberFormat="1" applyFont="1" applyFill="1" applyBorder="1" applyAlignment="1">
      <alignment horizontal="center" vertical="center" wrapText="1"/>
    </xf>
    <xf numFmtId="165" fontId="9" fillId="2" borderId="18" xfId="0" applyNumberFormat="1" applyFont="1" applyFill="1" applyBorder="1" applyAlignment="1">
      <alignment horizontal="right" vertical="center" wrapText="1"/>
    </xf>
    <xf numFmtId="165"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165" fontId="9" fillId="2" borderId="19" xfId="0" applyNumberFormat="1" applyFont="1" applyFill="1" applyBorder="1" applyAlignment="1">
      <alignment vertical="center"/>
    </xf>
    <xf numFmtId="165" fontId="6" fillId="2" borderId="10" xfId="0" applyNumberFormat="1" applyFont="1" applyFill="1" applyBorder="1" applyAlignment="1">
      <alignment vertical="center"/>
    </xf>
    <xf numFmtId="165" fontId="6" fillId="2" borderId="13" xfId="0" applyNumberFormat="1" applyFont="1" applyFill="1" applyBorder="1" applyAlignment="1">
      <alignment vertical="center"/>
    </xf>
    <xf numFmtId="165"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5"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9" fontId="39" fillId="2" borderId="0" xfId="0" applyNumberFormat="1" applyFont="1" applyFill="1"/>
    <xf numFmtId="165"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167" fontId="21" fillId="0" borderId="15" xfId="1" applyNumberFormat="1" applyFont="1" applyFill="1" applyBorder="1" applyAlignment="1">
      <alignment horizontal="right" vertical="center" wrapText="1"/>
    </xf>
    <xf numFmtId="167"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167" fontId="4" fillId="0" borderId="0" xfId="0" applyNumberFormat="1" applyFont="1"/>
    <xf numFmtId="49" fontId="21" fillId="0" borderId="15" xfId="0" applyNumberFormat="1" applyFont="1" applyBorder="1" applyAlignment="1">
      <alignment horizontal="center" vertical="center" wrapText="1"/>
    </xf>
    <xf numFmtId="0" fontId="25" fillId="0" borderId="1" xfId="0" applyFont="1" applyBorder="1" applyAlignment="1">
      <alignment vertical="center" wrapText="1"/>
    </xf>
    <xf numFmtId="167" fontId="20" fillId="0" borderId="0" xfId="0" applyNumberFormat="1" applyFont="1"/>
    <xf numFmtId="0" fontId="6" fillId="0" borderId="21" xfId="0" applyFont="1" applyBorder="1" applyAlignment="1">
      <alignment horizontal="center" vertical="center" wrapText="1"/>
    </xf>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5"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5" fontId="6" fillId="2" borderId="27" xfId="0" applyNumberFormat="1" applyFont="1" applyFill="1" applyBorder="1" applyAlignment="1">
      <alignment vertical="center"/>
    </xf>
    <xf numFmtId="165"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27"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5" fontId="8" fillId="2" borderId="12"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6" fillId="2" borderId="15" xfId="0" applyNumberFormat="1" applyFont="1" applyFill="1" applyBorder="1" applyAlignment="1">
      <alignment horizontal="right" vertical="center"/>
    </xf>
    <xf numFmtId="165"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5"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5"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5" fontId="19" fillId="2" borderId="27" xfId="0" applyNumberFormat="1" applyFont="1" applyFill="1" applyBorder="1" applyAlignment="1">
      <alignment horizontal="right" vertical="center"/>
    </xf>
    <xf numFmtId="165" fontId="19" fillId="0" borderId="27" xfId="0" applyNumberFormat="1" applyFont="1" applyBorder="1" applyAlignment="1">
      <alignment horizontal="right" vertical="center"/>
    </xf>
    <xf numFmtId="165" fontId="19" fillId="0" borderId="12" xfId="0" applyNumberFormat="1" applyFont="1" applyBorder="1" applyAlignment="1">
      <alignment horizontal="right" vertical="center"/>
    </xf>
    <xf numFmtId="165"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70"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5" fillId="2" borderId="15" xfId="0" quotePrefix="1" applyFont="1" applyFill="1" applyBorder="1" applyAlignment="1">
      <alignment horizontal="center" vertical="center" wrapText="1"/>
    </xf>
    <xf numFmtId="0" fontId="21" fillId="3" borderId="15" xfId="0" applyFont="1" applyFill="1" applyBorder="1" applyAlignment="1">
      <alignment horizontal="left" vertical="center" wrapText="1"/>
    </xf>
    <xf numFmtId="3" fontId="21" fillId="0" borderId="15" xfId="0" applyNumberFormat="1" applyFont="1" applyBorder="1" applyAlignment="1">
      <alignment horizontal="right" vertical="center" wrapText="1"/>
    </xf>
    <xf numFmtId="9" fontId="21"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1" fillId="0" borderId="18" xfId="0" applyNumberFormat="1" applyFont="1" applyBorder="1" applyAlignment="1">
      <alignment horizontal="right" vertical="center" wrapText="1"/>
    </xf>
    <xf numFmtId="9" fontId="21"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9" fontId="21"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7"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7"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49" fontId="26"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wrapText="1"/>
    </xf>
    <xf numFmtId="3" fontId="26" fillId="2" borderId="1" xfId="0" applyNumberFormat="1"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9" fontId="26" fillId="2" borderId="10" xfId="0" applyNumberFormat="1" applyFont="1" applyFill="1" applyBorder="1" applyAlignment="1">
      <alignment horizontal="right" vertical="center" wrapText="1"/>
    </xf>
    <xf numFmtId="0" fontId="26" fillId="2" borderId="1" xfId="0" applyFont="1" applyFill="1" applyBorder="1" applyAlignment="1">
      <alignment vertical="center" wrapText="1"/>
    </xf>
    <xf numFmtId="9" fontId="26" fillId="2" borderId="10" xfId="0" applyNumberFormat="1" applyFont="1" applyFill="1" applyBorder="1" applyAlignment="1">
      <alignment horizontal="right" vertical="center"/>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7" fontId="21" fillId="3" borderId="48" xfId="1" applyNumberFormat="1" applyFont="1" applyFill="1" applyBorder="1" applyAlignment="1">
      <alignment horizontal="center" vertical="center" wrapText="1"/>
    </xf>
    <xf numFmtId="167"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5" fontId="8" fillId="2" borderId="27" xfId="0" applyNumberFormat="1" applyFont="1" applyFill="1" applyBorder="1" applyAlignment="1">
      <alignment horizontal="right" vertical="center"/>
    </xf>
    <xf numFmtId="165"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165"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quotePrefix="1" applyFont="1" applyBorder="1" applyAlignment="1">
      <alignment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17"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26" fillId="2" borderId="18" xfId="0" applyFont="1" applyFill="1" applyBorder="1" applyAlignment="1">
      <alignment horizontal="left" vertical="center" wrapText="1"/>
    </xf>
    <xf numFmtId="0" fontId="46" fillId="0" borderId="18" xfId="0" applyFont="1" applyBorder="1" applyAlignment="1">
      <alignment vertical="center" wrapText="1"/>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Fill="1" applyAlignment="1">
      <alignment horizontal="left"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2" xfId="0" applyFont="1" applyFill="1" applyBorder="1" applyAlignment="1"/>
    <xf numFmtId="0" fontId="8" fillId="0" borderId="0" xfId="0" applyFont="1" applyFill="1" applyBorder="1" applyAlignme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left" vertical="center"/>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5"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49" fontId="8" fillId="0" borderId="0" xfId="0" applyNumberFormat="1" applyFont="1" applyFill="1" applyAlignment="1">
      <alignment vertical="center"/>
    </xf>
    <xf numFmtId="49" fontId="8" fillId="0" borderId="2" xfId="0" applyNumberFormat="1" applyFont="1" applyFill="1" applyBorder="1" applyAlignment="1">
      <alignment vertical="center"/>
    </xf>
    <xf numFmtId="49" fontId="8" fillId="0" borderId="4" xfId="0" applyNumberFormat="1" applyFont="1" applyFill="1" applyBorder="1" applyAlignment="1">
      <alignment vertical="center"/>
    </xf>
    <xf numFmtId="165"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wrapText="1"/>
    </xf>
    <xf numFmtId="165" fontId="9" fillId="0" borderId="27"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8" fillId="0" borderId="50" xfId="0" applyNumberFormat="1" applyFont="1" applyBorder="1" applyAlignment="1">
      <alignment horizontal="center" vertical="center"/>
    </xf>
    <xf numFmtId="165"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9" fontId="25" fillId="0" borderId="18" xfId="0" applyNumberFormat="1" applyFont="1" applyBorder="1" applyAlignment="1">
      <alignment horizontal="right" vertical="center" wrapText="1"/>
    </xf>
    <xf numFmtId="9" fontId="26" fillId="0" borderId="1" xfId="0" applyNumberFormat="1" applyFont="1" applyBorder="1" applyAlignment="1">
      <alignment horizontal="right" vertical="center" wrapText="1"/>
    </xf>
    <xf numFmtId="0" fontId="4" fillId="0" borderId="0" xfId="0" applyFont="1" applyFill="1" applyBorder="1" applyAlignment="1">
      <alignment horizontal="left" vertical="center" wrapText="1"/>
    </xf>
    <xf numFmtId="3" fontId="26" fillId="0" borderId="12" xfId="0" applyNumberFormat="1"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9" fontId="26"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3" fontId="26" fillId="0" borderId="43" xfId="0" applyNumberFormat="1" applyFont="1" applyFill="1" applyBorder="1" applyAlignment="1">
      <alignment horizontal="right" vertical="center" wrapText="1"/>
    </xf>
    <xf numFmtId="3" fontId="25" fillId="0" borderId="1" xfId="0" applyNumberFormat="1" applyFont="1" applyFill="1" applyBorder="1" applyAlignment="1">
      <alignment horizontal="left" vertical="center" wrapText="1"/>
    </xf>
    <xf numFmtId="3" fontId="25" fillId="0" borderId="3"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wrapText="1"/>
    </xf>
    <xf numFmtId="3" fontId="26" fillId="0" borderId="27"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left" vertical="center" wrapText="1"/>
    </xf>
    <xf numFmtId="3" fontId="26" fillId="0" borderId="1" xfId="0" quotePrefix="1" applyNumberFormat="1" applyFont="1" applyFill="1" applyBorder="1" applyAlignment="1">
      <alignment horizontal="right" vertical="center" wrapText="1"/>
    </xf>
    <xf numFmtId="49" fontId="4" fillId="0" borderId="18" xfId="0" applyNumberFormat="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3" fontId="26" fillId="0" borderId="3" xfId="0" applyNumberFormat="1" applyFont="1" applyFill="1" applyBorder="1" applyAlignment="1">
      <alignment vertical="center" wrapText="1"/>
    </xf>
    <xf numFmtId="49" fontId="26" fillId="0" borderId="18" xfId="0" applyNumberFormat="1" applyFont="1" applyFill="1" applyBorder="1" applyAlignment="1">
      <alignment horizontal="center" vertical="center" wrapText="1"/>
    </xf>
    <xf numFmtId="3" fontId="26" fillId="0" borderId="1" xfId="0" applyNumberFormat="1" applyFont="1" applyFill="1" applyBorder="1" applyAlignment="1">
      <alignment horizontal="right" vertical="center"/>
    </xf>
    <xf numFmtId="0" fontId="26" fillId="0" borderId="1" xfId="0" applyFont="1" applyFill="1" applyBorder="1" applyAlignment="1">
      <alignment vertical="center" wrapText="1"/>
    </xf>
    <xf numFmtId="3" fontId="4" fillId="0" borderId="1" xfId="0" applyNumberFormat="1" applyFont="1" applyFill="1" applyBorder="1" applyAlignment="1">
      <alignment vertical="center"/>
    </xf>
    <xf numFmtId="9" fontId="26"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vertical="center" wrapText="1"/>
    </xf>
    <xf numFmtId="3" fontId="25"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3" fontId="25" fillId="0" borderId="1" xfId="0" quotePrefix="1" applyNumberFormat="1" applyFont="1" applyFill="1" applyBorder="1" applyAlignment="1">
      <alignment horizontal="right" vertical="center" wrapText="1"/>
    </xf>
    <xf numFmtId="0" fontId="26" fillId="0" borderId="18" xfId="0"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0" fontId="4" fillId="0" borderId="1" xfId="0" applyFont="1" applyFill="1" applyBorder="1" applyAlignment="1">
      <alignment vertical="center" wrapText="1"/>
    </xf>
    <xf numFmtId="171" fontId="26" fillId="0" borderId="1" xfId="4" applyNumberFormat="1" applyFont="1" applyFill="1" applyBorder="1" applyAlignment="1">
      <alignment horizontal="right" vertical="center" wrapText="1"/>
    </xf>
    <xf numFmtId="3" fontId="26" fillId="0" borderId="1" xfId="0" applyNumberFormat="1" applyFont="1" applyFill="1" applyBorder="1" applyAlignment="1">
      <alignment vertical="center"/>
    </xf>
    <xf numFmtId="3" fontId="26" fillId="0" borderId="1" xfId="0" applyNumberFormat="1" applyFont="1" applyFill="1" applyBorder="1" applyAlignment="1">
      <alignment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172" fontId="25"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2"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4" fillId="0" borderId="43" xfId="0" applyFont="1" applyFill="1" applyBorder="1" applyAlignment="1">
      <alignment horizontal="left" vertical="center" wrapText="1"/>
    </xf>
    <xf numFmtId="0" fontId="26" fillId="0" borderId="12" xfId="0" applyFont="1" applyFill="1" applyBorder="1" applyAlignment="1">
      <alignment horizontal="center" vertical="center" wrapText="1"/>
    </xf>
    <xf numFmtId="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6" fillId="0" borderId="0" xfId="0" applyFont="1" applyBorder="1"/>
    <xf numFmtId="0" fontId="19" fillId="0" borderId="0" xfId="0" applyFont="1" applyBorder="1"/>
    <xf numFmtId="0" fontId="16" fillId="0" borderId="0" xfId="0" applyFont="1" applyFill="1"/>
    <xf numFmtId="0" fontId="26"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xf numFmtId="3" fontId="26" fillId="0" borderId="0" xfId="0" applyNumberFormat="1" applyFont="1" applyFill="1" applyBorder="1"/>
    <xf numFmtId="0" fontId="20" fillId="0" borderId="0" xfId="0" applyFont="1" applyFill="1"/>
    <xf numFmtId="0" fontId="48"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6" fillId="0" borderId="0" xfId="0" applyFont="1" applyFill="1" applyAlignment="1">
      <alignment horizontal="center" vertical="center"/>
    </xf>
    <xf numFmtId="9"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33" fillId="0" borderId="0" xfId="0" applyFont="1" applyAlignment="1"/>
    <xf numFmtId="165" fontId="6" fillId="0" borderId="49" xfId="0" applyNumberFormat="1" applyFont="1" applyBorder="1" applyAlignment="1">
      <alignment horizontal="right" vertical="center"/>
    </xf>
    <xf numFmtId="165" fontId="6" fillId="0" borderId="1" xfId="0" quotePrefix="1" applyNumberFormat="1" applyFont="1" applyBorder="1" applyAlignment="1">
      <alignment vertical="center" wrapText="1"/>
    </xf>
    <xf numFmtId="165"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49" fontId="7" fillId="0" borderId="23"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 xfId="0" applyFont="1" applyBorder="1" applyAlignment="1">
      <alignment horizontal="left" vertical="center" wrapText="1"/>
    </xf>
    <xf numFmtId="0" fontId="24" fillId="0" borderId="0" xfId="0" applyFont="1" applyAlignment="1">
      <alignment horizontal="left" vertical="center"/>
    </xf>
    <xf numFmtId="0" fontId="8" fillId="0" borderId="21" xfId="0" quotePrefix="1" applyFont="1" applyBorder="1" applyAlignment="1">
      <alignment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5" fontId="7" fillId="0" borderId="1" xfId="0" applyNumberFormat="1" applyFont="1" applyBorder="1" applyAlignment="1">
      <alignment horizontal="right" vertical="center"/>
    </xf>
    <xf numFmtId="165" fontId="0" fillId="0" borderId="0" xfId="0" applyNumberFormat="1"/>
    <xf numFmtId="0" fontId="18" fillId="0" borderId="1" xfId="0" applyFont="1" applyBorder="1" applyAlignment="1">
      <alignment vertical="center" wrapText="1"/>
    </xf>
    <xf numFmtId="165"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5" fontId="18"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7" fillId="0" borderId="1" xfId="0" applyFont="1" applyBorder="1" applyAlignment="1">
      <alignment horizontal="center" vertical="center" wrapText="1"/>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5"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5"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5"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165" fontId="8" fillId="0" borderId="49"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9" fontId="26" fillId="0" borderId="49" xfId="0" applyNumberFormat="1" applyFont="1" applyBorder="1" applyAlignment="1">
      <alignment horizontal="right"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center" vertical="center" wrapText="1"/>
    </xf>
    <xf numFmtId="4" fontId="15" fillId="0" borderId="0" xfId="0" applyNumberFormat="1" applyFont="1"/>
    <xf numFmtId="4" fontId="1" fillId="0" borderId="0" xfId="0" applyNumberFormat="1" applyFont="1"/>
    <xf numFmtId="0" fontId="4" fillId="2" borderId="1" xfId="0" quotePrefix="1" applyFont="1" applyFill="1" applyBorder="1" applyAlignment="1">
      <alignment vertical="center" wrapText="1"/>
    </xf>
    <xf numFmtId="3" fontId="26" fillId="0" borderId="51" xfId="0" applyNumberFormat="1" applyFont="1" applyFill="1" applyBorder="1" applyAlignment="1">
      <alignment horizontal="left" vertical="center" wrapText="1"/>
    </xf>
    <xf numFmtId="3" fontId="26" fillId="0" borderId="49" xfId="0" applyNumberFormat="1" applyFont="1" applyFill="1" applyBorder="1" applyAlignment="1">
      <alignment horizontal="right" vertical="center" wrapText="1"/>
    </xf>
    <xf numFmtId="3" fontId="26" fillId="0" borderId="18" xfId="0" applyNumberFormat="1" applyFont="1" applyFill="1" applyBorder="1" applyAlignment="1">
      <alignment horizontal="right" vertical="center" wrapText="1"/>
    </xf>
    <xf numFmtId="9" fontId="26" fillId="0" borderId="18"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xf>
    <xf numFmtId="49" fontId="26" fillId="0" borderId="39" xfId="0" applyNumberFormat="1" applyFont="1" applyBorder="1" applyAlignment="1">
      <alignment horizontal="center" vertical="center"/>
    </xf>
    <xf numFmtId="3" fontId="13" fillId="0" borderId="27" xfId="0" applyNumberFormat="1" applyFont="1" applyBorder="1" applyAlignment="1">
      <alignment vertical="center" wrapText="1"/>
    </xf>
    <xf numFmtId="3" fontId="26" fillId="0" borderId="18" xfId="0" applyNumberFormat="1" applyFont="1" applyBorder="1" applyAlignment="1">
      <alignment horizontal="right" vertical="center"/>
    </xf>
    <xf numFmtId="9" fontId="26" fillId="0" borderId="51" xfId="0" applyNumberFormat="1" applyFont="1" applyBorder="1" applyAlignment="1">
      <alignment horizontal="right" vertical="center"/>
    </xf>
    <xf numFmtId="0" fontId="42"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9" fontId="25" fillId="0" borderId="1" xfId="0" applyNumberFormat="1" applyFont="1" applyFill="1" applyBorder="1" applyAlignment="1">
      <alignment horizontal="right" vertical="center" wrapText="1"/>
    </xf>
    <xf numFmtId="9" fontId="26" fillId="0" borderId="3" xfId="0" applyNumberFormat="1" applyFont="1" applyFill="1" applyBorder="1" applyAlignment="1">
      <alignment horizontal="center" vertical="center" wrapText="1"/>
    </xf>
    <xf numFmtId="0" fontId="36" fillId="2" borderId="1" xfId="0" quotePrefix="1" applyFont="1" applyFill="1" applyBorder="1" applyAlignment="1">
      <alignment vertical="center" wrapText="1"/>
    </xf>
    <xf numFmtId="1" fontId="20" fillId="0" borderId="0" xfId="0" applyNumberFormat="1" applyFont="1" applyAlignment="1">
      <alignment horizontal="right" vertical="center"/>
    </xf>
    <xf numFmtId="0" fontId="6" fillId="0" borderId="1" xfId="0" applyFont="1" applyBorder="1" applyAlignment="1">
      <alignment horizontal="center" vertical="center" wrapText="1"/>
    </xf>
    <xf numFmtId="165" fontId="8" fillId="2" borderId="27" xfId="0" applyNumberFormat="1" applyFont="1" applyFill="1" applyBorder="1" applyAlignment="1">
      <alignment vertical="center"/>
    </xf>
    <xf numFmtId="165" fontId="6" fillId="0" borderId="12" xfId="0" quotePrefix="1" applyNumberFormat="1" applyFont="1" applyBorder="1" applyAlignment="1">
      <alignment vertical="center" wrapText="1"/>
    </xf>
    <xf numFmtId="0" fontId="7" fillId="2" borderId="25" xfId="0" quotePrefix="1" applyFont="1" applyFill="1" applyBorder="1" applyAlignment="1">
      <alignment vertical="center" wrapText="1"/>
    </xf>
    <xf numFmtId="165" fontId="7" fillId="2" borderId="25" xfId="0" applyNumberFormat="1" applyFont="1" applyFill="1" applyBorder="1" applyAlignment="1">
      <alignment horizontal="right" vertical="center"/>
    </xf>
    <xf numFmtId="165" fontId="7" fillId="2" borderId="52" xfId="0" applyNumberFormat="1" applyFont="1" applyFill="1" applyBorder="1" applyAlignment="1">
      <alignment horizontal="right" vertical="center"/>
    </xf>
    <xf numFmtId="0" fontId="16" fillId="0" borderId="15" xfId="0" quotePrefix="1" applyFont="1" applyBorder="1" applyAlignment="1">
      <alignment vertical="center" wrapText="1"/>
    </xf>
    <xf numFmtId="0" fontId="19" fillId="0" borderId="18" xfId="0" quotePrefix="1" applyFont="1" applyBorder="1" applyAlignment="1">
      <alignment vertical="center" wrapText="1"/>
    </xf>
    <xf numFmtId="3" fontId="26" fillId="2" borderId="27" xfId="0" applyNumberFormat="1" applyFont="1" applyFill="1" applyBorder="1" applyAlignment="1">
      <alignment horizontal="right" vertical="center"/>
    </xf>
    <xf numFmtId="3" fontId="26" fillId="2" borderId="1" xfId="0" quotePrefix="1" applyNumberFormat="1" applyFont="1" applyFill="1" applyBorder="1" applyAlignment="1">
      <alignment horizontal="right" vertical="center" wrapText="1"/>
    </xf>
    <xf numFmtId="9" fontId="26" fillId="0" borderId="18" xfId="0" applyNumberFormat="1" applyFont="1" applyBorder="1" applyAlignment="1">
      <alignment horizontal="right" vertical="center"/>
    </xf>
    <xf numFmtId="0" fontId="6" fillId="0" borderId="1" xfId="0" applyFont="1" applyBorder="1" applyAlignment="1">
      <alignment horizontal="center" vertical="center" wrapText="1"/>
    </xf>
    <xf numFmtId="0" fontId="49" fillId="0" borderId="0" xfId="0" applyFont="1" applyAlignment="1">
      <alignment horizontal="center"/>
    </xf>
    <xf numFmtId="0" fontId="24"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0" fontId="33" fillId="0" borderId="0" xfId="0" applyFont="1" applyAlignment="1">
      <alignment horizontal="left"/>
    </xf>
    <xf numFmtId="0" fontId="5" fillId="0" borderId="0" xfId="0" quotePrefix="1" applyFont="1" applyAlignment="1">
      <alignment horizontal="left"/>
    </xf>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left" vertical="top" wrapText="1"/>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5" fontId="7" fillId="2" borderId="31" xfId="0" applyNumberFormat="1" applyFont="1" applyFill="1" applyBorder="1" applyAlignment="1">
      <alignment horizontal="left" vertical="center"/>
    </xf>
    <xf numFmtId="165" fontId="6" fillId="2" borderId="4" xfId="0" applyNumberFormat="1" applyFont="1" applyFill="1" applyBorder="1" applyAlignment="1">
      <alignment horizontal="left"/>
    </xf>
    <xf numFmtId="165"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 fillId="2" borderId="1" xfId="0" applyFont="1" applyFill="1" applyBorder="1" applyAlignment="1">
      <alignment horizontal="center"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7" fillId="0" borderId="3" xfId="0" applyFont="1" applyBorder="1" applyAlignment="1">
      <alignment horizontal="center" wrapText="1"/>
    </xf>
    <xf numFmtId="0" fontId="7" fillId="0" borderId="5" xfId="0" applyFont="1" applyBorder="1" applyAlignment="1">
      <alignment horizont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xf>
    <xf numFmtId="0" fontId="2" fillId="0" borderId="29" xfId="0" applyFont="1" applyBorder="1" applyAlignment="1">
      <alignment horizontal="center" vertical="top" wrapText="1"/>
    </xf>
    <xf numFmtId="0" fontId="2" fillId="0" borderId="33" xfId="0" applyFont="1" applyBorder="1" applyAlignment="1">
      <alignment horizontal="center" vertical="top"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16" fillId="0" borderId="0" xfId="0" applyFont="1" applyAlignment="1">
      <alignment horizont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16" fillId="0" borderId="0" xfId="0" applyFont="1" applyAlignment="1">
      <alignment horizontal="left"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24" fillId="0" borderId="0" xfId="0" applyFont="1" applyAlignment="1">
      <alignment horizontal="left"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23"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12"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0" fontId="13" fillId="0" borderId="12" xfId="0" quotePrefix="1" applyFont="1" applyFill="1" applyBorder="1" applyAlignment="1">
      <alignment horizontal="center" vertical="center" wrapText="1"/>
    </xf>
    <xf numFmtId="0" fontId="13" fillId="0" borderId="27"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3" fontId="26" fillId="0" borderId="12" xfId="0" quotePrefix="1" applyNumberFormat="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0" borderId="27" xfId="0" applyFont="1" applyFill="1" applyBorder="1" applyAlignment="1">
      <alignment horizontal="center" vertical="center"/>
    </xf>
    <xf numFmtId="49" fontId="26" fillId="0" borderId="27" xfId="0" applyNumberFormat="1" applyFont="1" applyFill="1" applyBorder="1" applyAlignment="1">
      <alignment horizontal="center" vertical="center"/>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49" fontId="26" fillId="0" borderId="23"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24" fillId="0" borderId="0" xfId="0" applyFont="1" applyAlignment="1">
      <alignment horizontal="center" wrapText="1"/>
    </xf>
    <xf numFmtId="0" fontId="8" fillId="2" borderId="0" xfId="0" applyFont="1" applyFill="1" applyBorder="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xf numFmtId="0" fontId="8" fillId="0" borderId="4" xfId="0" applyFont="1" applyFill="1" applyBorder="1" applyAlignment="1"/>
  </cellXfs>
  <cellStyles count="5">
    <cellStyle name="Звичайний" xfId="0" builtinId="0"/>
    <cellStyle name="Обычный 2" xfId="3" xr:uid="{00000000-0005-0000-0000-000001000000}"/>
    <cellStyle name="Обычный 9 2 4 2 2" xfId="2" xr:uid="{00000000-0005-0000-0000-000002000000}"/>
    <cellStyle name="Финансовый 2" xfId="1" xr:uid="{00000000-0005-0000-0000-000003000000}"/>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view="pageBreakPreview" topLeftCell="A21" zoomScale="110" zoomScaleNormal="100" zoomScaleSheetLayoutView="110" workbookViewId="0">
      <selection activeCell="E86" sqref="E86"/>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51" t="s">
        <v>213</v>
      </c>
      <c r="E1" s="4"/>
    </row>
    <row r="2" spans="1:9" ht="15.75" x14ac:dyDescent="0.2">
      <c r="D2" s="551" t="s">
        <v>386</v>
      </c>
      <c r="E2" s="4"/>
    </row>
    <row r="3" spans="1:9" ht="15.75" x14ac:dyDescent="0.25">
      <c r="D3" s="552" t="s">
        <v>640</v>
      </c>
      <c r="E3" s="553"/>
    </row>
    <row r="4" spans="1:9" ht="15.75" x14ac:dyDescent="0.25">
      <c r="D4" s="554" t="s">
        <v>639</v>
      </c>
      <c r="E4" s="555"/>
    </row>
    <row r="5" spans="1:9" ht="15.75" x14ac:dyDescent="0.2">
      <c r="D5" s="777" t="s">
        <v>413</v>
      </c>
      <c r="E5" s="777"/>
    </row>
    <row r="6" spans="1:9" ht="15.75" x14ac:dyDescent="0.2">
      <c r="D6" s="778" t="s">
        <v>525</v>
      </c>
      <c r="E6" s="778"/>
      <c r="F6" s="778"/>
      <c r="G6" s="778"/>
      <c r="H6" s="778"/>
      <c r="I6" s="778"/>
    </row>
    <row r="7" spans="1:9" ht="15.75" x14ac:dyDescent="0.2">
      <c r="D7" s="775" t="s">
        <v>386</v>
      </c>
      <c r="E7" s="775"/>
      <c r="F7" s="775"/>
      <c r="G7" s="698"/>
      <c r="H7" s="698"/>
      <c r="I7" s="698"/>
    </row>
    <row r="8" spans="1:9" ht="15.75" x14ac:dyDescent="0.2">
      <c r="D8" s="776" t="s">
        <v>526</v>
      </c>
      <c r="E8" s="776"/>
      <c r="F8" s="776"/>
      <c r="G8" s="698"/>
      <c r="H8" s="698"/>
      <c r="I8" s="698"/>
    </row>
    <row r="9" spans="1:9" ht="15.75" x14ac:dyDescent="0.2">
      <c r="D9" s="776" t="s">
        <v>527</v>
      </c>
      <c r="E9" s="776"/>
      <c r="F9" s="776"/>
      <c r="G9" s="698"/>
      <c r="H9" s="698"/>
      <c r="I9" s="698"/>
    </row>
    <row r="10" spans="1:9" ht="15.75" x14ac:dyDescent="0.25">
      <c r="D10" s="772" t="s">
        <v>403</v>
      </c>
      <c r="E10" s="772"/>
      <c r="F10" s="772"/>
      <c r="G10" s="775"/>
      <c r="H10" s="775"/>
      <c r="I10" s="775"/>
    </row>
    <row r="11" spans="1:9" ht="15.75" x14ac:dyDescent="0.25">
      <c r="D11" s="772" t="s">
        <v>528</v>
      </c>
      <c r="E11" s="774"/>
      <c r="F11" s="774"/>
      <c r="G11" s="776"/>
      <c r="H11" s="776"/>
      <c r="I11" s="776"/>
    </row>
    <row r="12" spans="1:9" ht="15.75" x14ac:dyDescent="0.25">
      <c r="D12" s="774" t="s">
        <v>529</v>
      </c>
      <c r="E12" s="774"/>
      <c r="F12" s="774"/>
      <c r="G12" s="776"/>
      <c r="H12" s="776"/>
      <c r="I12" s="776"/>
    </row>
    <row r="13" spans="1:9" ht="34.5" customHeight="1" x14ac:dyDescent="0.3">
      <c r="A13" s="770" t="s">
        <v>530</v>
      </c>
      <c r="B13" s="771"/>
      <c r="C13" s="771"/>
      <c r="D13" s="771"/>
      <c r="E13" s="771"/>
      <c r="F13" s="771"/>
      <c r="G13" s="772"/>
      <c r="H13" s="772"/>
      <c r="I13" s="772"/>
    </row>
    <row r="14" spans="1:9" ht="15.75" x14ac:dyDescent="0.25">
      <c r="A14" s="773" t="s">
        <v>214</v>
      </c>
      <c r="B14" s="773"/>
      <c r="C14" s="1"/>
      <c r="D14" s="1"/>
      <c r="E14" s="1"/>
      <c r="F14" s="1"/>
      <c r="G14" s="774"/>
      <c r="H14" s="774"/>
      <c r="I14" s="774"/>
    </row>
    <row r="15" spans="1:9" ht="15.75" x14ac:dyDescent="0.25">
      <c r="A15" s="1" t="s">
        <v>0</v>
      </c>
      <c r="B15" s="1"/>
      <c r="C15" s="1"/>
      <c r="D15" s="1"/>
      <c r="E15" s="1"/>
      <c r="F15" s="2" t="s">
        <v>1</v>
      </c>
      <c r="G15" s="774"/>
      <c r="H15" s="774"/>
      <c r="I15" s="774"/>
    </row>
    <row r="16" spans="1:9" ht="15.75" x14ac:dyDescent="0.2">
      <c r="A16" s="767" t="s">
        <v>146</v>
      </c>
      <c r="B16" s="767" t="s">
        <v>531</v>
      </c>
      <c r="C16" s="767" t="s">
        <v>2</v>
      </c>
      <c r="D16" s="767" t="s">
        <v>3</v>
      </c>
      <c r="E16" s="767" t="s">
        <v>4</v>
      </c>
      <c r="F16" s="767"/>
    </row>
    <row r="17" spans="1:7" x14ac:dyDescent="0.2">
      <c r="A17" s="767"/>
      <c r="B17" s="767"/>
      <c r="C17" s="767"/>
      <c r="D17" s="767"/>
      <c r="E17" s="767" t="s">
        <v>5</v>
      </c>
      <c r="F17" s="767" t="s">
        <v>6</v>
      </c>
    </row>
    <row r="18" spans="1:7" x14ac:dyDescent="0.2">
      <c r="A18" s="767"/>
      <c r="B18" s="767"/>
      <c r="C18" s="767"/>
      <c r="D18" s="767"/>
      <c r="E18" s="767"/>
      <c r="F18" s="767"/>
    </row>
    <row r="19" spans="1:7" ht="15.75" x14ac:dyDescent="0.2">
      <c r="A19" s="664">
        <v>1</v>
      </c>
      <c r="B19" s="664">
        <v>2</v>
      </c>
      <c r="C19" s="664">
        <v>3</v>
      </c>
      <c r="D19" s="664">
        <v>4</v>
      </c>
      <c r="E19" s="664">
        <v>5</v>
      </c>
      <c r="F19" s="664">
        <v>6</v>
      </c>
    </row>
    <row r="20" spans="1:7" ht="15.75" x14ac:dyDescent="0.2">
      <c r="A20" s="699" t="s">
        <v>532</v>
      </c>
      <c r="B20" s="699" t="s">
        <v>533</v>
      </c>
      <c r="C20" s="73">
        <f>D20+E20</f>
        <v>553681600</v>
      </c>
      <c r="D20" s="73">
        <f>D21+D24+D28</f>
        <v>553222300</v>
      </c>
      <c r="E20" s="700">
        <f>E43</f>
        <v>459300</v>
      </c>
      <c r="F20" s="700">
        <v>0</v>
      </c>
      <c r="G20" s="701"/>
    </row>
    <row r="21" spans="1:7" ht="47.25" x14ac:dyDescent="0.2">
      <c r="A21" s="702" t="s">
        <v>534</v>
      </c>
      <c r="B21" s="702" t="s">
        <v>535</v>
      </c>
      <c r="C21" s="703">
        <f t="shared" ref="C21:C27" si="0">D21</f>
        <v>344028800</v>
      </c>
      <c r="D21" s="703">
        <f>D22+D23</f>
        <v>344028800</v>
      </c>
      <c r="E21" s="700">
        <v>0</v>
      </c>
      <c r="F21" s="700">
        <v>0</v>
      </c>
      <c r="G21" s="701"/>
    </row>
    <row r="22" spans="1:7" ht="21" customHeight="1" x14ac:dyDescent="0.2">
      <c r="A22" s="704" t="s">
        <v>536</v>
      </c>
      <c r="B22" s="704" t="s">
        <v>537</v>
      </c>
      <c r="C22" s="32">
        <f t="shared" si="0"/>
        <v>343014800</v>
      </c>
      <c r="D22" s="32">
        <v>343014800</v>
      </c>
      <c r="E22" s="700">
        <v>0</v>
      </c>
      <c r="F22" s="700">
        <v>0</v>
      </c>
      <c r="G22" s="701"/>
    </row>
    <row r="23" spans="1:7" ht="15.75" x14ac:dyDescent="0.2">
      <c r="A23" s="704" t="s">
        <v>538</v>
      </c>
      <c r="B23" s="704" t="s">
        <v>539</v>
      </c>
      <c r="C23" s="32">
        <f t="shared" si="0"/>
        <v>1014000</v>
      </c>
      <c r="D23" s="32">
        <v>1014000</v>
      </c>
      <c r="E23" s="32">
        <v>0</v>
      </c>
      <c r="F23" s="700">
        <v>0</v>
      </c>
      <c r="G23" s="701"/>
    </row>
    <row r="24" spans="1:7" ht="31.5" x14ac:dyDescent="0.2">
      <c r="A24" s="702" t="s">
        <v>540</v>
      </c>
      <c r="B24" s="702" t="s">
        <v>541</v>
      </c>
      <c r="C24" s="705">
        <f t="shared" si="0"/>
        <v>27243700</v>
      </c>
      <c r="D24" s="705">
        <f>D25+D26+D27</f>
        <v>27243700</v>
      </c>
      <c r="E24" s="700">
        <v>0</v>
      </c>
      <c r="F24" s="700">
        <v>0</v>
      </c>
      <c r="G24" s="701"/>
    </row>
    <row r="25" spans="1:7" ht="48" customHeight="1" x14ac:dyDescent="0.2">
      <c r="A25" s="704" t="s">
        <v>542</v>
      </c>
      <c r="B25" s="704" t="s">
        <v>543</v>
      </c>
      <c r="C25" s="32">
        <f t="shared" si="0"/>
        <v>1040800</v>
      </c>
      <c r="D25" s="32">
        <v>1040800</v>
      </c>
      <c r="E25" s="32">
        <v>0</v>
      </c>
      <c r="F25" s="700">
        <v>0</v>
      </c>
      <c r="G25" s="701"/>
    </row>
    <row r="26" spans="1:7" ht="47.25" x14ac:dyDescent="0.2">
      <c r="A26" s="704" t="s">
        <v>544</v>
      </c>
      <c r="B26" s="704" t="s">
        <v>545</v>
      </c>
      <c r="C26" s="32">
        <f t="shared" si="0"/>
        <v>8442600</v>
      </c>
      <c r="D26" s="32">
        <v>8442600</v>
      </c>
      <c r="E26" s="32">
        <v>0</v>
      </c>
      <c r="F26" s="700">
        <v>0</v>
      </c>
      <c r="G26" s="701"/>
    </row>
    <row r="27" spans="1:7" ht="47.25" x14ac:dyDescent="0.2">
      <c r="A27" s="704" t="s">
        <v>546</v>
      </c>
      <c r="B27" s="704" t="s">
        <v>547</v>
      </c>
      <c r="C27" s="32">
        <f t="shared" si="0"/>
        <v>17760300</v>
      </c>
      <c r="D27" s="32">
        <v>17760300</v>
      </c>
      <c r="E27" s="32">
        <v>0</v>
      </c>
      <c r="F27" s="700">
        <v>0</v>
      </c>
      <c r="G27" s="701"/>
    </row>
    <row r="28" spans="1:7" ht="67.5" customHeight="1" x14ac:dyDescent="0.2">
      <c r="A28" s="702" t="s">
        <v>548</v>
      </c>
      <c r="B28" s="702" t="s">
        <v>549</v>
      </c>
      <c r="C28" s="705">
        <f>D28</f>
        <v>181949800</v>
      </c>
      <c r="D28" s="705">
        <f>D29+D41+D42</f>
        <v>181949800</v>
      </c>
      <c r="E28" s="700">
        <v>0</v>
      </c>
      <c r="F28" s="700">
        <v>0</v>
      </c>
      <c r="G28" s="701"/>
    </row>
    <row r="29" spans="1:7" ht="15.75" x14ac:dyDescent="0.2">
      <c r="A29" s="704" t="s">
        <v>550</v>
      </c>
      <c r="B29" s="704" t="s">
        <v>551</v>
      </c>
      <c r="C29" s="32">
        <f>D29</f>
        <v>141819900</v>
      </c>
      <c r="D29" s="32">
        <f>D30+D35+D40</f>
        <v>141819900</v>
      </c>
      <c r="E29" s="32">
        <v>0</v>
      </c>
      <c r="F29" s="700">
        <v>0</v>
      </c>
      <c r="G29" s="701"/>
    </row>
    <row r="30" spans="1:7" ht="35.25" customHeight="1" x14ac:dyDescent="0.2">
      <c r="A30" s="704"/>
      <c r="B30" s="704" t="s">
        <v>552</v>
      </c>
      <c r="C30" s="32">
        <f>D30+E30</f>
        <v>9718800</v>
      </c>
      <c r="D30" s="32">
        <f>D31+D32+D33+D34</f>
        <v>9718800</v>
      </c>
      <c r="E30" s="32"/>
      <c r="F30" s="700"/>
      <c r="G30" s="701"/>
    </row>
    <row r="31" spans="1:7" ht="67.5" customHeight="1" x14ac:dyDescent="0.2">
      <c r="A31" s="706">
        <v>18010100</v>
      </c>
      <c r="B31" s="704" t="s">
        <v>553</v>
      </c>
      <c r="C31" s="32">
        <f t="shared" ref="C31:C34" si="1">D31+E31</f>
        <v>22000</v>
      </c>
      <c r="D31" s="32">
        <v>22000</v>
      </c>
      <c r="E31" s="32"/>
      <c r="F31" s="700"/>
      <c r="G31" s="701"/>
    </row>
    <row r="32" spans="1:7" ht="63" x14ac:dyDescent="0.2">
      <c r="A32" s="706">
        <v>18010200</v>
      </c>
      <c r="B32" s="704" t="s">
        <v>554</v>
      </c>
      <c r="C32" s="32">
        <f t="shared" si="1"/>
        <v>786300</v>
      </c>
      <c r="D32" s="32">
        <v>786300</v>
      </c>
      <c r="E32" s="32"/>
      <c r="F32" s="700"/>
      <c r="G32" s="701"/>
    </row>
    <row r="33" spans="1:7" ht="63" x14ac:dyDescent="0.2">
      <c r="A33" s="706">
        <v>18010300</v>
      </c>
      <c r="B33" s="704" t="s">
        <v>555</v>
      </c>
      <c r="C33" s="32">
        <f t="shared" si="1"/>
        <v>2804500</v>
      </c>
      <c r="D33" s="32">
        <v>2804500</v>
      </c>
      <c r="E33" s="32"/>
      <c r="F33" s="700"/>
      <c r="G33" s="701"/>
    </row>
    <row r="34" spans="1:7" ht="67.5" customHeight="1" x14ac:dyDescent="0.2">
      <c r="A34" s="706">
        <v>18010400</v>
      </c>
      <c r="B34" s="704" t="s">
        <v>556</v>
      </c>
      <c r="C34" s="32">
        <f t="shared" si="1"/>
        <v>6106000</v>
      </c>
      <c r="D34" s="32">
        <v>6106000</v>
      </c>
      <c r="E34" s="32"/>
      <c r="F34" s="700"/>
      <c r="G34" s="701"/>
    </row>
    <row r="35" spans="1:7" ht="15.75" x14ac:dyDescent="0.2">
      <c r="A35" s="706"/>
      <c r="B35" s="704" t="s">
        <v>557</v>
      </c>
      <c r="C35" s="32">
        <f>D35+E35</f>
        <v>132001100</v>
      </c>
      <c r="D35" s="32">
        <f>D36+D37+D38+D39</f>
        <v>132001100</v>
      </c>
      <c r="E35" s="32"/>
      <c r="F35" s="700"/>
      <c r="G35" s="701"/>
    </row>
    <row r="36" spans="1:7" ht="15.75" x14ac:dyDescent="0.2">
      <c r="A36" s="706">
        <v>18010500</v>
      </c>
      <c r="B36" s="704" t="s">
        <v>558</v>
      </c>
      <c r="C36" s="32">
        <f t="shared" ref="C36:C40" si="2">D36+E36</f>
        <v>88829300</v>
      </c>
      <c r="D36" s="32">
        <v>88829300</v>
      </c>
      <c r="E36" s="32"/>
      <c r="F36" s="700"/>
      <c r="G36" s="701"/>
    </row>
    <row r="37" spans="1:7" ht="15.75" x14ac:dyDescent="0.2">
      <c r="A37" s="706">
        <v>18010600</v>
      </c>
      <c r="B37" s="704" t="s">
        <v>559</v>
      </c>
      <c r="C37" s="32">
        <f t="shared" si="2"/>
        <v>39043000</v>
      </c>
      <c r="D37" s="32">
        <v>39043000</v>
      </c>
      <c r="E37" s="32"/>
      <c r="F37" s="700"/>
      <c r="G37" s="701"/>
    </row>
    <row r="38" spans="1:7" ht="15.75" x14ac:dyDescent="0.2">
      <c r="A38" s="706">
        <v>18010700</v>
      </c>
      <c r="B38" s="704" t="s">
        <v>560</v>
      </c>
      <c r="C38" s="32">
        <f t="shared" si="2"/>
        <v>1874200</v>
      </c>
      <c r="D38" s="32">
        <v>1874200</v>
      </c>
      <c r="E38" s="32"/>
      <c r="F38" s="700"/>
      <c r="G38" s="701"/>
    </row>
    <row r="39" spans="1:7" ht="15.75" x14ac:dyDescent="0.2">
      <c r="A39" s="706">
        <v>18010900</v>
      </c>
      <c r="B39" s="704" t="s">
        <v>561</v>
      </c>
      <c r="C39" s="32">
        <f t="shared" si="2"/>
        <v>2254600</v>
      </c>
      <c r="D39" s="32">
        <v>2254600</v>
      </c>
      <c r="E39" s="32"/>
      <c r="F39" s="700"/>
      <c r="G39" s="701"/>
    </row>
    <row r="40" spans="1:7" ht="15.75" x14ac:dyDescent="0.2">
      <c r="A40" s="706">
        <v>18011000</v>
      </c>
      <c r="B40" s="704" t="s">
        <v>562</v>
      </c>
      <c r="C40" s="32">
        <f t="shared" si="2"/>
        <v>100000</v>
      </c>
      <c r="D40" s="32">
        <v>100000</v>
      </c>
      <c r="E40" s="32"/>
      <c r="F40" s="700"/>
      <c r="G40" s="701"/>
    </row>
    <row r="41" spans="1:7" ht="15.75" x14ac:dyDescent="0.2">
      <c r="A41" s="704" t="s">
        <v>563</v>
      </c>
      <c r="B41" s="704" t="s">
        <v>564</v>
      </c>
      <c r="C41" s="32">
        <f>D41</f>
        <v>35900</v>
      </c>
      <c r="D41" s="32">
        <v>35900</v>
      </c>
      <c r="E41" s="32">
        <v>0</v>
      </c>
      <c r="F41" s="700">
        <v>0</v>
      </c>
      <c r="G41" s="701"/>
    </row>
    <row r="42" spans="1:7" ht="15.75" x14ac:dyDescent="0.2">
      <c r="A42" s="704" t="s">
        <v>565</v>
      </c>
      <c r="B42" s="704" t="s">
        <v>566</v>
      </c>
      <c r="C42" s="32">
        <f>D42</f>
        <v>40094000</v>
      </c>
      <c r="D42" s="32">
        <v>40094000</v>
      </c>
      <c r="E42" s="32">
        <v>0</v>
      </c>
      <c r="F42" s="700">
        <v>0</v>
      </c>
      <c r="G42" s="701"/>
    </row>
    <row r="43" spans="1:7" ht="15.75" x14ac:dyDescent="0.2">
      <c r="A43" s="702" t="s">
        <v>567</v>
      </c>
      <c r="B43" s="702" t="s">
        <v>568</v>
      </c>
      <c r="C43" s="705">
        <f>E43</f>
        <v>459300</v>
      </c>
      <c r="D43" s="705">
        <v>0</v>
      </c>
      <c r="E43" s="705">
        <f>E44</f>
        <v>459300</v>
      </c>
      <c r="F43" s="700">
        <v>0</v>
      </c>
      <c r="G43" s="701"/>
    </row>
    <row r="44" spans="1:7" ht="15.75" x14ac:dyDescent="0.2">
      <c r="A44" s="704" t="s">
        <v>569</v>
      </c>
      <c r="B44" s="704" t="s">
        <v>570</v>
      </c>
      <c r="C44" s="32">
        <f>E44</f>
        <v>459300</v>
      </c>
      <c r="D44" s="32">
        <v>0</v>
      </c>
      <c r="E44" s="32">
        <v>459300</v>
      </c>
      <c r="F44" s="32">
        <v>0</v>
      </c>
      <c r="G44" s="701"/>
    </row>
    <row r="45" spans="1:7" ht="15.75" x14ac:dyDescent="0.2">
      <c r="A45" s="699" t="s">
        <v>571</v>
      </c>
      <c r="B45" s="699" t="s">
        <v>572</v>
      </c>
      <c r="C45" s="700">
        <f>D45+E45</f>
        <v>15638200</v>
      </c>
      <c r="D45" s="700">
        <f>D46+D50+D56</f>
        <v>3922800</v>
      </c>
      <c r="E45" s="700">
        <f>E56+E60</f>
        <v>11715400</v>
      </c>
      <c r="F45" s="700">
        <f>F56</f>
        <v>0</v>
      </c>
      <c r="G45" s="701"/>
    </row>
    <row r="46" spans="1:7" ht="31.5" x14ac:dyDescent="0.2">
      <c r="A46" s="702" t="s">
        <v>573</v>
      </c>
      <c r="B46" s="702" t="s">
        <v>574</v>
      </c>
      <c r="C46" s="705">
        <f t="shared" ref="C46:C55" si="3">D46</f>
        <v>1175200</v>
      </c>
      <c r="D46" s="705">
        <f>D47+D48+D49</f>
        <v>1175200</v>
      </c>
      <c r="E46" s="700">
        <v>0</v>
      </c>
      <c r="F46" s="700">
        <v>0</v>
      </c>
      <c r="G46" s="701"/>
    </row>
    <row r="47" spans="1:7" ht="63" x14ac:dyDescent="0.2">
      <c r="A47" s="704" t="s">
        <v>575</v>
      </c>
      <c r="B47" s="704" t="s">
        <v>576</v>
      </c>
      <c r="C47" s="32">
        <f t="shared" si="3"/>
        <v>235600</v>
      </c>
      <c r="D47" s="32">
        <v>235600</v>
      </c>
      <c r="E47" s="32">
        <v>0</v>
      </c>
      <c r="F47" s="32">
        <v>0</v>
      </c>
      <c r="G47" s="701"/>
    </row>
    <row r="48" spans="1:7" ht="28.5" customHeight="1" x14ac:dyDescent="0.2">
      <c r="A48" s="704" t="s">
        <v>577</v>
      </c>
      <c r="B48" s="704" t="s">
        <v>578</v>
      </c>
      <c r="C48" s="32">
        <f t="shared" si="3"/>
        <v>54600</v>
      </c>
      <c r="D48" s="32">
        <v>54600</v>
      </c>
      <c r="E48" s="32">
        <v>0</v>
      </c>
      <c r="F48" s="32">
        <v>0</v>
      </c>
      <c r="G48" s="701"/>
    </row>
    <row r="49" spans="1:7" ht="31.5" x14ac:dyDescent="0.2">
      <c r="A49" s="704" t="s">
        <v>579</v>
      </c>
      <c r="B49" s="704" t="s">
        <v>580</v>
      </c>
      <c r="C49" s="32">
        <f t="shared" si="3"/>
        <v>885000</v>
      </c>
      <c r="D49" s="32">
        <v>885000</v>
      </c>
      <c r="E49" s="32">
        <v>0</v>
      </c>
      <c r="F49" s="32">
        <v>0</v>
      </c>
      <c r="G49" s="701"/>
    </row>
    <row r="50" spans="1:7" ht="47.25" x14ac:dyDescent="0.2">
      <c r="A50" s="702" t="s">
        <v>581</v>
      </c>
      <c r="B50" s="702" t="s">
        <v>582</v>
      </c>
      <c r="C50" s="705">
        <f t="shared" si="3"/>
        <v>2057400</v>
      </c>
      <c r="D50" s="705">
        <f>D51+D52+D53+D54+D55</f>
        <v>2057400</v>
      </c>
      <c r="E50" s="700">
        <v>0</v>
      </c>
      <c r="F50" s="700">
        <v>0</v>
      </c>
      <c r="G50" s="701"/>
    </row>
    <row r="51" spans="1:7" ht="78.75" x14ac:dyDescent="0.2">
      <c r="A51" s="704" t="s">
        <v>583</v>
      </c>
      <c r="B51" s="704" t="s">
        <v>584</v>
      </c>
      <c r="C51" s="32">
        <f t="shared" si="3"/>
        <v>112600</v>
      </c>
      <c r="D51" s="32">
        <v>112600</v>
      </c>
      <c r="E51" s="32">
        <v>0</v>
      </c>
      <c r="F51" s="32">
        <v>0</v>
      </c>
      <c r="G51" s="701"/>
    </row>
    <row r="52" spans="1:7" ht="31.5" x14ac:dyDescent="0.2">
      <c r="A52" s="704" t="s">
        <v>585</v>
      </c>
      <c r="B52" s="704" t="s">
        <v>586</v>
      </c>
      <c r="C52" s="32">
        <f t="shared" si="3"/>
        <v>220500</v>
      </c>
      <c r="D52" s="32">
        <v>220500</v>
      </c>
      <c r="E52" s="32">
        <v>0</v>
      </c>
      <c r="F52" s="32">
        <v>0</v>
      </c>
      <c r="G52" s="701"/>
    </row>
    <row r="53" spans="1:7" ht="47.25" x14ac:dyDescent="0.2">
      <c r="A53" s="704" t="s">
        <v>587</v>
      </c>
      <c r="B53" s="704" t="s">
        <v>588</v>
      </c>
      <c r="C53" s="32">
        <f t="shared" si="3"/>
        <v>583600</v>
      </c>
      <c r="D53" s="32">
        <v>583600</v>
      </c>
      <c r="E53" s="32">
        <v>0</v>
      </c>
      <c r="F53" s="32">
        <v>0</v>
      </c>
      <c r="G53" s="701"/>
    </row>
    <row r="54" spans="1:7" ht="63" x14ac:dyDescent="0.2">
      <c r="A54" s="704" t="s">
        <v>589</v>
      </c>
      <c r="B54" s="704" t="s">
        <v>590</v>
      </c>
      <c r="C54" s="32">
        <f t="shared" si="3"/>
        <v>809900</v>
      </c>
      <c r="D54" s="32">
        <v>809900</v>
      </c>
      <c r="E54" s="32">
        <v>0</v>
      </c>
      <c r="F54" s="32">
        <v>0</v>
      </c>
      <c r="G54" s="701"/>
    </row>
    <row r="55" spans="1:7" ht="15.75" x14ac:dyDescent="0.2">
      <c r="A55" s="704" t="s">
        <v>591</v>
      </c>
      <c r="B55" s="704" t="s">
        <v>592</v>
      </c>
      <c r="C55" s="32">
        <f t="shared" si="3"/>
        <v>330800</v>
      </c>
      <c r="D55" s="32">
        <v>330800</v>
      </c>
      <c r="E55" s="700">
        <v>0</v>
      </c>
      <c r="F55" s="700">
        <v>0</v>
      </c>
      <c r="G55" s="701"/>
    </row>
    <row r="56" spans="1:7" ht="15.75" x14ac:dyDescent="0.2">
      <c r="A56" s="702" t="s">
        <v>593</v>
      </c>
      <c r="B56" s="702" t="s">
        <v>594</v>
      </c>
      <c r="C56" s="705">
        <f>D56+E56</f>
        <v>690200</v>
      </c>
      <c r="D56" s="705">
        <f>D57+D58</f>
        <v>690200</v>
      </c>
      <c r="E56" s="705">
        <f>E59</f>
        <v>0</v>
      </c>
      <c r="F56" s="705">
        <f>F59</f>
        <v>0</v>
      </c>
      <c r="G56" s="701"/>
    </row>
    <row r="57" spans="1:7" ht="15.75" x14ac:dyDescent="0.2">
      <c r="A57" s="704" t="s">
        <v>595</v>
      </c>
      <c r="B57" s="704" t="s">
        <v>596</v>
      </c>
      <c r="C57" s="32">
        <f>D57</f>
        <v>274100</v>
      </c>
      <c r="D57" s="32">
        <v>274100</v>
      </c>
      <c r="E57" s="32">
        <v>0</v>
      </c>
      <c r="F57" s="32">
        <v>0</v>
      </c>
      <c r="G57" s="701"/>
    </row>
    <row r="58" spans="1:7" ht="126" x14ac:dyDescent="0.2">
      <c r="A58" s="704" t="s">
        <v>597</v>
      </c>
      <c r="B58" s="704" t="s">
        <v>598</v>
      </c>
      <c r="C58" s="32">
        <f>D58</f>
        <v>416100</v>
      </c>
      <c r="D58" s="32">
        <v>416100</v>
      </c>
      <c r="E58" s="32">
        <v>0</v>
      </c>
      <c r="F58" s="32">
        <v>0</v>
      </c>
      <c r="G58" s="701"/>
    </row>
    <row r="59" spans="1:7" ht="47.25" hidden="1" x14ac:dyDescent="0.2">
      <c r="A59" s="704" t="s">
        <v>599</v>
      </c>
      <c r="B59" s="704" t="s">
        <v>600</v>
      </c>
      <c r="C59" s="32">
        <f>E59</f>
        <v>0</v>
      </c>
      <c r="D59" s="32">
        <v>0</v>
      </c>
      <c r="E59" s="32"/>
      <c r="F59" s="32">
        <f>E59</f>
        <v>0</v>
      </c>
      <c r="G59" s="701"/>
    </row>
    <row r="60" spans="1:7" ht="31.5" x14ac:dyDescent="0.2">
      <c r="A60" s="702" t="s">
        <v>601</v>
      </c>
      <c r="B60" s="702" t="s">
        <v>602</v>
      </c>
      <c r="C60" s="705">
        <f>E60</f>
        <v>11715400</v>
      </c>
      <c r="D60" s="705">
        <v>0</v>
      </c>
      <c r="E60" s="705">
        <f>E61</f>
        <v>11715400</v>
      </c>
      <c r="F60" s="705">
        <v>0</v>
      </c>
      <c r="G60" s="701"/>
    </row>
    <row r="61" spans="1:7" ht="54.75" customHeight="1" x14ac:dyDescent="0.2">
      <c r="A61" s="704" t="s">
        <v>603</v>
      </c>
      <c r="B61" s="704" t="s">
        <v>604</v>
      </c>
      <c r="C61" s="32">
        <f>E61</f>
        <v>11715400</v>
      </c>
      <c r="D61" s="32">
        <v>0</v>
      </c>
      <c r="E61" s="32">
        <v>11715400</v>
      </c>
      <c r="F61" s="700">
        <v>0</v>
      </c>
      <c r="G61" s="701"/>
    </row>
    <row r="62" spans="1:7" ht="15.75" x14ac:dyDescent="0.2">
      <c r="A62" s="702" t="s">
        <v>605</v>
      </c>
      <c r="B62" s="702" t="s">
        <v>606</v>
      </c>
      <c r="C62" s="705">
        <f>C63</f>
        <v>8443400</v>
      </c>
      <c r="D62" s="705">
        <v>0</v>
      </c>
      <c r="E62" s="705">
        <f>E63</f>
        <v>8443400</v>
      </c>
      <c r="F62" s="705">
        <f>F63</f>
        <v>8443400</v>
      </c>
      <c r="G62" s="701"/>
    </row>
    <row r="63" spans="1:7" ht="94.5" x14ac:dyDescent="0.2">
      <c r="A63" s="704" t="s">
        <v>607</v>
      </c>
      <c r="B63" s="704" t="s">
        <v>608</v>
      </c>
      <c r="C63" s="32">
        <f>E63</f>
        <v>8443400</v>
      </c>
      <c r="D63" s="32">
        <v>0</v>
      </c>
      <c r="E63" s="32">
        <v>8443400</v>
      </c>
      <c r="F63" s="32">
        <f>E63</f>
        <v>8443400</v>
      </c>
      <c r="G63" s="701"/>
    </row>
    <row r="64" spans="1:7" ht="31.5" x14ac:dyDescent="0.2">
      <c r="A64" s="699"/>
      <c r="B64" s="699" t="s">
        <v>609</v>
      </c>
      <c r="C64" s="700">
        <f>D64+E64</f>
        <v>577763200</v>
      </c>
      <c r="D64" s="700">
        <f>D20+D45</f>
        <v>557145100</v>
      </c>
      <c r="E64" s="700">
        <f>E62+E45+E20</f>
        <v>20618100</v>
      </c>
      <c r="F64" s="700">
        <f>F62+F45+F20</f>
        <v>8443400</v>
      </c>
      <c r="G64" s="701"/>
    </row>
    <row r="65" spans="1:7" ht="21" customHeight="1" x14ac:dyDescent="0.2">
      <c r="A65" s="699" t="s">
        <v>610</v>
      </c>
      <c r="B65" s="699" t="s">
        <v>611</v>
      </c>
      <c r="C65" s="700">
        <f t="shared" ref="C65:C85" si="4">D65</f>
        <v>60585480</v>
      </c>
      <c r="D65" s="700">
        <f>D66</f>
        <v>60585480</v>
      </c>
      <c r="E65" s="700">
        <v>0</v>
      </c>
      <c r="F65" s="700">
        <v>0</v>
      </c>
      <c r="G65" s="701"/>
    </row>
    <row r="66" spans="1:7" ht="19.5" customHeight="1" x14ac:dyDescent="0.2">
      <c r="A66" s="702" t="s">
        <v>612</v>
      </c>
      <c r="B66" s="702" t="s">
        <v>613</v>
      </c>
      <c r="C66" s="705">
        <f>D66</f>
        <v>60585480</v>
      </c>
      <c r="D66" s="705">
        <f>D69+D74+D76</f>
        <v>60585480</v>
      </c>
      <c r="E66" s="705">
        <v>0</v>
      </c>
      <c r="F66" s="705">
        <v>0</v>
      </c>
      <c r="G66" s="701"/>
    </row>
    <row r="67" spans="1:7" ht="29.25" hidden="1" customHeight="1" x14ac:dyDescent="0.2">
      <c r="A67" s="699">
        <v>41020000</v>
      </c>
      <c r="B67" s="699" t="s">
        <v>614</v>
      </c>
      <c r="C67" s="700">
        <f t="shared" si="4"/>
        <v>0</v>
      </c>
      <c r="D67" s="700">
        <f>D68</f>
        <v>0</v>
      </c>
      <c r="E67" s="700"/>
      <c r="F67" s="700"/>
      <c r="G67" s="701"/>
    </row>
    <row r="68" spans="1:7" ht="146.25" hidden="1" customHeight="1" x14ac:dyDescent="0.2">
      <c r="A68" s="706">
        <v>41021400</v>
      </c>
      <c r="B68" s="704" t="s">
        <v>291</v>
      </c>
      <c r="C68" s="32">
        <f t="shared" si="4"/>
        <v>0</v>
      </c>
      <c r="D68" s="32"/>
      <c r="E68" s="32"/>
      <c r="F68" s="32"/>
      <c r="G68" s="701"/>
    </row>
    <row r="69" spans="1:7" ht="27.75" customHeight="1" x14ac:dyDescent="0.2">
      <c r="A69" s="699" t="s">
        <v>615</v>
      </c>
      <c r="B69" s="699" t="s">
        <v>616</v>
      </c>
      <c r="C69" s="700">
        <f t="shared" si="4"/>
        <v>57470800</v>
      </c>
      <c r="D69" s="700">
        <f>D70+D72+D73+D71</f>
        <v>57470800</v>
      </c>
      <c r="E69" s="700">
        <v>0</v>
      </c>
      <c r="F69" s="700">
        <v>0</v>
      </c>
      <c r="G69" s="701"/>
    </row>
    <row r="70" spans="1:7" ht="31.5" x14ac:dyDescent="0.2">
      <c r="A70" s="704" t="s">
        <v>190</v>
      </c>
      <c r="B70" s="704" t="s">
        <v>191</v>
      </c>
      <c r="C70" s="32">
        <f t="shared" si="4"/>
        <v>51662400</v>
      </c>
      <c r="D70" s="32">
        <v>51662400</v>
      </c>
      <c r="E70" s="32">
        <v>0</v>
      </c>
      <c r="F70" s="32">
        <v>0</v>
      </c>
      <c r="G70" s="701"/>
    </row>
    <row r="71" spans="1:7" ht="63" x14ac:dyDescent="0.2">
      <c r="A71" s="695">
        <v>41035400</v>
      </c>
      <c r="B71" s="704" t="s">
        <v>416</v>
      </c>
      <c r="C71" s="32">
        <f t="shared" si="4"/>
        <v>480600</v>
      </c>
      <c r="D71" s="32">
        <v>480600</v>
      </c>
      <c r="E71" s="32">
        <v>0</v>
      </c>
      <c r="F71" s="32">
        <v>0</v>
      </c>
      <c r="G71" s="701"/>
    </row>
    <row r="72" spans="1:7" ht="94.5" x14ac:dyDescent="0.2">
      <c r="A72" s="707">
        <v>41036000</v>
      </c>
      <c r="B72" s="704" t="s">
        <v>414</v>
      </c>
      <c r="C72" s="32">
        <f t="shared" si="4"/>
        <v>1352500</v>
      </c>
      <c r="D72" s="32">
        <v>1352500</v>
      </c>
      <c r="E72" s="32">
        <v>0</v>
      </c>
      <c r="F72" s="32">
        <v>0</v>
      </c>
      <c r="G72" s="701"/>
    </row>
    <row r="73" spans="1:7" ht="63" x14ac:dyDescent="0.2">
      <c r="A73" s="707">
        <v>41036300</v>
      </c>
      <c r="B73" s="704" t="s">
        <v>415</v>
      </c>
      <c r="C73" s="32">
        <f t="shared" si="4"/>
        <v>3975300</v>
      </c>
      <c r="D73" s="32">
        <v>3975300</v>
      </c>
      <c r="E73" s="32">
        <v>0</v>
      </c>
      <c r="F73" s="32">
        <v>0</v>
      </c>
      <c r="G73" s="701"/>
    </row>
    <row r="74" spans="1:7" ht="31.5" x14ac:dyDescent="0.2">
      <c r="A74" s="714">
        <v>41040000</v>
      </c>
      <c r="B74" s="699" t="s">
        <v>620</v>
      </c>
      <c r="C74" s="700">
        <f>C75</f>
        <v>0</v>
      </c>
      <c r="D74" s="73">
        <f>D75</f>
        <v>0</v>
      </c>
      <c r="E74" s="32"/>
      <c r="F74" s="33"/>
      <c r="G74" s="701"/>
    </row>
    <row r="75" spans="1:7" ht="15.75" x14ac:dyDescent="0.2">
      <c r="A75" s="707">
        <v>41040400</v>
      </c>
      <c r="B75" s="704" t="s">
        <v>621</v>
      </c>
      <c r="C75" s="32">
        <f>D75+E75</f>
        <v>0</v>
      </c>
      <c r="D75" s="8">
        <f>24586-24586</f>
        <v>0</v>
      </c>
      <c r="E75" s="32"/>
      <c r="F75" s="33"/>
      <c r="G75" s="701"/>
    </row>
    <row r="76" spans="1:7" ht="31.5" x14ac:dyDescent="0.2">
      <c r="A76" s="708">
        <v>41050000</v>
      </c>
      <c r="B76" s="699" t="s">
        <v>617</v>
      </c>
      <c r="C76" s="700">
        <f>D76</f>
        <v>3114680</v>
      </c>
      <c r="D76" s="700">
        <f>D78+D79+D80+D81+D77+D83+D82</f>
        <v>3114680</v>
      </c>
      <c r="E76" s="32">
        <v>0</v>
      </c>
      <c r="F76" s="32">
        <v>0</v>
      </c>
      <c r="G76" s="701"/>
    </row>
    <row r="77" spans="1:7" ht="63" x14ac:dyDescent="0.2">
      <c r="A77" s="709">
        <v>41051000</v>
      </c>
      <c r="B77" s="184" t="s">
        <v>194</v>
      </c>
      <c r="C77" s="32">
        <f t="shared" si="4"/>
        <v>1205950</v>
      </c>
      <c r="D77" s="32">
        <f>883100+322850</f>
        <v>1205950</v>
      </c>
      <c r="E77" s="32">
        <v>0</v>
      </c>
      <c r="F77" s="32">
        <v>0</v>
      </c>
      <c r="G77" s="701"/>
    </row>
    <row r="78" spans="1:7" ht="63" x14ac:dyDescent="0.2">
      <c r="A78" s="709">
        <v>41053900</v>
      </c>
      <c r="B78" s="184" t="s">
        <v>196</v>
      </c>
      <c r="C78" s="32">
        <f t="shared" si="4"/>
        <v>57773</v>
      </c>
      <c r="D78" s="32">
        <v>57773</v>
      </c>
      <c r="E78" s="32">
        <v>0</v>
      </c>
      <c r="F78" s="32">
        <v>0</v>
      </c>
      <c r="G78" s="701"/>
    </row>
    <row r="79" spans="1:7" ht="63" x14ac:dyDescent="0.2">
      <c r="A79" s="710">
        <v>41053900</v>
      </c>
      <c r="B79" s="184" t="s">
        <v>198</v>
      </c>
      <c r="C79" s="32">
        <f t="shared" si="4"/>
        <v>164690</v>
      </c>
      <c r="D79" s="32">
        <v>164690</v>
      </c>
      <c r="E79" s="32">
        <v>0</v>
      </c>
      <c r="F79" s="32">
        <v>0</v>
      </c>
      <c r="G79" s="701"/>
    </row>
    <row r="80" spans="1:7" ht="94.5" x14ac:dyDescent="0.2">
      <c r="A80" s="710">
        <v>41053900</v>
      </c>
      <c r="B80" s="184" t="s">
        <v>618</v>
      </c>
      <c r="C80" s="32">
        <f t="shared" si="4"/>
        <v>17623</v>
      </c>
      <c r="D80" s="32">
        <v>17623</v>
      </c>
      <c r="E80" s="32">
        <v>0</v>
      </c>
      <c r="F80" s="32">
        <v>0</v>
      </c>
      <c r="G80" s="701"/>
    </row>
    <row r="81" spans="1:7" ht="94.5" x14ac:dyDescent="0.2">
      <c r="A81" s="707">
        <v>41057700</v>
      </c>
      <c r="B81" s="704" t="s">
        <v>622</v>
      </c>
      <c r="C81" s="715">
        <f>D81+E81</f>
        <v>79056</v>
      </c>
      <c r="D81" s="32">
        <v>79056</v>
      </c>
      <c r="E81" s="32"/>
      <c r="F81" s="33"/>
      <c r="G81" s="701"/>
    </row>
    <row r="82" spans="1:7" ht="173.25" x14ac:dyDescent="0.2">
      <c r="A82" s="707">
        <v>41057900</v>
      </c>
      <c r="B82" s="184" t="s">
        <v>637</v>
      </c>
      <c r="C82" s="715">
        <f>D82+E82</f>
        <v>1250000</v>
      </c>
      <c r="D82" s="32">
        <f>1250000</f>
        <v>1250000</v>
      </c>
      <c r="E82" s="32"/>
      <c r="F82" s="576"/>
      <c r="G82" s="701"/>
    </row>
    <row r="83" spans="1:7" ht="141.75" x14ac:dyDescent="0.2">
      <c r="A83" s="711">
        <v>41059300</v>
      </c>
      <c r="B83" s="184" t="s">
        <v>417</v>
      </c>
      <c r="C83" s="32">
        <f t="shared" si="4"/>
        <v>339588</v>
      </c>
      <c r="D83" s="32">
        <v>339588</v>
      </c>
      <c r="E83" s="32">
        <v>0</v>
      </c>
      <c r="F83" s="32">
        <v>0</v>
      </c>
      <c r="G83" s="701"/>
    </row>
    <row r="84" spans="1:7" ht="15.75" x14ac:dyDescent="0.2">
      <c r="A84" s="711"/>
      <c r="B84" s="184"/>
      <c r="C84" s="32"/>
      <c r="D84" s="32"/>
      <c r="E84" s="32"/>
      <c r="F84" s="32"/>
      <c r="G84" s="701"/>
    </row>
    <row r="85" spans="1:7" ht="15.75" x14ac:dyDescent="0.2">
      <c r="A85" s="704"/>
      <c r="B85" s="704"/>
      <c r="C85" s="32">
        <f t="shared" si="4"/>
        <v>0</v>
      </c>
      <c r="D85" s="32"/>
      <c r="E85" s="32"/>
      <c r="F85" s="32"/>
      <c r="G85" s="701"/>
    </row>
    <row r="86" spans="1:7" ht="15.75" x14ac:dyDescent="0.2">
      <c r="A86" s="712" t="s">
        <v>7</v>
      </c>
      <c r="B86" s="699" t="s">
        <v>619</v>
      </c>
      <c r="C86" s="700">
        <f>D86+E86</f>
        <v>638348680</v>
      </c>
      <c r="D86" s="700">
        <f>D64+D65</f>
        <v>617730580</v>
      </c>
      <c r="E86" s="700">
        <f>E64</f>
        <v>20618100</v>
      </c>
      <c r="F86" s="700">
        <f>F64</f>
        <v>8443400</v>
      </c>
      <c r="G86" s="701"/>
    </row>
    <row r="87" spans="1:7" ht="15.75" x14ac:dyDescent="0.25">
      <c r="A87" s="1"/>
      <c r="B87" s="1"/>
      <c r="C87" s="1"/>
      <c r="D87" s="1"/>
      <c r="E87" s="1"/>
      <c r="F87" s="1"/>
    </row>
    <row r="90" spans="1:7" ht="18.75" x14ac:dyDescent="0.2">
      <c r="A90" s="126" t="s">
        <v>390</v>
      </c>
      <c r="B90" s="126"/>
      <c r="C90" s="713"/>
      <c r="D90" s="696"/>
      <c r="E90" s="769" t="s">
        <v>319</v>
      </c>
      <c r="F90" s="769"/>
    </row>
    <row r="91" spans="1:7" x14ac:dyDescent="0.2">
      <c r="B91" s="768"/>
      <c r="C91" s="768"/>
      <c r="D91" s="768"/>
      <c r="E91" s="768"/>
      <c r="F91" s="768"/>
      <c r="G91" s="768"/>
    </row>
  </sheetData>
  <mergeCells count="26">
    <mergeCell ref="D9:F9"/>
    <mergeCell ref="D5:E5"/>
    <mergeCell ref="D6:F6"/>
    <mergeCell ref="G6:I6"/>
    <mergeCell ref="D7:F7"/>
    <mergeCell ref="D8:F8"/>
    <mergeCell ref="D10:F10"/>
    <mergeCell ref="G10:I10"/>
    <mergeCell ref="D11:F11"/>
    <mergeCell ref="G11:I11"/>
    <mergeCell ref="D12:F12"/>
    <mergeCell ref="G12:I12"/>
    <mergeCell ref="E17:E18"/>
    <mergeCell ref="F17:F18"/>
    <mergeCell ref="B91:G91"/>
    <mergeCell ref="E90:F90"/>
    <mergeCell ref="A13:F13"/>
    <mergeCell ref="G13:I13"/>
    <mergeCell ref="A14:B14"/>
    <mergeCell ref="G14:I14"/>
    <mergeCell ref="G15:I15"/>
    <mergeCell ref="A16:A18"/>
    <mergeCell ref="B16:B18"/>
    <mergeCell ref="C16:C18"/>
    <mergeCell ref="D16:D18"/>
    <mergeCell ref="E16:F16"/>
  </mergeCells>
  <pageMargins left="0.7" right="0.7" top="0.75" bottom="0.75" header="0.3" footer="0.3"/>
  <pageSetup paperSize="9" scale="8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3"/>
  <sheetViews>
    <sheetView view="pageBreakPreview" zoomScale="90" zoomScaleNormal="100" zoomScaleSheetLayoutView="90" workbookViewId="0">
      <selection activeCell="E29" sqref="E29"/>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51" t="s">
        <v>215</v>
      </c>
      <c r="E1" s="4"/>
    </row>
    <row r="2" spans="1:6" ht="15.75" x14ac:dyDescent="0.2">
      <c r="D2" s="551" t="s">
        <v>386</v>
      </c>
      <c r="E2" s="4"/>
    </row>
    <row r="3" spans="1:6" ht="15.75" x14ac:dyDescent="0.25">
      <c r="D3" s="552" t="s">
        <v>638</v>
      </c>
      <c r="E3" s="7"/>
    </row>
    <row r="4" spans="1:6" ht="15.75" x14ac:dyDescent="0.25">
      <c r="D4" s="554" t="s">
        <v>641</v>
      </c>
      <c r="E4" s="432"/>
    </row>
    <row r="5" spans="1:6" ht="15.75" x14ac:dyDescent="0.2">
      <c r="D5" s="777" t="s">
        <v>438</v>
      </c>
      <c r="E5" s="777"/>
    </row>
    <row r="7" spans="1:6" ht="15.75" x14ac:dyDescent="0.2">
      <c r="D7" s="3" t="s">
        <v>439</v>
      </c>
      <c r="E7" s="4"/>
      <c r="F7" s="5"/>
    </row>
    <row r="8" spans="1:6" ht="15.75" x14ac:dyDescent="0.2">
      <c r="D8" s="3" t="s">
        <v>387</v>
      </c>
      <c r="E8" s="4"/>
      <c r="F8" s="5"/>
    </row>
    <row r="9" spans="1:6" ht="15.75" x14ac:dyDescent="0.2">
      <c r="D9" s="3" t="s">
        <v>8</v>
      </c>
      <c r="E9" s="4"/>
      <c r="F9" s="5"/>
    </row>
    <row r="10" spans="1:6" ht="15.75" x14ac:dyDescent="0.2">
      <c r="D10" s="3" t="s">
        <v>323</v>
      </c>
      <c r="E10" s="4"/>
      <c r="F10" s="5"/>
    </row>
    <row r="11" spans="1:6" ht="15.75" x14ac:dyDescent="0.25">
      <c r="D11" s="6" t="s">
        <v>400</v>
      </c>
      <c r="E11" s="7"/>
      <c r="F11" s="5"/>
    </row>
    <row r="12" spans="1:6" ht="15.75" x14ac:dyDescent="0.25">
      <c r="D12" s="6" t="s">
        <v>401</v>
      </c>
      <c r="E12" s="4"/>
      <c r="F12" s="5"/>
    </row>
    <row r="13" spans="1:6" ht="15.75" x14ac:dyDescent="0.2">
      <c r="D13" s="776" t="s">
        <v>440</v>
      </c>
      <c r="E13" s="776"/>
      <c r="F13" s="5"/>
    </row>
    <row r="15" spans="1:6" ht="20.25" x14ac:dyDescent="0.3">
      <c r="A15" s="786" t="s">
        <v>321</v>
      </c>
      <c r="B15" s="787"/>
      <c r="C15" s="787"/>
      <c r="D15" s="787"/>
      <c r="E15" s="787"/>
      <c r="F15" s="787"/>
    </row>
    <row r="16" spans="1:6" ht="20.25" x14ac:dyDescent="0.3">
      <c r="A16" s="64"/>
      <c r="B16" s="65"/>
      <c r="C16" s="65"/>
      <c r="D16" s="65"/>
      <c r="E16" s="65"/>
      <c r="F16" s="65"/>
    </row>
    <row r="17" spans="1:6" ht="15.75" x14ac:dyDescent="0.25">
      <c r="A17" s="66" t="s">
        <v>214</v>
      </c>
      <c r="B17" s="1"/>
      <c r="C17" s="1"/>
      <c r="D17" s="1"/>
      <c r="E17" s="1"/>
      <c r="F17" s="1"/>
    </row>
    <row r="18" spans="1:6" ht="16.5" thickBot="1" x14ac:dyDescent="0.3">
      <c r="A18" s="67" t="s">
        <v>0</v>
      </c>
      <c r="B18" s="1"/>
      <c r="C18" s="1"/>
      <c r="D18" s="1"/>
      <c r="E18" s="1"/>
      <c r="F18" s="2" t="s">
        <v>1</v>
      </c>
    </row>
    <row r="19" spans="1:6" ht="15.75" x14ac:dyDescent="0.2">
      <c r="A19" s="788" t="s">
        <v>146</v>
      </c>
      <c r="B19" s="791" t="s">
        <v>147</v>
      </c>
      <c r="C19" s="791" t="s">
        <v>2</v>
      </c>
      <c r="D19" s="791" t="s">
        <v>3</v>
      </c>
      <c r="E19" s="791" t="s">
        <v>4</v>
      </c>
      <c r="F19" s="794"/>
    </row>
    <row r="20" spans="1:6" x14ac:dyDescent="0.2">
      <c r="A20" s="789"/>
      <c r="B20" s="792"/>
      <c r="C20" s="792"/>
      <c r="D20" s="792"/>
      <c r="E20" s="792" t="s">
        <v>5</v>
      </c>
      <c r="F20" s="795" t="s">
        <v>6</v>
      </c>
    </row>
    <row r="21" spans="1:6" ht="44.45" customHeight="1" thickBot="1" x14ac:dyDescent="0.25">
      <c r="A21" s="790"/>
      <c r="B21" s="793"/>
      <c r="C21" s="793"/>
      <c r="D21" s="793"/>
      <c r="E21" s="793"/>
      <c r="F21" s="796"/>
    </row>
    <row r="22" spans="1:6" ht="15.75" x14ac:dyDescent="0.2">
      <c r="A22" s="68">
        <v>1</v>
      </c>
      <c r="B22" s="69">
        <v>2</v>
      </c>
      <c r="C22" s="69">
        <v>3</v>
      </c>
      <c r="D22" s="69">
        <v>4</v>
      </c>
      <c r="E22" s="69">
        <v>5</v>
      </c>
      <c r="F22" s="70">
        <v>6</v>
      </c>
    </row>
    <row r="23" spans="1:6" ht="15.75" x14ac:dyDescent="0.25">
      <c r="A23" s="779" t="s">
        <v>148</v>
      </c>
      <c r="B23" s="780"/>
      <c r="C23" s="780"/>
      <c r="D23" s="780"/>
      <c r="E23" s="780"/>
      <c r="F23" s="781"/>
    </row>
    <row r="24" spans="1:6" ht="15.75" x14ac:dyDescent="0.2">
      <c r="A24" s="71" t="s">
        <v>149</v>
      </c>
      <c r="B24" s="72" t="s">
        <v>150</v>
      </c>
      <c r="C24" s="73">
        <f>C25</f>
        <v>160912491</v>
      </c>
      <c r="D24" s="73">
        <f>D25</f>
        <v>73855163</v>
      </c>
      <c r="E24" s="73">
        <f>E25</f>
        <v>87057328</v>
      </c>
      <c r="F24" s="74">
        <f>F25</f>
        <v>83556728</v>
      </c>
    </row>
    <row r="25" spans="1:6" ht="31.5" x14ac:dyDescent="0.2">
      <c r="A25" s="75" t="s">
        <v>151</v>
      </c>
      <c r="B25" s="76" t="s">
        <v>152</v>
      </c>
      <c r="C25" s="8">
        <f>C26-1000000+C28</f>
        <v>160912491</v>
      </c>
      <c r="D25" s="8">
        <f>D26-1000000+D28</f>
        <v>73855163</v>
      </c>
      <c r="E25" s="8">
        <f>E28+E26</f>
        <v>87057328</v>
      </c>
      <c r="F25" s="77">
        <f>F28</f>
        <v>83556728</v>
      </c>
    </row>
    <row r="26" spans="1:6" ht="15.75" x14ac:dyDescent="0.2">
      <c r="A26" s="75" t="s">
        <v>153</v>
      </c>
      <c r="B26" s="76" t="s">
        <v>154</v>
      </c>
      <c r="C26" s="8">
        <f>D26+E26</f>
        <v>161912491</v>
      </c>
      <c r="D26" s="32">
        <f>1000000+85018102+4560280+11188636+56644873</f>
        <v>158411891</v>
      </c>
      <c r="E26" s="8">
        <v>3500600</v>
      </c>
      <c r="F26" s="78">
        <v>0</v>
      </c>
    </row>
    <row r="27" spans="1:6" ht="15.75" x14ac:dyDescent="0.2">
      <c r="A27" s="75" t="s">
        <v>155</v>
      </c>
      <c r="B27" s="76" t="s">
        <v>156</v>
      </c>
      <c r="C27" s="8">
        <v>1000000</v>
      </c>
      <c r="D27" s="8">
        <v>1000000</v>
      </c>
      <c r="E27" s="8">
        <v>0</v>
      </c>
      <c r="F27" s="78">
        <v>0</v>
      </c>
    </row>
    <row r="28" spans="1:6" ht="47.25" x14ac:dyDescent="0.2">
      <c r="A28" s="75" t="s">
        <v>157</v>
      </c>
      <c r="B28" s="76" t="s">
        <v>158</v>
      </c>
      <c r="C28" s="8">
        <v>0</v>
      </c>
      <c r="D28" s="8">
        <f>-1553800-33472623-490356-5390772-12098856-30550321</f>
        <v>-83556728</v>
      </c>
      <c r="E28" s="8">
        <f>1553800+33472623+490356+5390772+12098856+30550321</f>
        <v>83556728</v>
      </c>
      <c r="F28" s="78">
        <f>E28</f>
        <v>83556728</v>
      </c>
    </row>
    <row r="29" spans="1:6" ht="15.75" x14ac:dyDescent="0.25">
      <c r="A29" s="79" t="s">
        <v>7</v>
      </c>
      <c r="B29" s="80" t="s">
        <v>159</v>
      </c>
      <c r="C29" s="81">
        <f>C24</f>
        <v>160912491</v>
      </c>
      <c r="D29" s="81">
        <f>D24</f>
        <v>73855163</v>
      </c>
      <c r="E29" s="81">
        <f>E24</f>
        <v>87057328</v>
      </c>
      <c r="F29" s="82">
        <f>F24</f>
        <v>83556728</v>
      </c>
    </row>
    <row r="30" spans="1:6" ht="15.75" x14ac:dyDescent="0.25">
      <c r="A30" s="782" t="s">
        <v>160</v>
      </c>
      <c r="B30" s="783"/>
      <c r="C30" s="783"/>
      <c r="D30" s="783"/>
      <c r="E30" s="783"/>
      <c r="F30" s="784"/>
    </row>
    <row r="31" spans="1:6" ht="31.5" x14ac:dyDescent="0.2">
      <c r="A31" s="71" t="s">
        <v>161</v>
      </c>
      <c r="B31" s="72" t="s">
        <v>162</v>
      </c>
      <c r="C31" s="73">
        <f>C24</f>
        <v>160912491</v>
      </c>
      <c r="D31" s="73">
        <f>D24</f>
        <v>73855163</v>
      </c>
      <c r="E31" s="73">
        <f>E24</f>
        <v>87057328</v>
      </c>
      <c r="F31" s="83">
        <f>F24</f>
        <v>83556728</v>
      </c>
    </row>
    <row r="32" spans="1:6" ht="15.75" x14ac:dyDescent="0.2">
      <c r="A32" s="75" t="s">
        <v>163</v>
      </c>
      <c r="B32" s="76" t="s">
        <v>164</v>
      </c>
      <c r="C32" s="8">
        <f>C25</f>
        <v>160912491</v>
      </c>
      <c r="D32" s="8">
        <f>D25</f>
        <v>73855163</v>
      </c>
      <c r="E32" s="8">
        <f>E35+E33</f>
        <v>87057328</v>
      </c>
      <c r="F32" s="78">
        <f>F35</f>
        <v>83556728</v>
      </c>
    </row>
    <row r="33" spans="1:16" ht="15.75" x14ac:dyDescent="0.2">
      <c r="A33" s="75" t="s">
        <v>165</v>
      </c>
      <c r="B33" s="76" t="s">
        <v>154</v>
      </c>
      <c r="C33" s="8">
        <f>D33+E33</f>
        <v>161912491</v>
      </c>
      <c r="D33" s="8">
        <f>D26</f>
        <v>158411891</v>
      </c>
      <c r="E33" s="8">
        <v>3500600</v>
      </c>
      <c r="F33" s="78">
        <v>0</v>
      </c>
      <c r="I33" s="96"/>
    </row>
    <row r="34" spans="1:16" ht="15.75" x14ac:dyDescent="0.2">
      <c r="A34" s="75" t="s">
        <v>166</v>
      </c>
      <c r="B34" s="76" t="s">
        <v>156</v>
      </c>
      <c r="C34" s="8">
        <v>1000000</v>
      </c>
      <c r="D34" s="8">
        <v>1000000</v>
      </c>
      <c r="E34" s="8">
        <v>0</v>
      </c>
      <c r="F34" s="78">
        <v>0</v>
      </c>
    </row>
    <row r="35" spans="1:16" ht="48" thickBot="1" x14ac:dyDescent="0.25">
      <c r="A35" s="84" t="s">
        <v>167</v>
      </c>
      <c r="B35" s="85" t="s">
        <v>158</v>
      </c>
      <c r="C35" s="35">
        <v>0</v>
      </c>
      <c r="D35" s="35">
        <f t="shared" ref="D35:F36" si="0">D28</f>
        <v>-83556728</v>
      </c>
      <c r="E35" s="35">
        <f>E28</f>
        <v>83556728</v>
      </c>
      <c r="F35" s="86">
        <f>F28</f>
        <v>83556728</v>
      </c>
    </row>
    <row r="36" spans="1:16" ht="16.5" thickBot="1" x14ac:dyDescent="0.3">
      <c r="A36" s="87" t="s">
        <v>7</v>
      </c>
      <c r="B36" s="88" t="s">
        <v>159</v>
      </c>
      <c r="C36" s="89">
        <f>C29</f>
        <v>160912491</v>
      </c>
      <c r="D36" s="89">
        <f t="shared" si="0"/>
        <v>73855163</v>
      </c>
      <c r="E36" s="89">
        <f t="shared" si="0"/>
        <v>87057328</v>
      </c>
      <c r="F36" s="90">
        <f t="shared" si="0"/>
        <v>83556728</v>
      </c>
    </row>
    <row r="38" spans="1:16" ht="13.5" customHeight="1" x14ac:dyDescent="0.2"/>
    <row r="39" spans="1:16" s="5" customFormat="1" ht="42.6" customHeight="1" x14ac:dyDescent="0.2">
      <c r="A39" s="798" t="s">
        <v>390</v>
      </c>
      <c r="B39" s="798"/>
      <c r="C39" s="97"/>
      <c r="D39" s="97"/>
      <c r="E39" s="797" t="s">
        <v>319</v>
      </c>
      <c r="F39" s="797"/>
      <c r="G39" s="3"/>
      <c r="H39" s="3"/>
      <c r="I39" s="3"/>
      <c r="K39" s="3"/>
      <c r="L39" s="92"/>
      <c r="M39" s="3"/>
      <c r="N39" s="95"/>
      <c r="O39" s="93"/>
      <c r="P39" s="94"/>
    </row>
    <row r="40" spans="1:16" s="61" customFormat="1" ht="20.25" x14ac:dyDescent="0.3">
      <c r="A40" s="60"/>
      <c r="B40" s="60"/>
      <c r="F40" s="62"/>
    </row>
    <row r="41" spans="1:16" ht="15.75" x14ac:dyDescent="0.2">
      <c r="A41" s="63"/>
      <c r="B41" s="63"/>
    </row>
    <row r="42" spans="1:16" ht="15.75" x14ac:dyDescent="0.2">
      <c r="A42" s="785"/>
      <c r="B42" s="785"/>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1"/>
  <sheetViews>
    <sheetView view="pageBreakPreview" topLeftCell="A125" zoomScale="70" zoomScaleNormal="100" zoomScaleSheetLayoutView="70" workbookViewId="0">
      <selection activeCell="O114" sqref="O114"/>
    </sheetView>
  </sheetViews>
  <sheetFormatPr defaultColWidth="8.85546875" defaultRowHeight="15.75" x14ac:dyDescent="0.25"/>
  <cols>
    <col min="1" max="3" width="12.140625" style="293" customWidth="1"/>
    <col min="4" max="4" width="40.7109375" style="294" customWidth="1"/>
    <col min="5" max="8" width="15.7109375" style="294" customWidth="1"/>
    <col min="9" max="15" width="15.7109375" style="295" customWidth="1"/>
    <col min="16" max="16" width="15.7109375" style="294" customWidth="1"/>
    <col min="17" max="16384" width="8.85546875" style="1"/>
  </cols>
  <sheetData>
    <row r="1" spans="1:17" x14ac:dyDescent="0.25">
      <c r="N1" s="551" t="s">
        <v>216</v>
      </c>
      <c r="O1" s="4"/>
    </row>
    <row r="2" spans="1:17" x14ac:dyDescent="0.25">
      <c r="N2" s="551" t="s">
        <v>386</v>
      </c>
      <c r="O2" s="4"/>
    </row>
    <row r="3" spans="1:17" x14ac:dyDescent="0.25">
      <c r="N3" s="552" t="s">
        <v>642</v>
      </c>
      <c r="O3" s="7"/>
    </row>
    <row r="4" spans="1:17" x14ac:dyDescent="0.25">
      <c r="N4" s="554" t="s">
        <v>643</v>
      </c>
      <c r="O4" s="432"/>
    </row>
    <row r="5" spans="1:17" x14ac:dyDescent="0.25">
      <c r="N5" s="777" t="s">
        <v>631</v>
      </c>
      <c r="O5" s="777"/>
    </row>
    <row r="6" spans="1:17" x14ac:dyDescent="0.25">
      <c r="K6" s="294"/>
      <c r="L6" s="294"/>
      <c r="M6" s="294"/>
      <c r="N6" s="800" t="s">
        <v>441</v>
      </c>
      <c r="O6" s="800"/>
      <c r="P6" s="800"/>
      <c r="Q6" s="2"/>
    </row>
    <row r="7" spans="1:17" x14ac:dyDescent="0.25">
      <c r="K7" s="294"/>
      <c r="L7" s="294"/>
      <c r="M7" s="294"/>
      <c r="N7" s="801" t="s">
        <v>388</v>
      </c>
      <c r="O7" s="801"/>
      <c r="P7" s="801"/>
      <c r="Q7" s="237"/>
    </row>
    <row r="8" spans="1:17" x14ac:dyDescent="0.25">
      <c r="K8" s="294"/>
      <c r="L8" s="294"/>
      <c r="M8" s="294"/>
      <c r="N8" s="801" t="s">
        <v>8</v>
      </c>
      <c r="O8" s="801"/>
      <c r="P8" s="801"/>
      <c r="Q8" s="237"/>
    </row>
    <row r="9" spans="1:17" x14ac:dyDescent="0.25">
      <c r="K9" s="294"/>
      <c r="L9" s="294"/>
      <c r="M9" s="294"/>
      <c r="N9" s="801" t="s">
        <v>323</v>
      </c>
      <c r="O9" s="801"/>
      <c r="P9" s="801"/>
      <c r="Q9" s="237"/>
    </row>
    <row r="10" spans="1:17" x14ac:dyDescent="0.25">
      <c r="K10" s="294"/>
      <c r="L10" s="294"/>
      <c r="M10" s="294"/>
      <c r="N10" s="802" t="s">
        <v>400</v>
      </c>
      <c r="O10" s="802"/>
      <c r="P10" s="802"/>
      <c r="Q10" s="237"/>
    </row>
    <row r="11" spans="1:17" x14ac:dyDescent="0.25">
      <c r="K11" s="294"/>
      <c r="L11" s="294"/>
      <c r="M11" s="294"/>
      <c r="N11" s="803" t="s">
        <v>402</v>
      </c>
      <c r="O11" s="803"/>
      <c r="P11" s="803"/>
      <c r="Q11" s="237"/>
    </row>
    <row r="12" spans="1:17" x14ac:dyDescent="0.25">
      <c r="K12" s="294"/>
      <c r="L12" s="294"/>
      <c r="M12" s="294"/>
      <c r="N12" s="801" t="s">
        <v>442</v>
      </c>
      <c r="O12" s="801"/>
      <c r="P12" s="801"/>
      <c r="Q12" s="62"/>
    </row>
    <row r="13" spans="1:17" x14ac:dyDescent="0.25">
      <c r="A13" s="805" t="s">
        <v>217</v>
      </c>
      <c r="B13" s="806"/>
      <c r="C13" s="806"/>
      <c r="D13" s="806"/>
      <c r="E13" s="806"/>
      <c r="F13" s="806"/>
      <c r="G13" s="806"/>
      <c r="H13" s="806"/>
      <c r="I13" s="806"/>
      <c r="J13" s="806"/>
      <c r="K13" s="806"/>
      <c r="L13" s="806"/>
      <c r="M13" s="806"/>
      <c r="N13" s="806"/>
      <c r="O13" s="806"/>
      <c r="P13" s="806"/>
    </row>
    <row r="14" spans="1:17" x14ac:dyDescent="0.25">
      <c r="A14" s="805" t="s">
        <v>320</v>
      </c>
      <c r="B14" s="806"/>
      <c r="C14" s="806"/>
      <c r="D14" s="806"/>
      <c r="E14" s="806"/>
      <c r="F14" s="806"/>
      <c r="G14" s="806"/>
      <c r="H14" s="806"/>
      <c r="I14" s="806"/>
      <c r="J14" s="806"/>
      <c r="K14" s="806"/>
      <c r="L14" s="806"/>
      <c r="M14" s="806"/>
      <c r="N14" s="806"/>
      <c r="O14" s="806"/>
      <c r="P14" s="806"/>
    </row>
    <row r="15" spans="1:17" x14ac:dyDescent="0.25">
      <c r="A15" s="296" t="s">
        <v>214</v>
      </c>
    </row>
    <row r="16" spans="1:17" ht="17.45" customHeight="1" thickBot="1" x14ac:dyDescent="0.3">
      <c r="A16" s="293" t="s">
        <v>0</v>
      </c>
      <c r="P16" s="295" t="s">
        <v>9</v>
      </c>
    </row>
    <row r="17" spans="1:16" s="238" customFormat="1" ht="12.75" x14ac:dyDescent="0.2">
      <c r="A17" s="807" t="s">
        <v>10</v>
      </c>
      <c r="B17" s="809" t="s">
        <v>11</v>
      </c>
      <c r="C17" s="809" t="s">
        <v>12</v>
      </c>
      <c r="D17" s="809" t="s">
        <v>13</v>
      </c>
      <c r="E17" s="809" t="s">
        <v>3</v>
      </c>
      <c r="F17" s="809"/>
      <c r="G17" s="809"/>
      <c r="H17" s="809"/>
      <c r="I17" s="809"/>
      <c r="J17" s="809" t="s">
        <v>4</v>
      </c>
      <c r="K17" s="809"/>
      <c r="L17" s="809"/>
      <c r="M17" s="809"/>
      <c r="N17" s="809"/>
      <c r="O17" s="809"/>
      <c r="P17" s="810" t="s">
        <v>218</v>
      </c>
    </row>
    <row r="18" spans="1:16" s="238" customFormat="1" ht="12.75" x14ac:dyDescent="0.2">
      <c r="A18" s="808"/>
      <c r="B18" s="799"/>
      <c r="C18" s="799"/>
      <c r="D18" s="799"/>
      <c r="E18" s="799" t="s">
        <v>5</v>
      </c>
      <c r="F18" s="799" t="s">
        <v>14</v>
      </c>
      <c r="G18" s="799" t="s">
        <v>219</v>
      </c>
      <c r="H18" s="799"/>
      <c r="I18" s="812" t="s">
        <v>220</v>
      </c>
      <c r="J18" s="799" t="s">
        <v>5</v>
      </c>
      <c r="K18" s="799" t="s">
        <v>6</v>
      </c>
      <c r="L18" s="799" t="s">
        <v>14</v>
      </c>
      <c r="M18" s="799" t="s">
        <v>219</v>
      </c>
      <c r="N18" s="799"/>
      <c r="O18" s="799" t="s">
        <v>220</v>
      </c>
      <c r="P18" s="811"/>
    </row>
    <row r="19" spans="1:16" s="238" customFormat="1" ht="12.75" x14ac:dyDescent="0.2">
      <c r="A19" s="808"/>
      <c r="B19" s="799"/>
      <c r="C19" s="799"/>
      <c r="D19" s="799"/>
      <c r="E19" s="799"/>
      <c r="F19" s="799"/>
      <c r="G19" s="799" t="s">
        <v>275</v>
      </c>
      <c r="H19" s="799" t="s">
        <v>221</v>
      </c>
      <c r="I19" s="812"/>
      <c r="J19" s="799"/>
      <c r="K19" s="799"/>
      <c r="L19" s="799"/>
      <c r="M19" s="799" t="s">
        <v>275</v>
      </c>
      <c r="N19" s="799" t="s">
        <v>221</v>
      </c>
      <c r="O19" s="799"/>
      <c r="P19" s="811"/>
    </row>
    <row r="20" spans="1:16" s="238" customFormat="1" ht="55.9" customHeight="1" x14ac:dyDescent="0.2">
      <c r="A20" s="808"/>
      <c r="B20" s="799"/>
      <c r="C20" s="799"/>
      <c r="D20" s="799"/>
      <c r="E20" s="799"/>
      <c r="F20" s="799"/>
      <c r="G20" s="799"/>
      <c r="H20" s="799"/>
      <c r="I20" s="812"/>
      <c r="J20" s="799"/>
      <c r="K20" s="799"/>
      <c r="L20" s="799"/>
      <c r="M20" s="799"/>
      <c r="N20" s="799"/>
      <c r="O20" s="799"/>
      <c r="P20" s="811"/>
    </row>
    <row r="21" spans="1:16" ht="16.5" thickBot="1" x14ac:dyDescent="0.3">
      <c r="A21" s="285">
        <v>1</v>
      </c>
      <c r="B21" s="286">
        <v>2</v>
      </c>
      <c r="C21" s="286">
        <v>3</v>
      </c>
      <c r="D21" s="286">
        <v>4</v>
      </c>
      <c r="E21" s="286">
        <v>5</v>
      </c>
      <c r="F21" s="286">
        <v>6</v>
      </c>
      <c r="G21" s="286">
        <v>7</v>
      </c>
      <c r="H21" s="286">
        <v>8</v>
      </c>
      <c r="I21" s="297">
        <v>9</v>
      </c>
      <c r="J21" s="297">
        <v>10</v>
      </c>
      <c r="K21" s="297">
        <v>11</v>
      </c>
      <c r="L21" s="297">
        <v>12</v>
      </c>
      <c r="M21" s="297">
        <v>13</v>
      </c>
      <c r="N21" s="297">
        <v>14</v>
      </c>
      <c r="O21" s="297">
        <v>15</v>
      </c>
      <c r="P21" s="298">
        <v>16</v>
      </c>
    </row>
    <row r="22" spans="1:16" ht="48" thickBot="1" x14ac:dyDescent="0.3">
      <c r="A22" s="280" t="s">
        <v>15</v>
      </c>
      <c r="B22" s="281" t="s">
        <v>16</v>
      </c>
      <c r="C22" s="281" t="s">
        <v>16</v>
      </c>
      <c r="D22" s="283" t="s">
        <v>394</v>
      </c>
      <c r="E22" s="299">
        <f>E23</f>
        <v>125154631</v>
      </c>
      <c r="F22" s="299">
        <f>F23</f>
        <v>125154631</v>
      </c>
      <c r="G22" s="299">
        <f t="shared" ref="G22:I22" si="0">G23</f>
        <v>27687920</v>
      </c>
      <c r="H22" s="299">
        <f t="shared" si="0"/>
        <v>2738106</v>
      </c>
      <c r="I22" s="300">
        <f t="shared" si="0"/>
        <v>0</v>
      </c>
      <c r="J22" s="300">
        <f>J23</f>
        <v>20391257</v>
      </c>
      <c r="K22" s="300">
        <f t="shared" ref="K22:O22" si="1">K23</f>
        <v>20391257</v>
      </c>
      <c r="L22" s="300">
        <f t="shared" si="1"/>
        <v>0</v>
      </c>
      <c r="M22" s="300">
        <f t="shared" si="1"/>
        <v>0</v>
      </c>
      <c r="N22" s="300">
        <f t="shared" si="1"/>
        <v>0</v>
      </c>
      <c r="O22" s="300">
        <f t="shared" si="1"/>
        <v>20391257</v>
      </c>
      <c r="P22" s="301">
        <f t="shared" ref="P22:P60" si="2">E22+J22</f>
        <v>145545888</v>
      </c>
    </row>
    <row r="23" spans="1:16" ht="47.25" x14ac:dyDescent="0.25">
      <c r="A23" s="302" t="s">
        <v>17</v>
      </c>
      <c r="B23" s="303" t="s">
        <v>16</v>
      </c>
      <c r="C23" s="303" t="s">
        <v>16</v>
      </c>
      <c r="D23" s="304" t="s">
        <v>394</v>
      </c>
      <c r="E23" s="305">
        <f>E24+E26+E27+E29+E32+E34+E35+E37+E25+E28+E38+E33+E39</f>
        <v>125154631</v>
      </c>
      <c r="F23" s="305">
        <f>F24+F26+F27+F29+F32+F34+F35+F37+F25+F28+F38+F33+F39</f>
        <v>125154631</v>
      </c>
      <c r="G23" s="305">
        <f>G24+G26+G27+G29+G32+G34+G35+G37+G25+G28</f>
        <v>27687920</v>
      </c>
      <c r="H23" s="305">
        <f>H24+H26+H27+H29+H32+H34+H35+H37+H25+H28</f>
        <v>2738106</v>
      </c>
      <c r="I23" s="306">
        <f>I24+I26+I27+I29+I32+I34+I35+I37+I25+I28</f>
        <v>0</v>
      </c>
      <c r="J23" s="306">
        <f>J24+J25+J26+J28+J29+J30+J31+J32+J34+J35+J35+J37+J27+J36+J39</f>
        <v>20391257</v>
      </c>
      <c r="K23" s="306">
        <f>K24+K25+K26+K28+K29+K30+K31+K32+K34+K35+K35+K37+K27+K36+K39</f>
        <v>20391257</v>
      </c>
      <c r="L23" s="306">
        <f t="shared" ref="L23:N23" si="3">L24+L25+L26+L28+L29+L30+L31+L32+L34+L35+L35+L37+L27</f>
        <v>0</v>
      </c>
      <c r="M23" s="306">
        <f t="shared" si="3"/>
        <v>0</v>
      </c>
      <c r="N23" s="306">
        <f t="shared" si="3"/>
        <v>0</v>
      </c>
      <c r="O23" s="306">
        <f>O24+O25+O26+O28+O29+O30+O31+O32+O34+O35+O35+O37+O27+O36+O39</f>
        <v>20391257</v>
      </c>
      <c r="P23" s="307">
        <f>E23+J23</f>
        <v>145545888</v>
      </c>
    </row>
    <row r="24" spans="1:16" ht="94.5" x14ac:dyDescent="0.25">
      <c r="A24" s="252" t="s">
        <v>222</v>
      </c>
      <c r="B24" s="243" t="s">
        <v>223</v>
      </c>
      <c r="C24" s="243" t="s">
        <v>18</v>
      </c>
      <c r="D24" s="181" t="s">
        <v>224</v>
      </c>
      <c r="E24" s="288">
        <f>F24+I24</f>
        <v>33989000</v>
      </c>
      <c r="F24" s="288">
        <f>34654250-665250</f>
        <v>33989000</v>
      </c>
      <c r="G24" s="288">
        <v>27687920</v>
      </c>
      <c r="H24" s="288">
        <v>2738106</v>
      </c>
      <c r="I24" s="8">
        <v>0</v>
      </c>
      <c r="J24" s="306">
        <f>L24+O24</f>
        <v>0</v>
      </c>
      <c r="K24" s="8"/>
      <c r="L24" s="8"/>
      <c r="M24" s="8">
        <v>0</v>
      </c>
      <c r="N24" s="8">
        <v>0</v>
      </c>
      <c r="O24" s="8"/>
      <c r="P24" s="335">
        <f t="shared" ref="P24:P39" si="4">E24+J24</f>
        <v>33989000</v>
      </c>
    </row>
    <row r="25" spans="1:16" ht="31.5" x14ac:dyDescent="0.25">
      <c r="A25" s="309" t="s">
        <v>324</v>
      </c>
      <c r="B25" s="308" t="s">
        <v>274</v>
      </c>
      <c r="C25" s="243">
        <v>133</v>
      </c>
      <c r="D25" s="181" t="s">
        <v>293</v>
      </c>
      <c r="E25" s="288">
        <f>F25+I25</f>
        <v>165900</v>
      </c>
      <c r="F25" s="288">
        <f>107400+58500</f>
        <v>165900</v>
      </c>
      <c r="G25" s="288">
        <v>0</v>
      </c>
      <c r="H25" s="288">
        <v>0</v>
      </c>
      <c r="I25" s="8">
        <v>0</v>
      </c>
      <c r="J25" s="306">
        <f t="shared" ref="J25:J39" si="5">L25+O25</f>
        <v>0</v>
      </c>
      <c r="K25" s="8"/>
      <c r="L25" s="8"/>
      <c r="M25" s="8"/>
      <c r="N25" s="8"/>
      <c r="O25" s="8"/>
      <c r="P25" s="335">
        <f t="shared" si="4"/>
        <v>165900</v>
      </c>
    </row>
    <row r="26" spans="1:16" ht="31.5" x14ac:dyDescent="0.25">
      <c r="A26" s="252" t="s">
        <v>19</v>
      </c>
      <c r="B26" s="243" t="s">
        <v>20</v>
      </c>
      <c r="C26" s="243" t="s">
        <v>21</v>
      </c>
      <c r="D26" s="181" t="s">
        <v>22</v>
      </c>
      <c r="E26" s="288">
        <f t="shared" ref="E26:E39" si="6">F26+I26</f>
        <v>24456802</v>
      </c>
      <c r="F26" s="288">
        <v>24456802</v>
      </c>
      <c r="G26" s="288">
        <v>0</v>
      </c>
      <c r="H26" s="288">
        <v>0</v>
      </c>
      <c r="I26" s="8">
        <v>0</v>
      </c>
      <c r="J26" s="306">
        <f t="shared" si="5"/>
        <v>1548687</v>
      </c>
      <c r="K26" s="8">
        <f>O26</f>
        <v>1548687</v>
      </c>
      <c r="L26" s="8">
        <v>0</v>
      </c>
      <c r="M26" s="8">
        <v>0</v>
      </c>
      <c r="N26" s="8">
        <v>0</v>
      </c>
      <c r="O26" s="8">
        <v>1548687</v>
      </c>
      <c r="P26" s="335">
        <f t="shared" si="4"/>
        <v>26005489</v>
      </c>
    </row>
    <row r="27" spans="1:16" ht="63" x14ac:dyDescent="0.25">
      <c r="A27" s="252" t="s">
        <v>23</v>
      </c>
      <c r="B27" s="243" t="s">
        <v>24</v>
      </c>
      <c r="C27" s="243" t="s">
        <v>25</v>
      </c>
      <c r="D27" s="181" t="s">
        <v>26</v>
      </c>
      <c r="E27" s="288">
        <f t="shared" si="6"/>
        <v>880094</v>
      </c>
      <c r="F27" s="288">
        <f>829404+50690</f>
        <v>880094</v>
      </c>
      <c r="G27" s="288">
        <v>0</v>
      </c>
      <c r="H27" s="288">
        <v>0</v>
      </c>
      <c r="I27" s="8">
        <v>0</v>
      </c>
      <c r="J27" s="306">
        <f t="shared" si="5"/>
        <v>173298</v>
      </c>
      <c r="K27" s="8">
        <f>O27</f>
        <v>173298</v>
      </c>
      <c r="L27" s="8">
        <v>0</v>
      </c>
      <c r="M27" s="8">
        <v>0</v>
      </c>
      <c r="N27" s="8">
        <v>0</v>
      </c>
      <c r="O27" s="8">
        <f>0+173298</f>
        <v>173298</v>
      </c>
      <c r="P27" s="335">
        <f t="shared" si="4"/>
        <v>1053392</v>
      </c>
    </row>
    <row r="28" spans="1:16" ht="31.5" x14ac:dyDescent="0.25">
      <c r="A28" s="309" t="s">
        <v>281</v>
      </c>
      <c r="B28" s="243">
        <v>2152</v>
      </c>
      <c r="C28" s="308" t="s">
        <v>282</v>
      </c>
      <c r="D28" s="181" t="s">
        <v>294</v>
      </c>
      <c r="E28" s="288">
        <f t="shared" si="6"/>
        <v>2815512</v>
      </c>
      <c r="F28" s="288">
        <f>2932512-117000</f>
        <v>2815512</v>
      </c>
      <c r="G28" s="288">
        <v>0</v>
      </c>
      <c r="H28" s="288">
        <v>0</v>
      </c>
      <c r="I28" s="8">
        <v>0</v>
      </c>
      <c r="J28" s="306">
        <f t="shared" si="5"/>
        <v>0</v>
      </c>
      <c r="K28" s="8">
        <f t="shared" ref="K28:K29" si="7">O28</f>
        <v>0</v>
      </c>
      <c r="L28" s="8"/>
      <c r="M28" s="8"/>
      <c r="N28" s="8"/>
      <c r="O28" s="8"/>
      <c r="P28" s="335">
        <f t="shared" si="4"/>
        <v>2815512</v>
      </c>
    </row>
    <row r="29" spans="1:16" ht="31.5" x14ac:dyDescent="0.25">
      <c r="A29" s="252" t="s">
        <v>30</v>
      </c>
      <c r="B29" s="243" t="s">
        <v>31</v>
      </c>
      <c r="C29" s="243" t="s">
        <v>32</v>
      </c>
      <c r="D29" s="181" t="s">
        <v>33</v>
      </c>
      <c r="E29" s="288">
        <f t="shared" si="6"/>
        <v>178875</v>
      </c>
      <c r="F29" s="288">
        <f>155496+23379</f>
        <v>178875</v>
      </c>
      <c r="G29" s="288">
        <v>0</v>
      </c>
      <c r="H29" s="288">
        <v>0</v>
      </c>
      <c r="I29" s="8">
        <v>0</v>
      </c>
      <c r="J29" s="306">
        <f t="shared" si="5"/>
        <v>657194</v>
      </c>
      <c r="K29" s="8">
        <f t="shared" si="7"/>
        <v>657194</v>
      </c>
      <c r="L29" s="8">
        <v>0</v>
      </c>
      <c r="M29" s="8">
        <v>0</v>
      </c>
      <c r="N29" s="8">
        <v>0</v>
      </c>
      <c r="O29" s="8">
        <f>657194</f>
        <v>657194</v>
      </c>
      <c r="P29" s="335">
        <f t="shared" si="4"/>
        <v>836069</v>
      </c>
    </row>
    <row r="30" spans="1:16" ht="32.25" customHeight="1" x14ac:dyDescent="0.25">
      <c r="A30" s="309" t="s">
        <v>295</v>
      </c>
      <c r="B30" s="308">
        <v>7650</v>
      </c>
      <c r="C30" s="308" t="s">
        <v>227</v>
      </c>
      <c r="D30" s="181" t="s">
        <v>296</v>
      </c>
      <c r="E30" s="288">
        <f t="shared" si="6"/>
        <v>0</v>
      </c>
      <c r="F30" s="288">
        <v>0</v>
      </c>
      <c r="G30" s="288">
        <v>0</v>
      </c>
      <c r="H30" s="288">
        <v>0</v>
      </c>
      <c r="I30" s="8">
        <v>0</v>
      </c>
      <c r="J30" s="306">
        <f t="shared" si="5"/>
        <v>57000</v>
      </c>
      <c r="K30" s="8">
        <v>57000</v>
      </c>
      <c r="L30" s="8">
        <v>0</v>
      </c>
      <c r="M30" s="8"/>
      <c r="N30" s="8"/>
      <c r="O30" s="8">
        <v>57000</v>
      </c>
      <c r="P30" s="335">
        <f t="shared" si="4"/>
        <v>57000</v>
      </c>
    </row>
    <row r="31" spans="1:16" ht="80.25" customHeight="1" x14ac:dyDescent="0.25">
      <c r="A31" s="309" t="s">
        <v>297</v>
      </c>
      <c r="B31" s="308" t="s">
        <v>298</v>
      </c>
      <c r="C31" s="308" t="s">
        <v>227</v>
      </c>
      <c r="D31" s="181" t="s">
        <v>299</v>
      </c>
      <c r="E31" s="288">
        <f t="shared" si="6"/>
        <v>0</v>
      </c>
      <c r="F31" s="288">
        <v>0</v>
      </c>
      <c r="G31" s="288">
        <v>0</v>
      </c>
      <c r="H31" s="288">
        <v>0</v>
      </c>
      <c r="I31" s="8">
        <v>0</v>
      </c>
      <c r="J31" s="306">
        <f t="shared" si="5"/>
        <v>15200</v>
      </c>
      <c r="K31" s="8">
        <v>15200</v>
      </c>
      <c r="L31" s="8">
        <v>0</v>
      </c>
      <c r="M31" s="8"/>
      <c r="N31" s="8"/>
      <c r="O31" s="8">
        <v>15200</v>
      </c>
      <c r="P31" s="335">
        <f t="shared" si="4"/>
        <v>15200</v>
      </c>
    </row>
    <row r="32" spans="1:16" ht="31.5" x14ac:dyDescent="0.25">
      <c r="A32" s="252" t="s">
        <v>225</v>
      </c>
      <c r="B32" s="243" t="s">
        <v>226</v>
      </c>
      <c r="C32" s="243" t="s">
        <v>227</v>
      </c>
      <c r="D32" s="181" t="s">
        <v>228</v>
      </c>
      <c r="E32" s="288">
        <f t="shared" si="6"/>
        <v>40031</v>
      </c>
      <c r="F32" s="288">
        <v>40031</v>
      </c>
      <c r="G32" s="288">
        <v>0</v>
      </c>
      <c r="H32" s="288">
        <v>0</v>
      </c>
      <c r="I32" s="8">
        <v>0</v>
      </c>
      <c r="J32" s="306">
        <f t="shared" si="5"/>
        <v>0</v>
      </c>
      <c r="K32" s="8">
        <v>0</v>
      </c>
      <c r="L32" s="8">
        <v>0</v>
      </c>
      <c r="M32" s="8">
        <v>0</v>
      </c>
      <c r="N32" s="8">
        <v>0</v>
      </c>
      <c r="O32" s="8">
        <v>0</v>
      </c>
      <c r="P32" s="335">
        <f t="shared" si="4"/>
        <v>40031</v>
      </c>
    </row>
    <row r="33" spans="1:16" ht="47.25" x14ac:dyDescent="0.25">
      <c r="A33" s="309" t="s">
        <v>644</v>
      </c>
      <c r="B33" s="739">
        <v>8110</v>
      </c>
      <c r="C33" s="308" t="s">
        <v>284</v>
      </c>
      <c r="D33" s="181" t="s">
        <v>285</v>
      </c>
      <c r="E33" s="288">
        <f t="shared" si="6"/>
        <v>676200</v>
      </c>
      <c r="F33" s="288">
        <f>676200</f>
        <v>676200</v>
      </c>
      <c r="G33" s="288"/>
      <c r="H33" s="288"/>
      <c r="I33" s="8"/>
      <c r="J33" s="306"/>
      <c r="K33" s="8"/>
      <c r="L33" s="8"/>
      <c r="M33" s="8"/>
      <c r="N33" s="8"/>
      <c r="O33" s="8"/>
      <c r="P33" s="335">
        <f t="shared" si="4"/>
        <v>676200</v>
      </c>
    </row>
    <row r="34" spans="1:16" ht="31.5" x14ac:dyDescent="0.25">
      <c r="A34" s="252" t="s">
        <v>34</v>
      </c>
      <c r="B34" s="243" t="s">
        <v>35</v>
      </c>
      <c r="C34" s="243" t="s">
        <v>36</v>
      </c>
      <c r="D34" s="181" t="s">
        <v>37</v>
      </c>
      <c r="E34" s="288">
        <f t="shared" si="6"/>
        <v>347700</v>
      </c>
      <c r="F34" s="288">
        <f>406200-58500</f>
        <v>347700</v>
      </c>
      <c r="G34" s="288">
        <v>0</v>
      </c>
      <c r="H34" s="288">
        <v>0</v>
      </c>
      <c r="I34" s="8">
        <v>0</v>
      </c>
      <c r="J34" s="306">
        <f t="shared" si="5"/>
        <v>0</v>
      </c>
      <c r="K34" s="8">
        <v>0</v>
      </c>
      <c r="L34" s="8">
        <v>0</v>
      </c>
      <c r="M34" s="8">
        <v>0</v>
      </c>
      <c r="N34" s="8">
        <v>0</v>
      </c>
      <c r="O34" s="8">
        <v>0</v>
      </c>
      <c r="P34" s="335">
        <f t="shared" si="4"/>
        <v>347700</v>
      </c>
    </row>
    <row r="35" spans="1:16" ht="31.5" x14ac:dyDescent="0.25">
      <c r="A35" s="252" t="s">
        <v>144</v>
      </c>
      <c r="B35" s="243" t="s">
        <v>229</v>
      </c>
      <c r="C35" s="243" t="s">
        <v>36</v>
      </c>
      <c r="D35" s="181" t="s">
        <v>145</v>
      </c>
      <c r="E35" s="288">
        <f t="shared" si="6"/>
        <v>19054971</v>
      </c>
      <c r="F35" s="288">
        <f>20158706-303595-800140</f>
        <v>19054971</v>
      </c>
      <c r="G35" s="288">
        <v>0</v>
      </c>
      <c r="H35" s="288">
        <v>0</v>
      </c>
      <c r="I35" s="8">
        <v>0</v>
      </c>
      <c r="J35" s="306">
        <f t="shared" si="5"/>
        <v>0</v>
      </c>
      <c r="K35" s="8">
        <v>0</v>
      </c>
      <c r="L35" s="8">
        <v>0</v>
      </c>
      <c r="M35" s="8">
        <v>0</v>
      </c>
      <c r="N35" s="8">
        <v>0</v>
      </c>
      <c r="O35" s="8">
        <v>0</v>
      </c>
      <c r="P35" s="335">
        <f t="shared" si="4"/>
        <v>19054971</v>
      </c>
    </row>
    <row r="36" spans="1:16" ht="31.5" x14ac:dyDescent="0.25">
      <c r="A36" s="566" t="s">
        <v>429</v>
      </c>
      <c r="B36" s="557">
        <v>8240</v>
      </c>
      <c r="C36" s="557" t="s">
        <v>36</v>
      </c>
      <c r="D36" s="181" t="s">
        <v>430</v>
      </c>
      <c r="E36" s="288"/>
      <c r="F36" s="288"/>
      <c r="G36" s="288"/>
      <c r="H36" s="288"/>
      <c r="I36" s="8"/>
      <c r="J36" s="306">
        <f>L36+O36</f>
        <v>183598</v>
      </c>
      <c r="K36" s="8">
        <f>400444-216846</f>
        <v>183598</v>
      </c>
      <c r="L36" s="8"/>
      <c r="M36" s="8"/>
      <c r="N36" s="8"/>
      <c r="O36" s="8">
        <f>400444-216846</f>
        <v>183598</v>
      </c>
      <c r="P36" s="335">
        <f t="shared" si="4"/>
        <v>183598</v>
      </c>
    </row>
    <row r="37" spans="1:16" ht="35.450000000000003" customHeight="1" x14ac:dyDescent="0.25">
      <c r="A37" s="243" t="s">
        <v>38</v>
      </c>
      <c r="B37" s="243" t="s">
        <v>39</v>
      </c>
      <c r="C37" s="243" t="s">
        <v>40</v>
      </c>
      <c r="D37" s="181" t="s">
        <v>410</v>
      </c>
      <c r="E37" s="288">
        <f t="shared" si="6"/>
        <v>3582707</v>
      </c>
      <c r="F37" s="288">
        <f>3582707+490356-490356</f>
        <v>3582707</v>
      </c>
      <c r="G37" s="288">
        <v>0</v>
      </c>
      <c r="H37" s="288">
        <v>0</v>
      </c>
      <c r="I37" s="8">
        <v>0</v>
      </c>
      <c r="J37" s="306">
        <f t="shared" si="5"/>
        <v>0</v>
      </c>
      <c r="K37" s="8">
        <v>0</v>
      </c>
      <c r="L37" s="8">
        <v>0</v>
      </c>
      <c r="M37" s="8">
        <v>0</v>
      </c>
      <c r="N37" s="8">
        <v>0</v>
      </c>
      <c r="O37" s="8">
        <v>0</v>
      </c>
      <c r="P37" s="335">
        <f t="shared" si="4"/>
        <v>3582707</v>
      </c>
    </row>
    <row r="38" spans="1:16" ht="35.450000000000003" customHeight="1" x14ac:dyDescent="0.25">
      <c r="A38" s="308" t="s">
        <v>418</v>
      </c>
      <c r="B38" s="666">
        <v>9770</v>
      </c>
      <c r="C38" s="308" t="s">
        <v>274</v>
      </c>
      <c r="D38" s="181" t="s">
        <v>412</v>
      </c>
      <c r="E38" s="288">
        <f t="shared" si="6"/>
        <v>30000000</v>
      </c>
      <c r="F38" s="288">
        <v>30000000</v>
      </c>
      <c r="G38" s="288"/>
      <c r="H38" s="288"/>
      <c r="I38" s="8"/>
      <c r="J38" s="675">
        <f t="shared" si="5"/>
        <v>0</v>
      </c>
      <c r="K38" s="8"/>
      <c r="L38" s="8"/>
      <c r="M38" s="8"/>
      <c r="N38" s="8"/>
      <c r="O38" s="8">
        <v>0</v>
      </c>
      <c r="P38" s="676">
        <f t="shared" si="4"/>
        <v>30000000</v>
      </c>
    </row>
    <row r="39" spans="1:16" ht="76.900000000000006" customHeight="1" thickBot="1" x14ac:dyDescent="0.3">
      <c r="A39" s="565" t="s">
        <v>513</v>
      </c>
      <c r="B39" s="16">
        <v>9800</v>
      </c>
      <c r="C39" s="308" t="s">
        <v>274</v>
      </c>
      <c r="D39" s="264" t="s">
        <v>514</v>
      </c>
      <c r="E39" s="288">
        <f t="shared" si="6"/>
        <v>8966839</v>
      </c>
      <c r="F39" s="757">
        <f>8966839</f>
        <v>8966839</v>
      </c>
      <c r="G39" s="383"/>
      <c r="H39" s="383"/>
      <c r="I39" s="384"/>
      <c r="J39" s="675">
        <f t="shared" si="5"/>
        <v>17756280</v>
      </c>
      <c r="K39" s="384">
        <f>O39</f>
        <v>17756280</v>
      </c>
      <c r="L39" s="384"/>
      <c r="M39" s="384"/>
      <c r="N39" s="384"/>
      <c r="O39" s="511">
        <f>0+4560280+13196000</f>
        <v>17756280</v>
      </c>
      <c r="P39" s="676">
        <f t="shared" si="4"/>
        <v>26723119</v>
      </c>
    </row>
    <row r="40" spans="1:16" ht="48" thickBot="1" x14ac:dyDescent="0.3">
      <c r="A40" s="280" t="s">
        <v>41</v>
      </c>
      <c r="B40" s="281" t="s">
        <v>16</v>
      </c>
      <c r="C40" s="281" t="s">
        <v>16</v>
      </c>
      <c r="D40" s="283" t="s">
        <v>419</v>
      </c>
      <c r="E40" s="310">
        <f>E41</f>
        <v>234437561</v>
      </c>
      <c r="F40" s="310">
        <f>F41</f>
        <v>234437561</v>
      </c>
      <c r="G40" s="310">
        <f t="shared" ref="G40:I40" si="8">G41</f>
        <v>175415490</v>
      </c>
      <c r="H40" s="310">
        <f t="shared" si="8"/>
        <v>29144903</v>
      </c>
      <c r="I40" s="310">
        <f t="shared" si="8"/>
        <v>0</v>
      </c>
      <c r="J40" s="310">
        <f>J41</f>
        <v>18938866</v>
      </c>
      <c r="K40" s="310">
        <f>K41</f>
        <v>4697031</v>
      </c>
      <c r="L40" s="310">
        <f t="shared" ref="L40:O40" si="9">L41</f>
        <v>14241835</v>
      </c>
      <c r="M40" s="310">
        <f>M41</f>
        <v>1981242</v>
      </c>
      <c r="N40" s="310">
        <f t="shared" si="9"/>
        <v>60976</v>
      </c>
      <c r="O40" s="310">
        <f t="shared" si="9"/>
        <v>4697031</v>
      </c>
      <c r="P40" s="311">
        <f t="shared" si="2"/>
        <v>253376427</v>
      </c>
    </row>
    <row r="41" spans="1:16" s="239" customFormat="1" ht="47.25" x14ac:dyDescent="0.25">
      <c r="A41" s="302" t="s">
        <v>42</v>
      </c>
      <c r="B41" s="303" t="s">
        <v>16</v>
      </c>
      <c r="C41" s="303" t="s">
        <v>16</v>
      </c>
      <c r="D41" s="304" t="s">
        <v>419</v>
      </c>
      <c r="E41" s="290">
        <f>E42+E43+E44+E47+E48+E49+E50+E51+E54+E52+E60+E57+E53+E46+E61+E58+E59</f>
        <v>234437561</v>
      </c>
      <c r="F41" s="290">
        <f>F42+F43+F44+F47+F48+F49+F50+F51+F54+F52+F60+F57+F53+F46+F61+F58+F59</f>
        <v>234437561</v>
      </c>
      <c r="G41" s="290">
        <f>G42+G43+G44+G47+G48+G49+G50+G51+G54+G52+G60+G57+G53+G46+G61</f>
        <v>175415490</v>
      </c>
      <c r="H41" s="290">
        <f>H42+H43+H44+H47+H48+H49+H50+H51+H54+H52+H60+H57+H53+H46+H61</f>
        <v>29144903</v>
      </c>
      <c r="I41" s="290">
        <f>I42+I43+I44+I47+I48+I49+I50+I51+I54</f>
        <v>0</v>
      </c>
      <c r="J41" s="290">
        <f t="shared" ref="J41:O41" si="10">J42+J43+J44+J47+J48+J49+J50+J51+J54+J45+J55+J56+J61</f>
        <v>18938866</v>
      </c>
      <c r="K41" s="290">
        <f t="shared" si="10"/>
        <v>4697031</v>
      </c>
      <c r="L41" s="290">
        <f t="shared" si="10"/>
        <v>14241835</v>
      </c>
      <c r="M41" s="430">
        <f t="shared" si="10"/>
        <v>1981242</v>
      </c>
      <c r="N41" s="290">
        <f t="shared" si="10"/>
        <v>60976</v>
      </c>
      <c r="O41" s="290">
        <f t="shared" si="10"/>
        <v>4697031</v>
      </c>
      <c r="P41" s="312">
        <f>E41+J41</f>
        <v>253376427</v>
      </c>
    </row>
    <row r="42" spans="1:16" ht="47.25" x14ac:dyDescent="0.25">
      <c r="A42" s="252" t="s">
        <v>230</v>
      </c>
      <c r="B42" s="243" t="s">
        <v>43</v>
      </c>
      <c r="C42" s="243" t="s">
        <v>18</v>
      </c>
      <c r="D42" s="181" t="s">
        <v>231</v>
      </c>
      <c r="E42" s="288">
        <f>F42+I42</f>
        <v>4908899</v>
      </c>
      <c r="F42" s="288">
        <f>4916560-7661</f>
        <v>4908899</v>
      </c>
      <c r="G42" s="288">
        <v>4157532</v>
      </c>
      <c r="H42" s="288">
        <f>193051-975</f>
        <v>192076</v>
      </c>
      <c r="I42" s="8">
        <v>0</v>
      </c>
      <c r="J42" s="8">
        <f>L42+O42</f>
        <v>0</v>
      </c>
      <c r="K42" s="8">
        <v>0</v>
      </c>
      <c r="L42" s="8">
        <v>0</v>
      </c>
      <c r="M42" s="8">
        <v>0</v>
      </c>
      <c r="N42" s="8">
        <v>0</v>
      </c>
      <c r="O42" s="8">
        <v>0</v>
      </c>
      <c r="P42" s="313">
        <f t="shared" si="2"/>
        <v>4908899</v>
      </c>
    </row>
    <row r="43" spans="1:16" ht="27" customHeight="1" x14ac:dyDescent="0.25">
      <c r="A43" s="252" t="s">
        <v>44</v>
      </c>
      <c r="B43" s="243" t="s">
        <v>45</v>
      </c>
      <c r="C43" s="243" t="s">
        <v>46</v>
      </c>
      <c r="D43" s="181" t="s">
        <v>47</v>
      </c>
      <c r="E43" s="288">
        <f t="shared" ref="E43:E61" si="11">F43+I43</f>
        <v>86482023</v>
      </c>
      <c r="F43" s="288">
        <f>82730763+1653405-301381+95000-1281044+1278458-61425-385325+530000+2223572</f>
        <v>86482023</v>
      </c>
      <c r="G43" s="288">
        <f>50012246+11002694+1653405-301381-933159+2223572</f>
        <v>63657377</v>
      </c>
      <c r="H43" s="288">
        <f>10027279-66436</f>
        <v>9960843</v>
      </c>
      <c r="I43" s="8">
        <v>0</v>
      </c>
      <c r="J43" s="8">
        <f>L43+O43</f>
        <v>1971909</v>
      </c>
      <c r="K43" s="8">
        <v>61425</v>
      </c>
      <c r="L43" s="8">
        <v>1910484</v>
      </c>
      <c r="M43" s="8">
        <v>0</v>
      </c>
      <c r="N43" s="8">
        <v>0</v>
      </c>
      <c r="O43" s="8">
        <v>61425</v>
      </c>
      <c r="P43" s="313">
        <f t="shared" si="2"/>
        <v>88453932</v>
      </c>
    </row>
    <row r="44" spans="1:16" ht="31.5" x14ac:dyDescent="0.25">
      <c r="A44" s="252" t="s">
        <v>48</v>
      </c>
      <c r="B44" s="243" t="s">
        <v>49</v>
      </c>
      <c r="C44" s="243" t="s">
        <v>50</v>
      </c>
      <c r="D44" s="181" t="s">
        <v>51</v>
      </c>
      <c r="E44" s="288">
        <f t="shared" si="11"/>
        <v>67664721</v>
      </c>
      <c r="F44" s="288">
        <f>64264558+5817405-3500600-222289-86776+1100000+292423-49726+49726-49725+49725</f>
        <v>67664721</v>
      </c>
      <c r="G44" s="288">
        <f>31907857+5817405</f>
        <v>37725262</v>
      </c>
      <c r="H44" s="288">
        <f>18011423-11479</f>
        <v>17999944</v>
      </c>
      <c r="I44" s="8">
        <v>0</v>
      </c>
      <c r="J44" s="8">
        <f>L44+O44</f>
        <v>9534214</v>
      </c>
      <c r="K44" s="8">
        <f>0+703463</f>
        <v>703463</v>
      </c>
      <c r="L44" s="8">
        <f>8830751</f>
        <v>8830751</v>
      </c>
      <c r="M44" s="8">
        <v>1981242</v>
      </c>
      <c r="N44" s="8">
        <v>60976</v>
      </c>
      <c r="O44" s="8">
        <f>0+703463</f>
        <v>703463</v>
      </c>
      <c r="P44" s="313">
        <f>E44+J44</f>
        <v>77198935</v>
      </c>
    </row>
    <row r="45" spans="1:16" ht="78.75" x14ac:dyDescent="0.25">
      <c r="A45" s="309" t="s">
        <v>420</v>
      </c>
      <c r="B45" s="557">
        <v>1403</v>
      </c>
      <c r="C45" s="308" t="s">
        <v>56</v>
      </c>
      <c r="D45" s="181" t="s">
        <v>421</v>
      </c>
      <c r="E45" s="288">
        <f t="shared" si="11"/>
        <v>0</v>
      </c>
      <c r="F45" s="288"/>
      <c r="G45" s="288"/>
      <c r="H45" s="288"/>
      <c r="I45" s="8"/>
      <c r="J45" s="8">
        <f>L45+O45</f>
        <v>3500600</v>
      </c>
      <c r="K45" s="8"/>
      <c r="L45" s="8">
        <v>3500600</v>
      </c>
      <c r="M45" s="8"/>
      <c r="N45" s="8"/>
      <c r="O45" s="8"/>
      <c r="P45" s="313">
        <f>E45+J45</f>
        <v>3500600</v>
      </c>
    </row>
    <row r="46" spans="1:16" ht="78.75" x14ac:dyDescent="0.25">
      <c r="A46" s="309" t="s">
        <v>424</v>
      </c>
      <c r="B46" s="557">
        <v>1600</v>
      </c>
      <c r="C46" s="308" t="s">
        <v>56</v>
      </c>
      <c r="D46" s="181" t="s">
        <v>425</v>
      </c>
      <c r="E46" s="288">
        <f t="shared" si="11"/>
        <v>3975300</v>
      </c>
      <c r="F46" s="288">
        <v>3975300</v>
      </c>
      <c r="G46" s="288">
        <v>3975300</v>
      </c>
      <c r="H46" s="288"/>
      <c r="I46" s="8"/>
      <c r="J46" s="8"/>
      <c r="K46" s="8"/>
      <c r="L46" s="8"/>
      <c r="M46" s="8"/>
      <c r="N46" s="8"/>
      <c r="O46" s="8"/>
      <c r="P46" s="313">
        <f>E46+J46</f>
        <v>3975300</v>
      </c>
    </row>
    <row r="47" spans="1:16" ht="31.5" x14ac:dyDescent="0.25">
      <c r="A47" s="329" t="s">
        <v>232</v>
      </c>
      <c r="B47" s="330" t="s">
        <v>233</v>
      </c>
      <c r="C47" s="330" t="s">
        <v>50</v>
      </c>
      <c r="D47" s="256" t="s">
        <v>51</v>
      </c>
      <c r="E47" s="288">
        <f t="shared" si="11"/>
        <v>51662400</v>
      </c>
      <c r="F47" s="288">
        <v>51662400</v>
      </c>
      <c r="G47" s="288">
        <f>F47</f>
        <v>51662400</v>
      </c>
      <c r="H47" s="8">
        <v>0</v>
      </c>
      <c r="I47" s="8">
        <v>0</v>
      </c>
      <c r="J47" s="8">
        <f>L47+O47</f>
        <v>0</v>
      </c>
      <c r="K47" s="8">
        <v>0</v>
      </c>
      <c r="L47" s="8">
        <v>0</v>
      </c>
      <c r="M47" s="8">
        <v>0</v>
      </c>
      <c r="N47" s="8">
        <v>0</v>
      </c>
      <c r="O47" s="8">
        <v>0</v>
      </c>
      <c r="P47" s="313">
        <f t="shared" si="2"/>
        <v>51662400</v>
      </c>
    </row>
    <row r="48" spans="1:16" ht="47.25" x14ac:dyDescent="0.25">
      <c r="A48" s="252" t="s">
        <v>52</v>
      </c>
      <c r="B48" s="243" t="s">
        <v>53</v>
      </c>
      <c r="C48" s="243" t="s">
        <v>54</v>
      </c>
      <c r="D48" s="181" t="s">
        <v>55</v>
      </c>
      <c r="E48" s="288">
        <f t="shared" si="11"/>
        <v>6351091</v>
      </c>
      <c r="F48" s="288">
        <f>5731771+435548-17167-52553+253492</f>
        <v>6351091</v>
      </c>
      <c r="G48" s="288">
        <f>4582100+435548+253492</f>
        <v>5271140</v>
      </c>
      <c r="H48" s="288">
        <f>437189-1302</f>
        <v>435887</v>
      </c>
      <c r="I48" s="8">
        <v>0</v>
      </c>
      <c r="J48" s="8">
        <v>0</v>
      </c>
      <c r="K48" s="8">
        <v>0</v>
      </c>
      <c r="L48" s="8">
        <v>0</v>
      </c>
      <c r="M48" s="8">
        <v>0</v>
      </c>
      <c r="N48" s="8">
        <v>0</v>
      </c>
      <c r="O48" s="8">
        <v>0</v>
      </c>
      <c r="P48" s="313">
        <f t="shared" si="2"/>
        <v>6351091</v>
      </c>
    </row>
    <row r="49" spans="1:16" ht="31.5" x14ac:dyDescent="0.25">
      <c r="A49" s="252" t="s">
        <v>234</v>
      </c>
      <c r="B49" s="243" t="s">
        <v>235</v>
      </c>
      <c r="C49" s="243" t="s">
        <v>56</v>
      </c>
      <c r="D49" s="181" t="s">
        <v>236</v>
      </c>
      <c r="E49" s="288">
        <f t="shared" si="11"/>
        <v>4955490</v>
      </c>
      <c r="F49" s="288">
        <f>4957007-1517</f>
        <v>4955490</v>
      </c>
      <c r="G49" s="288">
        <v>4556781</v>
      </c>
      <c r="H49" s="288">
        <f>192464-1517</f>
        <v>190947</v>
      </c>
      <c r="I49" s="8">
        <v>0</v>
      </c>
      <c r="J49" s="8">
        <v>0</v>
      </c>
      <c r="K49" s="8">
        <v>0</v>
      </c>
      <c r="L49" s="8">
        <v>0</v>
      </c>
      <c r="M49" s="8">
        <v>0</v>
      </c>
      <c r="N49" s="8">
        <v>0</v>
      </c>
      <c r="O49" s="8">
        <v>0</v>
      </c>
      <c r="P49" s="313">
        <f t="shared" si="2"/>
        <v>4955490</v>
      </c>
    </row>
    <row r="50" spans="1:16" ht="21.75" customHeight="1" x14ac:dyDescent="0.25">
      <c r="A50" s="252" t="s">
        <v>57</v>
      </c>
      <c r="B50" s="243" t="s">
        <v>58</v>
      </c>
      <c r="C50" s="243" t="s">
        <v>56</v>
      </c>
      <c r="D50" s="181" t="s">
        <v>59</v>
      </c>
      <c r="E50" s="288">
        <f t="shared" si="11"/>
        <v>183122</v>
      </c>
      <c r="F50" s="288">
        <f>113122+70000</f>
        <v>183122</v>
      </c>
      <c r="G50" s="288">
        <f t="shared" ref="G50" si="12">H50+K50</f>
        <v>0</v>
      </c>
      <c r="H50" s="8">
        <v>0</v>
      </c>
      <c r="I50" s="8">
        <v>0</v>
      </c>
      <c r="J50" s="8">
        <v>0</v>
      </c>
      <c r="K50" s="8">
        <v>0</v>
      </c>
      <c r="L50" s="8">
        <v>0</v>
      </c>
      <c r="M50" s="8">
        <v>0</v>
      </c>
      <c r="N50" s="8">
        <v>0</v>
      </c>
      <c r="O50" s="8">
        <v>0</v>
      </c>
      <c r="P50" s="313">
        <f t="shared" si="2"/>
        <v>183122</v>
      </c>
    </row>
    <row r="51" spans="1:16" ht="47.25" x14ac:dyDescent="0.25">
      <c r="A51" s="252" t="s">
        <v>60</v>
      </c>
      <c r="B51" s="243" t="s">
        <v>61</v>
      </c>
      <c r="C51" s="243" t="s">
        <v>56</v>
      </c>
      <c r="D51" s="181" t="s">
        <v>62</v>
      </c>
      <c r="E51" s="288">
        <f t="shared" si="11"/>
        <v>1339469</v>
      </c>
      <c r="F51" s="288">
        <f>1237120+66612-6974+68228-25517</f>
        <v>1339469</v>
      </c>
      <c r="G51" s="288">
        <f>577332+127013+66612+68228</f>
        <v>839185</v>
      </c>
      <c r="H51" s="288">
        <f>310038-1517</f>
        <v>308521</v>
      </c>
      <c r="I51" s="8">
        <v>0</v>
      </c>
      <c r="J51" s="8">
        <v>0</v>
      </c>
      <c r="K51" s="8">
        <v>0</v>
      </c>
      <c r="L51" s="8">
        <v>0</v>
      </c>
      <c r="M51" s="8">
        <v>0</v>
      </c>
      <c r="N51" s="8">
        <v>0</v>
      </c>
      <c r="O51" s="8">
        <v>0</v>
      </c>
      <c r="P51" s="313">
        <f t="shared" si="2"/>
        <v>1339469</v>
      </c>
    </row>
    <row r="52" spans="1:16" ht="47.25" hidden="1" x14ac:dyDescent="0.25">
      <c r="A52" s="91" t="s">
        <v>306</v>
      </c>
      <c r="B52" s="334" t="s">
        <v>307</v>
      </c>
      <c r="C52" s="334" t="s">
        <v>56</v>
      </c>
      <c r="D52" s="31" t="s">
        <v>308</v>
      </c>
      <c r="E52" s="288">
        <f t="shared" si="11"/>
        <v>0</v>
      </c>
      <c r="F52" s="288">
        <f t="shared" ref="F52" si="13">G52+J52</f>
        <v>0</v>
      </c>
      <c r="G52" s="288">
        <f t="shared" ref="G52" si="14">H52+K52</f>
        <v>0</v>
      </c>
      <c r="H52" s="8">
        <v>0</v>
      </c>
      <c r="I52" s="8"/>
      <c r="J52" s="8"/>
      <c r="K52" s="8"/>
      <c r="L52" s="8"/>
      <c r="M52" s="8"/>
      <c r="N52" s="8"/>
      <c r="O52" s="8"/>
      <c r="P52" s="313">
        <f t="shared" si="2"/>
        <v>0</v>
      </c>
    </row>
    <row r="53" spans="1:16" ht="47.25" x14ac:dyDescent="0.25">
      <c r="A53" s="381" t="s">
        <v>306</v>
      </c>
      <c r="B53" s="556">
        <v>1152</v>
      </c>
      <c r="C53" s="557" t="s">
        <v>56</v>
      </c>
      <c r="D53" s="181" t="s">
        <v>308</v>
      </c>
      <c r="E53" s="288">
        <f t="shared" si="11"/>
        <v>1205950</v>
      </c>
      <c r="F53" s="288">
        <f>883100+322850</f>
        <v>1205950</v>
      </c>
      <c r="G53" s="288">
        <f>883100+322850</f>
        <v>1205950</v>
      </c>
      <c r="H53" s="8"/>
      <c r="I53" s="8"/>
      <c r="J53" s="8"/>
      <c r="K53" s="8"/>
      <c r="L53" s="8"/>
      <c r="M53" s="8"/>
      <c r="N53" s="8"/>
      <c r="O53" s="8"/>
      <c r="P53" s="313">
        <f t="shared" si="2"/>
        <v>1205950</v>
      </c>
    </row>
    <row r="54" spans="1:16" ht="47.25" x14ac:dyDescent="0.25">
      <c r="A54" s="252" t="s">
        <v>63</v>
      </c>
      <c r="B54" s="243" t="s">
        <v>64</v>
      </c>
      <c r="C54" s="243" t="s">
        <v>56</v>
      </c>
      <c r="D54" s="181" t="s">
        <v>65</v>
      </c>
      <c r="E54" s="288">
        <f t="shared" si="11"/>
        <v>1650496</v>
      </c>
      <c r="F54" s="288">
        <f>1523754+63837-651+63556</f>
        <v>1650496</v>
      </c>
      <c r="G54" s="288">
        <f>1356004+63837+63556</f>
        <v>1483397</v>
      </c>
      <c r="H54" s="288">
        <f>43895-651</f>
        <v>43244</v>
      </c>
      <c r="I54" s="8">
        <v>0</v>
      </c>
      <c r="J54" s="8">
        <v>0</v>
      </c>
      <c r="K54" s="8">
        <v>0</v>
      </c>
      <c r="L54" s="8">
        <v>0</v>
      </c>
      <c r="M54" s="8">
        <v>0</v>
      </c>
      <c r="N54" s="8">
        <v>0</v>
      </c>
      <c r="O54" s="8">
        <v>0</v>
      </c>
      <c r="P54" s="313">
        <f t="shared" si="2"/>
        <v>1650496</v>
      </c>
    </row>
    <row r="55" spans="1:16" ht="126" x14ac:dyDescent="0.25">
      <c r="A55" s="566" t="s">
        <v>431</v>
      </c>
      <c r="B55" s="557">
        <v>1183</v>
      </c>
      <c r="C55" s="557" t="s">
        <v>56</v>
      </c>
      <c r="D55" s="181" t="s">
        <v>433</v>
      </c>
      <c r="E55" s="288"/>
      <c r="F55" s="288"/>
      <c r="G55" s="288"/>
      <c r="H55" s="288"/>
      <c r="I55" s="8"/>
      <c r="J55" s="8">
        <v>579643</v>
      </c>
      <c r="K55" s="8">
        <v>579643</v>
      </c>
      <c r="L55" s="8"/>
      <c r="M55" s="8"/>
      <c r="N55" s="8"/>
      <c r="O55" s="8">
        <v>579643</v>
      </c>
      <c r="P55" s="313">
        <f t="shared" si="2"/>
        <v>579643</v>
      </c>
    </row>
    <row r="56" spans="1:16" ht="126" x14ac:dyDescent="0.25">
      <c r="A56" s="566" t="s">
        <v>432</v>
      </c>
      <c r="B56" s="557">
        <v>1184</v>
      </c>
      <c r="C56" s="557" t="s">
        <v>56</v>
      </c>
      <c r="D56" s="181" t="s">
        <v>434</v>
      </c>
      <c r="E56" s="288"/>
      <c r="F56" s="288"/>
      <c r="G56" s="288"/>
      <c r="H56" s="288"/>
      <c r="I56" s="8"/>
      <c r="J56" s="8">
        <v>1352500</v>
      </c>
      <c r="K56" s="8">
        <v>1352500</v>
      </c>
      <c r="L56" s="8"/>
      <c r="M56" s="8"/>
      <c r="N56" s="8"/>
      <c r="O56" s="8">
        <v>1352500</v>
      </c>
      <c r="P56" s="313">
        <f t="shared" si="2"/>
        <v>1352500</v>
      </c>
    </row>
    <row r="57" spans="1:16" ht="110.25" x14ac:dyDescent="0.25">
      <c r="A57" s="308" t="s">
        <v>422</v>
      </c>
      <c r="B57" s="557">
        <v>1200</v>
      </c>
      <c r="C57" s="557" t="s">
        <v>56</v>
      </c>
      <c r="D57" s="181" t="s">
        <v>423</v>
      </c>
      <c r="E57" s="288">
        <f>F57+I57</f>
        <v>480600</v>
      </c>
      <c r="F57" s="288">
        <v>480600</v>
      </c>
      <c r="G57" s="288">
        <v>480600</v>
      </c>
      <c r="H57" s="288"/>
      <c r="I57" s="8"/>
      <c r="J57" s="8"/>
      <c r="K57" s="8"/>
      <c r="L57" s="8"/>
      <c r="M57" s="8"/>
      <c r="N57" s="8"/>
      <c r="O57" s="8"/>
      <c r="P57" s="313">
        <f t="shared" si="2"/>
        <v>480600</v>
      </c>
    </row>
    <row r="58" spans="1:16" ht="189" x14ac:dyDescent="0.25">
      <c r="A58" s="566" t="s">
        <v>645</v>
      </c>
      <c r="B58" s="739">
        <v>1231</v>
      </c>
      <c r="C58" s="739" t="s">
        <v>56</v>
      </c>
      <c r="D58" s="181" t="s">
        <v>647</v>
      </c>
      <c r="E58" s="288">
        <f t="shared" ref="E58:E59" si="15">F58+I58</f>
        <v>1250000</v>
      </c>
      <c r="F58" s="288">
        <f>1001903+248097</f>
        <v>1250000</v>
      </c>
      <c r="G58" s="288"/>
      <c r="H58" s="288"/>
      <c r="I58" s="8"/>
      <c r="J58" s="8"/>
      <c r="K58" s="8"/>
      <c r="L58" s="8"/>
      <c r="M58" s="8"/>
      <c r="N58" s="8"/>
      <c r="O58" s="8"/>
      <c r="P58" s="313">
        <f t="shared" si="2"/>
        <v>1250000</v>
      </c>
    </row>
    <row r="59" spans="1:16" ht="173.25" x14ac:dyDescent="0.25">
      <c r="A59" s="566" t="s">
        <v>646</v>
      </c>
      <c r="B59" s="739">
        <v>1232</v>
      </c>
      <c r="C59" s="739" t="s">
        <v>56</v>
      </c>
      <c r="D59" s="181" t="s">
        <v>648</v>
      </c>
      <c r="E59" s="288">
        <f t="shared" si="15"/>
        <v>1250000</v>
      </c>
      <c r="F59" s="288">
        <f>1001903+248097</f>
        <v>1250000</v>
      </c>
      <c r="G59" s="288"/>
      <c r="H59" s="288"/>
      <c r="I59" s="8"/>
      <c r="J59" s="8"/>
      <c r="K59" s="8"/>
      <c r="L59" s="8"/>
      <c r="M59" s="8"/>
      <c r="N59" s="8"/>
      <c r="O59" s="8"/>
      <c r="P59" s="313">
        <f t="shared" si="2"/>
        <v>1250000</v>
      </c>
    </row>
    <row r="60" spans="1:16" ht="94.5" x14ac:dyDescent="0.25">
      <c r="A60" s="309" t="s">
        <v>325</v>
      </c>
      <c r="B60" s="694">
        <v>3140</v>
      </c>
      <c r="C60" s="694">
        <v>1040</v>
      </c>
      <c r="D60" s="181" t="s">
        <v>326</v>
      </c>
      <c r="E60" s="288">
        <f t="shared" si="11"/>
        <v>1078000</v>
      </c>
      <c r="F60" s="288">
        <f>1001000+77000</f>
        <v>1078000</v>
      </c>
      <c r="G60" s="288">
        <f>357956+34926+7684</f>
        <v>400566</v>
      </c>
      <c r="H60" s="288">
        <f>10603+1585+1253</f>
        <v>13441</v>
      </c>
      <c r="I60" s="8"/>
      <c r="J60" s="8"/>
      <c r="K60" s="8"/>
      <c r="L60" s="8"/>
      <c r="M60" s="8"/>
      <c r="N60" s="8"/>
      <c r="O60" s="8"/>
      <c r="P60" s="313">
        <f t="shared" si="2"/>
        <v>1078000</v>
      </c>
    </row>
    <row r="61" spans="1:16" ht="48" thickBot="1" x14ac:dyDescent="0.3">
      <c r="A61" s="385" t="s">
        <v>624</v>
      </c>
      <c r="B61" s="16">
        <v>9750</v>
      </c>
      <c r="C61" s="386" t="s">
        <v>274</v>
      </c>
      <c r="D61" s="549" t="s">
        <v>625</v>
      </c>
      <c r="E61" s="288">
        <f t="shared" si="11"/>
        <v>0</v>
      </c>
      <c r="F61" s="383"/>
      <c r="G61" s="383"/>
      <c r="H61" s="383"/>
      <c r="I61" s="384"/>
      <c r="J61" s="384">
        <f>L61+O61</f>
        <v>2000000</v>
      </c>
      <c r="K61" s="384">
        <v>2000000</v>
      </c>
      <c r="L61" s="384"/>
      <c r="M61" s="384"/>
      <c r="N61" s="384"/>
      <c r="O61" s="384">
        <v>2000000</v>
      </c>
      <c r="P61" s="717">
        <f>E61+J61</f>
        <v>2000000</v>
      </c>
    </row>
    <row r="62" spans="1:16" ht="48" thickBot="1" x14ac:dyDescent="0.3">
      <c r="A62" s="280" t="s">
        <v>67</v>
      </c>
      <c r="B62" s="281" t="s">
        <v>16</v>
      </c>
      <c r="C62" s="281" t="s">
        <v>16</v>
      </c>
      <c r="D62" s="283" t="s">
        <v>358</v>
      </c>
      <c r="E62" s="310">
        <f>E63</f>
        <v>65803846</v>
      </c>
      <c r="F62" s="310">
        <f>F63</f>
        <v>65803846</v>
      </c>
      <c r="G62" s="310">
        <f t="shared" ref="G62:I62" si="16">G63</f>
        <v>18285905</v>
      </c>
      <c r="H62" s="310">
        <f t="shared" si="16"/>
        <v>394144</v>
      </c>
      <c r="I62" s="310">
        <f t="shared" si="16"/>
        <v>0</v>
      </c>
      <c r="J62" s="310">
        <f>J63</f>
        <v>407800</v>
      </c>
      <c r="K62" s="310">
        <f>K63</f>
        <v>392800</v>
      </c>
      <c r="L62" s="310">
        <f t="shared" ref="L62:O62" si="17">L63</f>
        <v>15000</v>
      </c>
      <c r="M62" s="310">
        <f t="shared" si="17"/>
        <v>0</v>
      </c>
      <c r="N62" s="310">
        <f t="shared" si="17"/>
        <v>0</v>
      </c>
      <c r="O62" s="310">
        <f t="shared" si="17"/>
        <v>392800</v>
      </c>
      <c r="P62" s="311">
        <f>E62+J62</f>
        <v>66211646</v>
      </c>
    </row>
    <row r="63" spans="1:16" ht="47.25" x14ac:dyDescent="0.25">
      <c r="A63" s="302" t="s">
        <v>68</v>
      </c>
      <c r="B63" s="303" t="s">
        <v>16</v>
      </c>
      <c r="C63" s="303" t="s">
        <v>16</v>
      </c>
      <c r="D63" s="304" t="s">
        <v>358</v>
      </c>
      <c r="E63" s="291">
        <f>E64+E65+E68+E71+E74+E75+E69+E70+E72+E67+E66+E73+E76</f>
        <v>65803846</v>
      </c>
      <c r="F63" s="290">
        <f>F64+F65+F68+F71+F74+F75+F69+F70+F72+F67+F66+F73+F76</f>
        <v>65803846</v>
      </c>
      <c r="G63" s="290">
        <f>G64+G65+G68+G71+G74+G75+G69+G70+G72+G73</f>
        <v>18285905</v>
      </c>
      <c r="H63" s="290">
        <f t="shared" ref="H63" si="18">H64+H65+H68+H71+H74+H75+H69+H70+H72</f>
        <v>394144</v>
      </c>
      <c r="I63" s="290">
        <f t="shared" ref="I63:O63" si="19">I64+I65+I68+I71+I74+I75</f>
        <v>0</v>
      </c>
      <c r="J63" s="291">
        <f t="shared" si="19"/>
        <v>407800</v>
      </c>
      <c r="K63" s="290">
        <f t="shared" si="19"/>
        <v>392800</v>
      </c>
      <c r="L63" s="290">
        <f t="shared" si="19"/>
        <v>15000</v>
      </c>
      <c r="M63" s="290">
        <f t="shared" si="19"/>
        <v>0</v>
      </c>
      <c r="N63" s="290">
        <f t="shared" si="19"/>
        <v>0</v>
      </c>
      <c r="O63" s="290">
        <f t="shared" si="19"/>
        <v>392800</v>
      </c>
      <c r="P63" s="312">
        <f>E63+J63</f>
        <v>66211646</v>
      </c>
    </row>
    <row r="64" spans="1:16" ht="47.25" x14ac:dyDescent="0.25">
      <c r="A64" s="252" t="s">
        <v>237</v>
      </c>
      <c r="B64" s="243" t="s">
        <v>43</v>
      </c>
      <c r="C64" s="243" t="s">
        <v>18</v>
      </c>
      <c r="D64" s="181" t="s">
        <v>231</v>
      </c>
      <c r="E64" s="288">
        <f>F64+I64</f>
        <v>9573438</v>
      </c>
      <c r="F64" s="288">
        <v>9573438</v>
      </c>
      <c r="G64" s="288">
        <v>9042650</v>
      </c>
      <c r="H64" s="288">
        <v>199920</v>
      </c>
      <c r="I64" s="8">
        <v>0</v>
      </c>
      <c r="J64" s="8">
        <f>L64+O64</f>
        <v>0</v>
      </c>
      <c r="K64" s="8"/>
      <c r="L64" s="8">
        <v>0</v>
      </c>
      <c r="M64" s="8">
        <v>0</v>
      </c>
      <c r="N64" s="8">
        <v>0</v>
      </c>
      <c r="O64" s="8"/>
      <c r="P64" s="313">
        <f>E64+J64</f>
        <v>9573438</v>
      </c>
    </row>
    <row r="65" spans="1:16" ht="31.5" x14ac:dyDescent="0.25">
      <c r="A65" s="252" t="s">
        <v>70</v>
      </c>
      <c r="B65" s="243" t="s">
        <v>71</v>
      </c>
      <c r="C65" s="243" t="s">
        <v>53</v>
      </c>
      <c r="D65" s="181" t="s">
        <v>72</v>
      </c>
      <c r="E65" s="288">
        <f t="shared" ref="E65:G76" si="20">F65+I65</f>
        <v>3619</v>
      </c>
      <c r="F65" s="288">
        <f>9420-5801</f>
        <v>3619</v>
      </c>
      <c r="G65" s="288">
        <f t="shared" si="20"/>
        <v>0</v>
      </c>
      <c r="H65" s="288">
        <v>0</v>
      </c>
      <c r="I65" s="8">
        <v>0</v>
      </c>
      <c r="J65" s="8">
        <f t="shared" ref="J65:J74" si="21">L65+O65</f>
        <v>0</v>
      </c>
      <c r="K65" s="8">
        <v>0</v>
      </c>
      <c r="L65" s="8">
        <v>0</v>
      </c>
      <c r="M65" s="8">
        <v>0</v>
      </c>
      <c r="N65" s="8">
        <v>0</v>
      </c>
      <c r="O65" s="8">
        <v>0</v>
      </c>
      <c r="P65" s="313">
        <f t="shared" ref="P65:P140" si="22">E65+J65</f>
        <v>3619</v>
      </c>
    </row>
    <row r="66" spans="1:16" ht="47.25" x14ac:dyDescent="0.25">
      <c r="A66" s="381" t="s">
        <v>309</v>
      </c>
      <c r="B66" s="257" t="s">
        <v>310</v>
      </c>
      <c r="C66" s="334" t="s">
        <v>53</v>
      </c>
      <c r="D66" s="31" t="s">
        <v>311</v>
      </c>
      <c r="E66" s="288">
        <f t="shared" si="20"/>
        <v>57773</v>
      </c>
      <c r="F66" s="288">
        <v>57773</v>
      </c>
      <c r="G66" s="288"/>
      <c r="H66" s="288"/>
      <c r="I66" s="8"/>
      <c r="J66" s="8"/>
      <c r="K66" s="8"/>
      <c r="L66" s="8"/>
      <c r="M66" s="8"/>
      <c r="N66" s="8"/>
      <c r="O66" s="8"/>
      <c r="P66" s="313">
        <f t="shared" si="22"/>
        <v>57773</v>
      </c>
    </row>
    <row r="67" spans="1:16" ht="47.25" x14ac:dyDescent="0.25">
      <c r="A67" s="309" t="s">
        <v>312</v>
      </c>
      <c r="B67" s="243">
        <v>3090</v>
      </c>
      <c r="C67" s="257" t="s">
        <v>69</v>
      </c>
      <c r="D67" s="258" t="s">
        <v>314</v>
      </c>
      <c r="E67" s="288">
        <f t="shared" si="20"/>
        <v>164690</v>
      </c>
      <c r="F67" s="288">
        <v>164690</v>
      </c>
      <c r="G67" s="288"/>
      <c r="H67" s="288"/>
      <c r="I67" s="8"/>
      <c r="J67" s="8"/>
      <c r="K67" s="8"/>
      <c r="L67" s="8"/>
      <c r="M67" s="8"/>
      <c r="N67" s="8"/>
      <c r="O67" s="8"/>
      <c r="P67" s="313">
        <f t="shared" si="22"/>
        <v>164690</v>
      </c>
    </row>
    <row r="68" spans="1:16" ht="31.5" x14ac:dyDescent="0.25">
      <c r="A68" s="252" t="s">
        <v>238</v>
      </c>
      <c r="B68" s="243" t="s">
        <v>239</v>
      </c>
      <c r="C68" s="243" t="s">
        <v>45</v>
      </c>
      <c r="D68" s="181" t="s">
        <v>240</v>
      </c>
      <c r="E68" s="288">
        <f t="shared" si="20"/>
        <v>4149706</v>
      </c>
      <c r="F68" s="288">
        <f>4115506+34200</f>
        <v>4149706</v>
      </c>
      <c r="G68" s="288">
        <f>3137173+690178</f>
        <v>3827351</v>
      </c>
      <c r="H68" s="288">
        <f>41629+5700+41082+3839</f>
        <v>92250</v>
      </c>
      <c r="I68" s="8">
        <v>0</v>
      </c>
      <c r="J68" s="8">
        <f t="shared" si="21"/>
        <v>312000</v>
      </c>
      <c r="K68" s="8">
        <f>58000+254000</f>
        <v>312000</v>
      </c>
      <c r="L68" s="8">
        <v>0</v>
      </c>
      <c r="M68" s="8">
        <v>0</v>
      </c>
      <c r="N68" s="8">
        <v>0</v>
      </c>
      <c r="O68" s="8">
        <f>58000+254000</f>
        <v>312000</v>
      </c>
      <c r="P68" s="313">
        <f t="shared" si="22"/>
        <v>4461706</v>
      </c>
    </row>
    <row r="69" spans="1:16" ht="47.25" hidden="1" x14ac:dyDescent="0.25">
      <c r="A69" s="381" t="s">
        <v>309</v>
      </c>
      <c r="B69" s="257" t="s">
        <v>310</v>
      </c>
      <c r="C69" s="334" t="s">
        <v>53</v>
      </c>
      <c r="D69" s="31" t="s">
        <v>311</v>
      </c>
      <c r="E69" s="288">
        <f t="shared" si="20"/>
        <v>0</v>
      </c>
      <c r="F69" s="288"/>
      <c r="G69" s="288"/>
      <c r="H69" s="288"/>
      <c r="I69" s="8"/>
      <c r="J69" s="8"/>
      <c r="K69" s="8"/>
      <c r="L69" s="8"/>
      <c r="M69" s="8"/>
      <c r="N69" s="8"/>
      <c r="O69" s="8"/>
      <c r="P69" s="313">
        <f t="shared" si="22"/>
        <v>0</v>
      </c>
    </row>
    <row r="70" spans="1:16" ht="47.25" hidden="1" x14ac:dyDescent="0.25">
      <c r="A70" s="381" t="s">
        <v>312</v>
      </c>
      <c r="B70" s="257" t="s">
        <v>313</v>
      </c>
      <c r="C70" s="257" t="s">
        <v>69</v>
      </c>
      <c r="D70" s="258" t="s">
        <v>314</v>
      </c>
      <c r="E70" s="288">
        <f t="shared" si="20"/>
        <v>0</v>
      </c>
      <c r="F70" s="288"/>
      <c r="G70" s="288"/>
      <c r="H70" s="288"/>
      <c r="I70" s="8"/>
      <c r="J70" s="8"/>
      <c r="K70" s="8"/>
      <c r="L70" s="8"/>
      <c r="M70" s="8"/>
      <c r="N70" s="8"/>
      <c r="O70" s="8"/>
      <c r="P70" s="313">
        <f t="shared" si="22"/>
        <v>0</v>
      </c>
    </row>
    <row r="71" spans="1:16" ht="110.25" x14ac:dyDescent="0.25">
      <c r="A71" s="252" t="s">
        <v>241</v>
      </c>
      <c r="B71" s="243" t="s">
        <v>242</v>
      </c>
      <c r="C71" s="243" t="s">
        <v>45</v>
      </c>
      <c r="D71" s="181" t="s">
        <v>243</v>
      </c>
      <c r="E71" s="288">
        <f t="shared" si="20"/>
        <v>175835</v>
      </c>
      <c r="F71" s="288">
        <f>155034+20801</f>
        <v>175835</v>
      </c>
      <c r="G71" s="288">
        <v>0</v>
      </c>
      <c r="H71" s="288">
        <v>0</v>
      </c>
      <c r="I71" s="8">
        <v>0</v>
      </c>
      <c r="J71" s="8">
        <f t="shared" si="21"/>
        <v>0</v>
      </c>
      <c r="K71" s="8">
        <v>0</v>
      </c>
      <c r="L71" s="8">
        <v>0</v>
      </c>
      <c r="M71" s="8">
        <v>0</v>
      </c>
      <c r="N71" s="8">
        <v>0</v>
      </c>
      <c r="O71" s="8">
        <v>0</v>
      </c>
      <c r="P71" s="313">
        <f t="shared" si="22"/>
        <v>175835</v>
      </c>
    </row>
    <row r="72" spans="1:16" ht="78.75" x14ac:dyDescent="0.25">
      <c r="A72" s="381" t="s">
        <v>315</v>
      </c>
      <c r="B72" s="257" t="s">
        <v>316</v>
      </c>
      <c r="C72" s="257" t="s">
        <v>45</v>
      </c>
      <c r="D72" s="382" t="s">
        <v>317</v>
      </c>
      <c r="E72" s="288">
        <f t="shared" si="20"/>
        <v>17623</v>
      </c>
      <c r="F72" s="288">
        <v>17623</v>
      </c>
      <c r="G72" s="288"/>
      <c r="H72" s="288"/>
      <c r="I72" s="8"/>
      <c r="J72" s="8"/>
      <c r="K72" s="8"/>
      <c r="L72" s="8"/>
      <c r="M72" s="8"/>
      <c r="N72" s="8"/>
      <c r="O72" s="8"/>
      <c r="P72" s="313">
        <f t="shared" si="22"/>
        <v>17623</v>
      </c>
    </row>
    <row r="73" spans="1:16" ht="94.5" x14ac:dyDescent="0.25">
      <c r="A73" s="381" t="s">
        <v>426</v>
      </c>
      <c r="B73" s="257" t="s">
        <v>427</v>
      </c>
      <c r="C73" s="257" t="s">
        <v>69</v>
      </c>
      <c r="D73" s="382" t="s">
        <v>428</v>
      </c>
      <c r="E73" s="288">
        <f t="shared" si="20"/>
        <v>339588</v>
      </c>
      <c r="F73" s="288">
        <v>339588</v>
      </c>
      <c r="G73" s="288">
        <v>339588</v>
      </c>
      <c r="H73" s="288"/>
      <c r="I73" s="8"/>
      <c r="J73" s="8"/>
      <c r="K73" s="8"/>
      <c r="L73" s="8"/>
      <c r="M73" s="8"/>
      <c r="N73" s="8"/>
      <c r="O73" s="8"/>
      <c r="P73" s="313">
        <f t="shared" si="22"/>
        <v>339588</v>
      </c>
    </row>
    <row r="74" spans="1:16" ht="63" x14ac:dyDescent="0.25">
      <c r="A74" s="252" t="s">
        <v>244</v>
      </c>
      <c r="B74" s="243" t="s">
        <v>245</v>
      </c>
      <c r="C74" s="243" t="s">
        <v>73</v>
      </c>
      <c r="D74" s="181" t="s">
        <v>409</v>
      </c>
      <c r="E74" s="288">
        <f t="shared" si="20"/>
        <v>5550149</v>
      </c>
      <c r="F74" s="288">
        <f>5617762-67613</f>
        <v>5550149</v>
      </c>
      <c r="G74" s="288">
        <f>5281705-164756-40633</f>
        <v>5076316</v>
      </c>
      <c r="H74" s="288">
        <v>101974</v>
      </c>
      <c r="I74" s="8">
        <v>0</v>
      </c>
      <c r="J74" s="8">
        <f t="shared" si="21"/>
        <v>95800</v>
      </c>
      <c r="K74" s="8">
        <f>34800+46000</f>
        <v>80800</v>
      </c>
      <c r="L74" s="8">
        <v>15000</v>
      </c>
      <c r="M74" s="8">
        <v>0</v>
      </c>
      <c r="N74" s="8">
        <v>0</v>
      </c>
      <c r="O74" s="8">
        <f>34800+46000</f>
        <v>80800</v>
      </c>
      <c r="P74" s="313">
        <f>E74+J74</f>
        <v>5645949</v>
      </c>
    </row>
    <row r="75" spans="1:16" ht="39" customHeight="1" x14ac:dyDescent="0.25">
      <c r="A75" s="666" t="s">
        <v>74</v>
      </c>
      <c r="B75" s="666" t="s">
        <v>75</v>
      </c>
      <c r="C75" s="666" t="s">
        <v>73</v>
      </c>
      <c r="D75" s="181" t="s">
        <v>76</v>
      </c>
      <c r="E75" s="288">
        <f t="shared" si="20"/>
        <v>45750062</v>
      </c>
      <c r="F75" s="288">
        <f>29169400-500000+17383862-638200+335000-15543600+15543600</f>
        <v>45750062</v>
      </c>
      <c r="G75" s="288">
        <v>0</v>
      </c>
      <c r="H75" s="288">
        <v>0</v>
      </c>
      <c r="I75" s="8">
        <v>0</v>
      </c>
      <c r="J75" s="8">
        <f>L75+O75</f>
        <v>0</v>
      </c>
      <c r="K75" s="8">
        <v>0</v>
      </c>
      <c r="L75" s="8">
        <v>0</v>
      </c>
      <c r="M75" s="8">
        <v>0</v>
      </c>
      <c r="N75" s="8">
        <v>0</v>
      </c>
      <c r="O75" s="8">
        <v>0</v>
      </c>
      <c r="P75" s="288">
        <f t="shared" si="22"/>
        <v>45750062</v>
      </c>
    </row>
    <row r="76" spans="1:16" ht="38.450000000000003" customHeight="1" thickBot="1" x14ac:dyDescent="0.3">
      <c r="A76" s="673" t="s">
        <v>511</v>
      </c>
      <c r="B76" s="669">
        <v>9770</v>
      </c>
      <c r="C76" s="674" t="s">
        <v>274</v>
      </c>
      <c r="D76" s="670" t="s">
        <v>412</v>
      </c>
      <c r="E76" s="288">
        <f t="shared" si="20"/>
        <v>21363</v>
      </c>
      <c r="F76" s="671">
        <f>0+21363</f>
        <v>21363</v>
      </c>
      <c r="G76" s="671"/>
      <c r="H76" s="671"/>
      <c r="I76" s="672"/>
      <c r="J76" s="672"/>
      <c r="K76" s="672"/>
      <c r="L76" s="672"/>
      <c r="M76" s="672"/>
      <c r="N76" s="672"/>
      <c r="O76" s="672"/>
      <c r="P76" s="288">
        <f t="shared" si="22"/>
        <v>21363</v>
      </c>
    </row>
    <row r="77" spans="1:16" ht="45.75" customHeight="1" thickBot="1" x14ac:dyDescent="0.3">
      <c r="A77" s="280" t="s">
        <v>77</v>
      </c>
      <c r="B77" s="281" t="s">
        <v>16</v>
      </c>
      <c r="C77" s="281" t="s">
        <v>16</v>
      </c>
      <c r="D77" s="283" t="s">
        <v>503</v>
      </c>
      <c r="E77" s="310">
        <f>E78</f>
        <v>2308465</v>
      </c>
      <c r="F77" s="310">
        <f>F78</f>
        <v>2308465</v>
      </c>
      <c r="G77" s="310">
        <f t="shared" ref="G77:I77" si="23">G78</f>
        <v>2149017</v>
      </c>
      <c r="H77" s="310">
        <f t="shared" si="23"/>
        <v>0</v>
      </c>
      <c r="I77" s="310">
        <f t="shared" si="23"/>
        <v>0</v>
      </c>
      <c r="J77" s="310">
        <f>J78</f>
        <v>23000</v>
      </c>
      <c r="K77" s="310">
        <f>K78</f>
        <v>23000</v>
      </c>
      <c r="L77" s="310">
        <f t="shared" ref="L77:O77" si="24">L78</f>
        <v>0</v>
      </c>
      <c r="M77" s="310">
        <f t="shared" si="24"/>
        <v>0</v>
      </c>
      <c r="N77" s="310">
        <f t="shared" si="24"/>
        <v>0</v>
      </c>
      <c r="O77" s="310">
        <f t="shared" si="24"/>
        <v>23000</v>
      </c>
      <c r="P77" s="311">
        <f t="shared" si="22"/>
        <v>2331465</v>
      </c>
    </row>
    <row r="78" spans="1:16" ht="47.25" x14ac:dyDescent="0.25">
      <c r="A78" s="302" t="s">
        <v>79</v>
      </c>
      <c r="B78" s="303" t="s">
        <v>16</v>
      </c>
      <c r="C78" s="303" t="s">
        <v>16</v>
      </c>
      <c r="D78" s="304" t="s">
        <v>78</v>
      </c>
      <c r="E78" s="290">
        <f>E79+E80</f>
        <v>2308465</v>
      </c>
      <c r="F78" s="290">
        <f>F79+F80</f>
        <v>2308465</v>
      </c>
      <c r="G78" s="290">
        <f t="shared" ref="G78:I78" si="25">G79+G80</f>
        <v>2149017</v>
      </c>
      <c r="H78" s="290">
        <f t="shared" si="25"/>
        <v>0</v>
      </c>
      <c r="I78" s="290">
        <f t="shared" si="25"/>
        <v>0</v>
      </c>
      <c r="J78" s="290">
        <f>J79+J80</f>
        <v>23000</v>
      </c>
      <c r="K78" s="290">
        <f>K79+K80</f>
        <v>23000</v>
      </c>
      <c r="L78" s="290">
        <f t="shared" ref="L78:O78" si="26">L79+L80</f>
        <v>0</v>
      </c>
      <c r="M78" s="290">
        <f t="shared" si="26"/>
        <v>0</v>
      </c>
      <c r="N78" s="290">
        <f t="shared" si="26"/>
        <v>0</v>
      </c>
      <c r="O78" s="290">
        <f t="shared" si="26"/>
        <v>23000</v>
      </c>
      <c r="P78" s="312">
        <f t="shared" si="22"/>
        <v>2331465</v>
      </c>
    </row>
    <row r="79" spans="1:16" ht="47.25" x14ac:dyDescent="0.25">
      <c r="A79" s="252" t="s">
        <v>246</v>
      </c>
      <c r="B79" s="243" t="s">
        <v>43</v>
      </c>
      <c r="C79" s="243" t="s">
        <v>18</v>
      </c>
      <c r="D79" s="181" t="s">
        <v>231</v>
      </c>
      <c r="E79" s="288">
        <f>F79+I79</f>
        <v>2213465</v>
      </c>
      <c r="F79" s="288">
        <v>2213465</v>
      </c>
      <c r="G79" s="288">
        <v>2149017</v>
      </c>
      <c r="H79" s="288">
        <v>0</v>
      </c>
      <c r="I79" s="8">
        <v>0</v>
      </c>
      <c r="J79" s="8">
        <f>L79+O79</f>
        <v>23000</v>
      </c>
      <c r="K79" s="8">
        <v>23000</v>
      </c>
      <c r="L79" s="8">
        <v>0</v>
      </c>
      <c r="M79" s="8">
        <v>0</v>
      </c>
      <c r="N79" s="8">
        <v>0</v>
      </c>
      <c r="O79" s="8">
        <v>23000</v>
      </c>
      <c r="P79" s="313">
        <f t="shared" si="22"/>
        <v>2236465</v>
      </c>
    </row>
    <row r="80" spans="1:16" ht="32.25" thickBot="1" x14ac:dyDescent="0.3">
      <c r="A80" s="285" t="s">
        <v>80</v>
      </c>
      <c r="B80" s="286" t="s">
        <v>81</v>
      </c>
      <c r="C80" s="286" t="s">
        <v>66</v>
      </c>
      <c r="D80" s="279" t="s">
        <v>82</v>
      </c>
      <c r="E80" s="288">
        <f>F80+I80</f>
        <v>95000</v>
      </c>
      <c r="F80" s="289">
        <f>34000+61000</f>
        <v>95000</v>
      </c>
      <c r="G80" s="289">
        <v>0</v>
      </c>
      <c r="H80" s="289">
        <v>0</v>
      </c>
      <c r="I80" s="35">
        <v>0</v>
      </c>
      <c r="J80" s="35">
        <f>L80+O80</f>
        <v>0</v>
      </c>
      <c r="K80" s="35">
        <v>0</v>
      </c>
      <c r="L80" s="35">
        <v>0</v>
      </c>
      <c r="M80" s="35">
        <v>0</v>
      </c>
      <c r="N80" s="35">
        <v>0</v>
      </c>
      <c r="O80" s="35">
        <v>0</v>
      </c>
      <c r="P80" s="314">
        <f t="shared" si="22"/>
        <v>95000</v>
      </c>
    </row>
    <row r="81" spans="1:16" s="240" customFormat="1" ht="64.5" customHeight="1" thickBot="1" x14ac:dyDescent="0.3">
      <c r="A81" s="280" t="s">
        <v>83</v>
      </c>
      <c r="B81" s="281" t="s">
        <v>16</v>
      </c>
      <c r="C81" s="281" t="s">
        <v>16</v>
      </c>
      <c r="D81" s="283" t="s">
        <v>512</v>
      </c>
      <c r="E81" s="310">
        <f>E82</f>
        <v>104444752</v>
      </c>
      <c r="F81" s="310">
        <f>F82</f>
        <v>104444752</v>
      </c>
      <c r="G81" s="310">
        <f t="shared" ref="G81:I81" si="27">G82</f>
        <v>51250531</v>
      </c>
      <c r="H81" s="310">
        <f t="shared" si="27"/>
        <v>6593054</v>
      </c>
      <c r="I81" s="310">
        <f t="shared" si="27"/>
        <v>0</v>
      </c>
      <c r="J81" s="310">
        <f>J82</f>
        <v>1025427</v>
      </c>
      <c r="K81" s="310">
        <f>K82</f>
        <v>66262</v>
      </c>
      <c r="L81" s="310">
        <f t="shared" ref="L81:O81" si="28">L82</f>
        <v>959165</v>
      </c>
      <c r="M81" s="310">
        <f t="shared" si="28"/>
        <v>799155</v>
      </c>
      <c r="N81" s="310">
        <f t="shared" si="28"/>
        <v>0</v>
      </c>
      <c r="O81" s="310">
        <f t="shared" si="28"/>
        <v>66262</v>
      </c>
      <c r="P81" s="311">
        <f t="shared" si="22"/>
        <v>105470179</v>
      </c>
    </row>
    <row r="82" spans="1:16" s="239" customFormat="1" ht="63" x14ac:dyDescent="0.25">
      <c r="A82" s="302" t="s">
        <v>85</v>
      </c>
      <c r="B82" s="303" t="s">
        <v>16</v>
      </c>
      <c r="C82" s="303" t="s">
        <v>16</v>
      </c>
      <c r="D82" s="304" t="s">
        <v>84</v>
      </c>
      <c r="E82" s="290">
        <f>E83+E84+E85+E86+E87+E88+E89+E90+E91+E92+E93+E94+E95+E96</f>
        <v>104444752</v>
      </c>
      <c r="F82" s="290">
        <f>F83+F84+F85+F86+F87+F88+F89+F90+F91+F92+F93+F94+F95+F96</f>
        <v>104444752</v>
      </c>
      <c r="G82" s="290">
        <f>G83+G84+G85+G86+G87+G88+G89+G90+G91+G92+G93+G94+G95+G96</f>
        <v>51250531</v>
      </c>
      <c r="H82" s="290">
        <f t="shared" ref="H82:P82" si="29">H83+H84+H85+H86+H87+H88+H89+H90+H91+H92+H93+H95+H96</f>
        <v>6593054</v>
      </c>
      <c r="I82" s="290">
        <f t="shared" si="29"/>
        <v>0</v>
      </c>
      <c r="J82" s="290">
        <f t="shared" si="29"/>
        <v>1025427</v>
      </c>
      <c r="K82" s="290">
        <f t="shared" si="29"/>
        <v>66262</v>
      </c>
      <c r="L82" s="290">
        <f t="shared" si="29"/>
        <v>959165</v>
      </c>
      <c r="M82" s="290">
        <f t="shared" si="29"/>
        <v>799155</v>
      </c>
      <c r="N82" s="290">
        <f t="shared" si="29"/>
        <v>0</v>
      </c>
      <c r="O82" s="290">
        <f t="shared" si="29"/>
        <v>66262</v>
      </c>
      <c r="P82" s="290">
        <f t="shared" si="29"/>
        <v>105364771</v>
      </c>
    </row>
    <row r="83" spans="1:16" ht="52.5" customHeight="1" x14ac:dyDescent="0.25">
      <c r="A83" s="252" t="s">
        <v>247</v>
      </c>
      <c r="B83" s="243" t="s">
        <v>43</v>
      </c>
      <c r="C83" s="243" t="s">
        <v>18</v>
      </c>
      <c r="D83" s="181" t="s">
        <v>231</v>
      </c>
      <c r="E83" s="288">
        <f>F83+I83</f>
        <v>3201039</v>
      </c>
      <c r="F83" s="288">
        <f>3363039-162000</f>
        <v>3201039</v>
      </c>
      <c r="G83" s="288">
        <f>3283148-162000</f>
        <v>3121148</v>
      </c>
      <c r="H83" s="288">
        <v>0</v>
      </c>
      <c r="I83" s="8">
        <v>0</v>
      </c>
      <c r="J83" s="8">
        <f>L83+O83</f>
        <v>0</v>
      </c>
      <c r="K83" s="8">
        <v>0</v>
      </c>
      <c r="L83" s="8">
        <v>0</v>
      </c>
      <c r="M83" s="8">
        <v>0</v>
      </c>
      <c r="N83" s="8">
        <v>0</v>
      </c>
      <c r="O83" s="8">
        <v>0</v>
      </c>
      <c r="P83" s="313">
        <f t="shared" si="22"/>
        <v>3201039</v>
      </c>
    </row>
    <row r="84" spans="1:16" ht="31.5" x14ac:dyDescent="0.25">
      <c r="A84" s="252" t="s">
        <v>86</v>
      </c>
      <c r="B84" s="243" t="s">
        <v>87</v>
      </c>
      <c r="C84" s="243" t="s">
        <v>54</v>
      </c>
      <c r="D84" s="181" t="s">
        <v>88</v>
      </c>
      <c r="E84" s="288">
        <f t="shared" ref="E84:E96" si="30">F84+I84</f>
        <v>14478015</v>
      </c>
      <c r="F84" s="288">
        <f>14162935+516380-201300</f>
        <v>14478015</v>
      </c>
      <c r="G84" s="288">
        <f>13456202+516380-165000-36300</f>
        <v>13771282</v>
      </c>
      <c r="H84" s="288">
        <v>447307</v>
      </c>
      <c r="I84" s="8">
        <v>0</v>
      </c>
      <c r="J84" s="8">
        <f t="shared" ref="J84:J96" si="31">L84+O84</f>
        <v>799155</v>
      </c>
      <c r="K84" s="8">
        <f>O84</f>
        <v>0</v>
      </c>
      <c r="L84" s="8">
        <v>799155</v>
      </c>
      <c r="M84" s="8">
        <v>799155</v>
      </c>
      <c r="N84" s="8">
        <v>0</v>
      </c>
      <c r="O84" s="8"/>
      <c r="P84" s="313">
        <f t="shared" si="22"/>
        <v>15277170</v>
      </c>
    </row>
    <row r="85" spans="1:16" ht="63" x14ac:dyDescent="0.25">
      <c r="A85" s="252" t="s">
        <v>89</v>
      </c>
      <c r="B85" s="243" t="s">
        <v>90</v>
      </c>
      <c r="C85" s="243" t="s">
        <v>66</v>
      </c>
      <c r="D85" s="181" t="s">
        <v>408</v>
      </c>
      <c r="E85" s="288">
        <f t="shared" si="30"/>
        <v>340763</v>
      </c>
      <c r="F85" s="288">
        <v>340763</v>
      </c>
      <c r="G85" s="288">
        <v>0</v>
      </c>
      <c r="H85" s="288">
        <v>0</v>
      </c>
      <c r="I85" s="8">
        <v>0</v>
      </c>
      <c r="J85" s="8">
        <f t="shared" si="31"/>
        <v>0</v>
      </c>
      <c r="K85" s="8">
        <v>0</v>
      </c>
      <c r="L85" s="8">
        <v>0</v>
      </c>
      <c r="M85" s="8">
        <v>0</v>
      </c>
      <c r="N85" s="8">
        <v>0</v>
      </c>
      <c r="O85" s="8">
        <v>0</v>
      </c>
      <c r="P85" s="313">
        <f t="shared" si="22"/>
        <v>340763</v>
      </c>
    </row>
    <row r="86" spans="1:16" ht="21.75" customHeight="1" x14ac:dyDescent="0.25">
      <c r="A86" s="252" t="s">
        <v>92</v>
      </c>
      <c r="B86" s="243" t="s">
        <v>93</v>
      </c>
      <c r="C86" s="243" t="s">
        <v>94</v>
      </c>
      <c r="D86" s="181" t="s">
        <v>95</v>
      </c>
      <c r="E86" s="288">
        <f t="shared" si="30"/>
        <v>4461683</v>
      </c>
      <c r="F86" s="288">
        <f>4600183-138500</f>
        <v>4461683</v>
      </c>
      <c r="G86" s="288">
        <f>4087113-138500</f>
        <v>3948613</v>
      </c>
      <c r="H86" s="288">
        <v>311360</v>
      </c>
      <c r="I86" s="8">
        <v>0</v>
      </c>
      <c r="J86" s="8">
        <f t="shared" si="31"/>
        <v>43262</v>
      </c>
      <c r="K86" s="8">
        <f t="shared" ref="K86:K87" si="32">O86</f>
        <v>43262</v>
      </c>
      <c r="L86" s="8">
        <v>0</v>
      </c>
      <c r="M86" s="8">
        <v>0</v>
      </c>
      <c r="N86" s="8">
        <v>0</v>
      </c>
      <c r="O86" s="8">
        <v>43262</v>
      </c>
      <c r="P86" s="313">
        <f t="shared" si="22"/>
        <v>4504945</v>
      </c>
    </row>
    <row r="87" spans="1:16" ht="28.9" customHeight="1" x14ac:dyDescent="0.25">
      <c r="A87" s="252" t="s">
        <v>96</v>
      </c>
      <c r="B87" s="243" t="s">
        <v>97</v>
      </c>
      <c r="C87" s="243" t="s">
        <v>94</v>
      </c>
      <c r="D87" s="181" t="s">
        <v>98</v>
      </c>
      <c r="E87" s="288">
        <f t="shared" si="30"/>
        <v>1299784</v>
      </c>
      <c r="F87" s="288">
        <v>1299784</v>
      </c>
      <c r="G87" s="288">
        <v>1044930</v>
      </c>
      <c r="H87" s="288">
        <v>109471</v>
      </c>
      <c r="I87" s="8">
        <v>0</v>
      </c>
      <c r="J87" s="8">
        <f t="shared" si="31"/>
        <v>23000</v>
      </c>
      <c r="K87" s="8">
        <f t="shared" si="32"/>
        <v>23000</v>
      </c>
      <c r="L87" s="8">
        <v>0</v>
      </c>
      <c r="M87" s="8">
        <v>0</v>
      </c>
      <c r="N87" s="8">
        <v>0</v>
      </c>
      <c r="O87" s="8">
        <v>23000</v>
      </c>
      <c r="P87" s="313">
        <f t="shared" si="22"/>
        <v>1322784</v>
      </c>
    </row>
    <row r="88" spans="1:16" ht="45.75" customHeight="1" x14ac:dyDescent="0.25">
      <c r="A88" s="252" t="s">
        <v>99</v>
      </c>
      <c r="B88" s="243" t="s">
        <v>100</v>
      </c>
      <c r="C88" s="243" t="s">
        <v>101</v>
      </c>
      <c r="D88" s="181" t="s">
        <v>102</v>
      </c>
      <c r="E88" s="288">
        <f t="shared" si="30"/>
        <v>24530366</v>
      </c>
      <c r="F88" s="288">
        <f>25025982-402600-93016</f>
        <v>24530366</v>
      </c>
      <c r="G88" s="288">
        <f>18214441-330000-72600-100000</f>
        <v>17711841</v>
      </c>
      <c r="H88" s="288">
        <f>5134202-72016</f>
        <v>5062186</v>
      </c>
      <c r="I88" s="8">
        <v>0</v>
      </c>
      <c r="J88" s="8">
        <f t="shared" si="31"/>
        <v>160010</v>
      </c>
      <c r="K88" s="8">
        <v>0</v>
      </c>
      <c r="L88" s="8">
        <v>160010</v>
      </c>
      <c r="M88" s="8">
        <v>0</v>
      </c>
      <c r="N88" s="8">
        <v>0</v>
      </c>
      <c r="O88" s="8">
        <v>0</v>
      </c>
      <c r="P88" s="313">
        <f t="shared" si="22"/>
        <v>24690376</v>
      </c>
    </row>
    <row r="89" spans="1:16" ht="31.5" x14ac:dyDescent="0.25">
      <c r="A89" s="252" t="s">
        <v>248</v>
      </c>
      <c r="B89" s="243" t="s">
        <v>249</v>
      </c>
      <c r="C89" s="243" t="s">
        <v>103</v>
      </c>
      <c r="D89" s="181" t="s">
        <v>250</v>
      </c>
      <c r="E89" s="288">
        <f t="shared" si="30"/>
        <v>2114801</v>
      </c>
      <c r="F89" s="288">
        <v>2114801</v>
      </c>
      <c r="G89" s="288">
        <v>2006393</v>
      </c>
      <c r="H89" s="8">
        <v>0</v>
      </c>
      <c r="I89" s="8">
        <v>0</v>
      </c>
      <c r="J89" s="8">
        <f t="shared" si="31"/>
        <v>0</v>
      </c>
      <c r="K89" s="8">
        <f>O89</f>
        <v>0</v>
      </c>
      <c r="L89" s="8">
        <v>0</v>
      </c>
      <c r="M89" s="8">
        <v>0</v>
      </c>
      <c r="N89" s="8">
        <v>0</v>
      </c>
      <c r="O89" s="8"/>
      <c r="P89" s="313">
        <f t="shared" si="22"/>
        <v>2114801</v>
      </c>
    </row>
    <row r="90" spans="1:16" ht="31.5" x14ac:dyDescent="0.25">
      <c r="A90" s="252" t="s">
        <v>104</v>
      </c>
      <c r="B90" s="243" t="s">
        <v>105</v>
      </c>
      <c r="C90" s="243" t="s">
        <v>103</v>
      </c>
      <c r="D90" s="181" t="s">
        <v>106</v>
      </c>
      <c r="E90" s="288">
        <f t="shared" si="30"/>
        <v>316106</v>
      </c>
      <c r="F90" s="288">
        <v>316106</v>
      </c>
      <c r="G90" s="8">
        <v>0</v>
      </c>
      <c r="H90" s="8">
        <v>0</v>
      </c>
      <c r="I90" s="8">
        <v>0</v>
      </c>
      <c r="J90" s="8">
        <f t="shared" si="31"/>
        <v>0</v>
      </c>
      <c r="K90" s="8">
        <v>0</v>
      </c>
      <c r="L90" s="8">
        <v>0</v>
      </c>
      <c r="M90" s="8">
        <v>0</v>
      </c>
      <c r="N90" s="8">
        <v>0</v>
      </c>
      <c r="O90" s="8">
        <v>0</v>
      </c>
      <c r="P90" s="313">
        <f t="shared" si="22"/>
        <v>316106</v>
      </c>
    </row>
    <row r="91" spans="1:16" ht="47.25" x14ac:dyDescent="0.25">
      <c r="A91" s="252" t="s">
        <v>107</v>
      </c>
      <c r="B91" s="243" t="s">
        <v>108</v>
      </c>
      <c r="C91" s="243" t="s">
        <v>109</v>
      </c>
      <c r="D91" s="181" t="s">
        <v>110</v>
      </c>
      <c r="E91" s="288">
        <f t="shared" si="30"/>
        <v>90000</v>
      </c>
      <c r="F91" s="288">
        <v>90000</v>
      </c>
      <c r="G91" s="8">
        <v>0</v>
      </c>
      <c r="H91" s="8">
        <v>0</v>
      </c>
      <c r="I91" s="8">
        <v>0</v>
      </c>
      <c r="J91" s="8">
        <f t="shared" si="31"/>
        <v>0</v>
      </c>
      <c r="K91" s="8">
        <v>0</v>
      </c>
      <c r="L91" s="8">
        <v>0</v>
      </c>
      <c r="M91" s="8">
        <v>0</v>
      </c>
      <c r="N91" s="8">
        <v>0</v>
      </c>
      <c r="O91" s="8">
        <v>0</v>
      </c>
      <c r="P91" s="313">
        <f t="shared" si="22"/>
        <v>90000</v>
      </c>
    </row>
    <row r="92" spans="1:16" ht="63" x14ac:dyDescent="0.25">
      <c r="A92" s="252" t="s">
        <v>111</v>
      </c>
      <c r="B92" s="243" t="s">
        <v>112</v>
      </c>
      <c r="C92" s="243" t="s">
        <v>109</v>
      </c>
      <c r="D92" s="181" t="s">
        <v>406</v>
      </c>
      <c r="E92" s="288">
        <f t="shared" si="30"/>
        <v>12001927</v>
      </c>
      <c r="F92" s="288">
        <f>10570071+1431856</f>
        <v>12001927</v>
      </c>
      <c r="G92" s="288">
        <v>5907423</v>
      </c>
      <c r="H92" s="288">
        <v>542849</v>
      </c>
      <c r="I92" s="8">
        <v>0</v>
      </c>
      <c r="J92" s="8">
        <f t="shared" si="31"/>
        <v>0</v>
      </c>
      <c r="K92" s="8">
        <v>0</v>
      </c>
      <c r="L92" s="8">
        <v>0</v>
      </c>
      <c r="M92" s="8">
        <v>0</v>
      </c>
      <c r="N92" s="8">
        <v>0</v>
      </c>
      <c r="O92" s="8">
        <v>0</v>
      </c>
      <c r="P92" s="313">
        <f t="shared" si="22"/>
        <v>12001927</v>
      </c>
    </row>
    <row r="93" spans="1:16" ht="31.5" x14ac:dyDescent="0.25">
      <c r="A93" s="252" t="s">
        <v>251</v>
      </c>
      <c r="B93" s="243" t="s">
        <v>252</v>
      </c>
      <c r="C93" s="243" t="s">
        <v>109</v>
      </c>
      <c r="D93" s="181" t="s">
        <v>407</v>
      </c>
      <c r="E93" s="288">
        <f t="shared" si="30"/>
        <v>34958996</v>
      </c>
      <c r="F93" s="288">
        <f>33652119+1306877</f>
        <v>34958996</v>
      </c>
      <c r="G93" s="288">
        <v>0</v>
      </c>
      <c r="H93" s="288">
        <v>0</v>
      </c>
      <c r="I93" s="8">
        <v>0</v>
      </c>
      <c r="J93" s="8">
        <f t="shared" si="31"/>
        <v>0</v>
      </c>
      <c r="K93" s="8">
        <v>0</v>
      </c>
      <c r="L93" s="8">
        <v>0</v>
      </c>
      <c r="M93" s="8">
        <v>0</v>
      </c>
      <c r="N93" s="8">
        <v>0</v>
      </c>
      <c r="O93" s="8">
        <v>0</v>
      </c>
      <c r="P93" s="313">
        <f t="shared" si="22"/>
        <v>34958996</v>
      </c>
    </row>
    <row r="94" spans="1:16" ht="47.25" x14ac:dyDescent="0.25">
      <c r="A94" s="693">
        <v>1015049</v>
      </c>
      <c r="B94" s="694">
        <v>5049</v>
      </c>
      <c r="C94" s="694" t="s">
        <v>109</v>
      </c>
      <c r="D94" s="181" t="s">
        <v>623</v>
      </c>
      <c r="E94" s="288">
        <f t="shared" si="30"/>
        <v>105408</v>
      </c>
      <c r="F94" s="288">
        <v>105408</v>
      </c>
      <c r="G94" s="288">
        <v>105408</v>
      </c>
      <c r="H94" s="288"/>
      <c r="I94" s="8"/>
      <c r="J94" s="8"/>
      <c r="K94" s="8"/>
      <c r="L94" s="8"/>
      <c r="M94" s="8"/>
      <c r="N94" s="8"/>
      <c r="O94" s="8"/>
      <c r="P94" s="313"/>
    </row>
    <row r="95" spans="1:16" ht="79.5" customHeight="1" x14ac:dyDescent="0.25">
      <c r="A95" s="252" t="s">
        <v>113</v>
      </c>
      <c r="B95" s="243" t="s">
        <v>114</v>
      </c>
      <c r="C95" s="243" t="s">
        <v>109</v>
      </c>
      <c r="D95" s="181" t="s">
        <v>115</v>
      </c>
      <c r="E95" s="288">
        <f t="shared" si="30"/>
        <v>6017864</v>
      </c>
      <c r="F95" s="288">
        <f>6016002+27333-91996+66525</f>
        <v>6017864</v>
      </c>
      <c r="G95" s="288">
        <v>3633493</v>
      </c>
      <c r="H95" s="288">
        <v>119881</v>
      </c>
      <c r="I95" s="8">
        <v>0</v>
      </c>
      <c r="J95" s="8">
        <f t="shared" si="31"/>
        <v>0</v>
      </c>
      <c r="K95" s="8">
        <v>0</v>
      </c>
      <c r="L95" s="8">
        <v>0</v>
      </c>
      <c r="M95" s="8">
        <v>0</v>
      </c>
      <c r="N95" s="8">
        <v>0</v>
      </c>
      <c r="O95" s="8">
        <v>0</v>
      </c>
      <c r="P95" s="313">
        <f t="shared" si="22"/>
        <v>6017864</v>
      </c>
    </row>
    <row r="96" spans="1:16" ht="67.150000000000006" customHeight="1" thickBot="1" x14ac:dyDescent="0.3">
      <c r="A96" s="277" t="s">
        <v>116</v>
      </c>
      <c r="B96" s="278" t="s">
        <v>117</v>
      </c>
      <c r="C96" s="278" t="s">
        <v>109</v>
      </c>
      <c r="D96" s="287" t="s">
        <v>118</v>
      </c>
      <c r="E96" s="292">
        <f t="shared" si="30"/>
        <v>528000</v>
      </c>
      <c r="F96" s="292">
        <f>558000-30000</f>
        <v>528000</v>
      </c>
      <c r="G96" s="292">
        <v>0</v>
      </c>
      <c r="H96" s="292">
        <v>0</v>
      </c>
      <c r="I96" s="250">
        <v>0</v>
      </c>
      <c r="J96" s="250">
        <f t="shared" si="31"/>
        <v>0</v>
      </c>
      <c r="K96" s="250">
        <v>0</v>
      </c>
      <c r="L96" s="250">
        <v>0</v>
      </c>
      <c r="M96" s="250">
        <v>0</v>
      </c>
      <c r="N96" s="250">
        <v>0</v>
      </c>
      <c r="O96" s="250">
        <v>0</v>
      </c>
      <c r="P96" s="315">
        <f t="shared" si="22"/>
        <v>528000</v>
      </c>
    </row>
    <row r="97" spans="1:16" s="240" customFormat="1" ht="63" customHeight="1" thickBot="1" x14ac:dyDescent="0.3">
      <c r="A97" s="280" t="s">
        <v>119</v>
      </c>
      <c r="B97" s="281" t="s">
        <v>16</v>
      </c>
      <c r="C97" s="281" t="s">
        <v>16</v>
      </c>
      <c r="D97" s="283" t="s">
        <v>120</v>
      </c>
      <c r="E97" s="310">
        <f>E98</f>
        <v>70168450</v>
      </c>
      <c r="F97" s="310">
        <f>F98</f>
        <v>70168450</v>
      </c>
      <c r="G97" s="310">
        <f t="shared" ref="G97:I97" si="33">G98</f>
        <v>4146980</v>
      </c>
      <c r="H97" s="310">
        <f t="shared" si="33"/>
        <v>0</v>
      </c>
      <c r="I97" s="310">
        <f t="shared" si="33"/>
        <v>0</v>
      </c>
      <c r="J97" s="22">
        <f>J98</f>
        <v>2755726</v>
      </c>
      <c r="K97" s="310">
        <f t="shared" ref="K97:O97" si="34">K98</f>
        <v>2296426</v>
      </c>
      <c r="L97" s="310">
        <f t="shared" si="34"/>
        <v>322056</v>
      </c>
      <c r="M97" s="310">
        <f t="shared" si="34"/>
        <v>0</v>
      </c>
      <c r="N97" s="310">
        <f t="shared" si="34"/>
        <v>0</v>
      </c>
      <c r="O97" s="310">
        <f t="shared" si="34"/>
        <v>2433670</v>
      </c>
      <c r="P97" s="311">
        <f>E97+J97</f>
        <v>72924176</v>
      </c>
    </row>
    <row r="98" spans="1:16" s="239" customFormat="1" ht="46.5" customHeight="1" x14ac:dyDescent="0.25">
      <c r="A98" s="302" t="s">
        <v>121</v>
      </c>
      <c r="B98" s="303" t="s">
        <v>16</v>
      </c>
      <c r="C98" s="303" t="s">
        <v>16</v>
      </c>
      <c r="D98" s="304" t="s">
        <v>120</v>
      </c>
      <c r="E98" s="290">
        <f>E99+E100+E101+E102+E103+E104+E105+E106+E109+E107+E108</f>
        <v>70168450</v>
      </c>
      <c r="F98" s="290">
        <f>F99+F100+F101+F102+F103+F104+F105+F106+F109+F107+F108</f>
        <v>70168450</v>
      </c>
      <c r="G98" s="290">
        <f t="shared" ref="G98:O98" si="35">G99+G100+G102+G103+G104+G105+G106+G109</f>
        <v>4146980</v>
      </c>
      <c r="H98" s="290">
        <f t="shared" si="35"/>
        <v>0</v>
      </c>
      <c r="I98" s="290">
        <f t="shared" si="35"/>
        <v>0</v>
      </c>
      <c r="J98" s="290">
        <f t="shared" si="35"/>
        <v>2755726</v>
      </c>
      <c r="K98" s="290">
        <f t="shared" si="35"/>
        <v>2296426</v>
      </c>
      <c r="L98" s="290">
        <f t="shared" si="35"/>
        <v>322056</v>
      </c>
      <c r="M98" s="290">
        <f t="shared" si="35"/>
        <v>0</v>
      </c>
      <c r="N98" s="290">
        <f t="shared" si="35"/>
        <v>0</v>
      </c>
      <c r="O98" s="290">
        <f t="shared" si="35"/>
        <v>2433670</v>
      </c>
      <c r="P98" s="290">
        <f>P99+P100+P102+P103+P104+P105+P106+P109+P107+P108</f>
        <v>66372831</v>
      </c>
    </row>
    <row r="99" spans="1:16" ht="47.25" x14ac:dyDescent="0.25">
      <c r="A99" s="252" t="s">
        <v>122</v>
      </c>
      <c r="B99" s="243" t="s">
        <v>43</v>
      </c>
      <c r="C99" s="243" t="s">
        <v>18</v>
      </c>
      <c r="D99" s="181" t="s">
        <v>231</v>
      </c>
      <c r="E99" s="288">
        <f>F99</f>
        <v>4265901</v>
      </c>
      <c r="F99" s="288">
        <f>4702083-436182</f>
        <v>4265901</v>
      </c>
      <c r="G99" s="288">
        <f>4583162-436182</f>
        <v>4146980</v>
      </c>
      <c r="H99" s="288">
        <v>0</v>
      </c>
      <c r="I99" s="8">
        <v>0</v>
      </c>
      <c r="J99" s="8"/>
      <c r="K99" s="8"/>
      <c r="L99" s="8">
        <v>0</v>
      </c>
      <c r="M99" s="8">
        <v>0</v>
      </c>
      <c r="N99" s="8">
        <v>0</v>
      </c>
      <c r="O99" s="8"/>
      <c r="P99" s="313">
        <f t="shared" si="22"/>
        <v>4265901</v>
      </c>
    </row>
    <row r="100" spans="1:16" ht="31.5" x14ac:dyDescent="0.25">
      <c r="A100" s="252" t="s">
        <v>123</v>
      </c>
      <c r="B100" s="243" t="s">
        <v>124</v>
      </c>
      <c r="C100" s="243" t="s">
        <v>125</v>
      </c>
      <c r="D100" s="181" t="s">
        <v>126</v>
      </c>
      <c r="E100" s="288">
        <f t="shared" ref="E100:E109" si="36">F100</f>
        <v>9760</v>
      </c>
      <c r="F100" s="288">
        <v>9760</v>
      </c>
      <c r="G100" s="288">
        <v>0</v>
      </c>
      <c r="H100" s="288">
        <v>0</v>
      </c>
      <c r="I100" s="8">
        <v>0</v>
      </c>
      <c r="J100" s="8">
        <f t="shared" ref="J100:J106" si="37">L100+O100</f>
        <v>0</v>
      </c>
      <c r="K100" s="8">
        <v>0</v>
      </c>
      <c r="L100" s="8">
        <v>0</v>
      </c>
      <c r="M100" s="8">
        <v>0</v>
      </c>
      <c r="N100" s="8">
        <v>0</v>
      </c>
      <c r="O100" s="8">
        <v>0</v>
      </c>
      <c r="P100" s="313">
        <f t="shared" si="22"/>
        <v>9760</v>
      </c>
    </row>
    <row r="101" spans="1:16" ht="47.25" x14ac:dyDescent="0.25">
      <c r="A101" s="693">
        <v>1216012</v>
      </c>
      <c r="B101" s="694">
        <v>6012</v>
      </c>
      <c r="C101" s="308" t="s">
        <v>28</v>
      </c>
      <c r="D101" s="181" t="s">
        <v>287</v>
      </c>
      <c r="E101" s="288">
        <f t="shared" si="36"/>
        <v>6551345</v>
      </c>
      <c r="F101" s="288">
        <f>1677959+4873386</f>
        <v>6551345</v>
      </c>
      <c r="G101" s="288"/>
      <c r="H101" s="288"/>
      <c r="I101" s="8"/>
      <c r="J101" s="8"/>
      <c r="K101" s="8"/>
      <c r="L101" s="8"/>
      <c r="M101" s="8"/>
      <c r="N101" s="8"/>
      <c r="O101" s="8"/>
      <c r="P101" s="313"/>
    </row>
    <row r="102" spans="1:16" ht="31.5" x14ac:dyDescent="0.25">
      <c r="A102" s="252" t="s">
        <v>127</v>
      </c>
      <c r="B102" s="243" t="s">
        <v>128</v>
      </c>
      <c r="C102" s="243" t="s">
        <v>28</v>
      </c>
      <c r="D102" s="181" t="s">
        <v>129</v>
      </c>
      <c r="E102" s="288">
        <f t="shared" si="36"/>
        <v>1269500</v>
      </c>
      <c r="F102" s="288">
        <f>1597918-29918-298500</f>
        <v>1269500</v>
      </c>
      <c r="G102" s="288">
        <v>0</v>
      </c>
      <c r="H102" s="288">
        <v>0</v>
      </c>
      <c r="I102" s="8">
        <v>0</v>
      </c>
      <c r="J102" s="8">
        <f t="shared" si="37"/>
        <v>0</v>
      </c>
      <c r="K102" s="8">
        <v>0</v>
      </c>
      <c r="L102" s="8">
        <v>0</v>
      </c>
      <c r="M102" s="8">
        <v>0</v>
      </c>
      <c r="N102" s="8">
        <v>0</v>
      </c>
      <c r="O102" s="8">
        <v>0</v>
      </c>
      <c r="P102" s="313">
        <f t="shared" si="22"/>
        <v>1269500</v>
      </c>
    </row>
    <row r="103" spans="1:16" ht="31.5" x14ac:dyDescent="0.25">
      <c r="A103" s="252">
        <v>1216015</v>
      </c>
      <c r="B103" s="243">
        <v>6015</v>
      </c>
      <c r="C103" s="243" t="s">
        <v>28</v>
      </c>
      <c r="D103" s="181" t="s">
        <v>336</v>
      </c>
      <c r="E103" s="288">
        <f t="shared" si="36"/>
        <v>0</v>
      </c>
      <c r="F103" s="288"/>
      <c r="G103" s="288"/>
      <c r="H103" s="288"/>
      <c r="I103" s="8"/>
      <c r="J103" s="8">
        <f t="shared" si="37"/>
        <v>1835036</v>
      </c>
      <c r="K103" s="8">
        <v>1835036</v>
      </c>
      <c r="L103" s="8"/>
      <c r="M103" s="8"/>
      <c r="N103" s="8"/>
      <c r="O103" s="8">
        <v>1835036</v>
      </c>
      <c r="P103" s="313">
        <f t="shared" si="22"/>
        <v>1835036</v>
      </c>
    </row>
    <row r="104" spans="1:16" ht="31.5" x14ac:dyDescent="0.25">
      <c r="A104" s="252" t="s">
        <v>130</v>
      </c>
      <c r="B104" s="243" t="s">
        <v>27</v>
      </c>
      <c r="C104" s="243" t="s">
        <v>28</v>
      </c>
      <c r="D104" s="181" t="s">
        <v>29</v>
      </c>
      <c r="E104" s="288">
        <f t="shared" si="36"/>
        <v>45545968</v>
      </c>
      <c r="F104" s="288">
        <f>45852621-1037165-100770+831282</f>
        <v>45545968</v>
      </c>
      <c r="G104" s="288">
        <v>0</v>
      </c>
      <c r="H104" s="288">
        <v>0</v>
      </c>
      <c r="I104" s="8">
        <v>0</v>
      </c>
      <c r="J104" s="8">
        <f t="shared" si="37"/>
        <v>461390</v>
      </c>
      <c r="K104" s="8">
        <v>461390</v>
      </c>
      <c r="L104" s="8">
        <v>0</v>
      </c>
      <c r="M104" s="8">
        <v>0</v>
      </c>
      <c r="N104" s="8">
        <v>0</v>
      </c>
      <c r="O104" s="8">
        <v>461390</v>
      </c>
      <c r="P104" s="313">
        <f t="shared" si="22"/>
        <v>46007358</v>
      </c>
    </row>
    <row r="105" spans="1:16" ht="173.25" x14ac:dyDescent="0.25">
      <c r="A105" s="252">
        <v>1216071</v>
      </c>
      <c r="B105" s="243">
        <v>6071</v>
      </c>
      <c r="C105" s="308" t="s">
        <v>327</v>
      </c>
      <c r="D105" s="181" t="s">
        <v>328</v>
      </c>
      <c r="E105" s="288">
        <f t="shared" si="36"/>
        <v>9284334</v>
      </c>
      <c r="F105" s="288">
        <f>4380000+4904334</f>
        <v>9284334</v>
      </c>
      <c r="G105" s="288"/>
      <c r="H105" s="288"/>
      <c r="I105" s="8"/>
      <c r="J105" s="8"/>
      <c r="K105" s="8"/>
      <c r="L105" s="8"/>
      <c r="M105" s="8"/>
      <c r="N105" s="8"/>
      <c r="O105" s="8"/>
      <c r="P105" s="313">
        <f t="shared" si="22"/>
        <v>9284334</v>
      </c>
    </row>
    <row r="106" spans="1:16" ht="45.75" customHeight="1" x14ac:dyDescent="0.25">
      <c r="A106" s="252" t="s">
        <v>131</v>
      </c>
      <c r="B106" s="243" t="s">
        <v>132</v>
      </c>
      <c r="C106" s="243" t="s">
        <v>133</v>
      </c>
      <c r="D106" s="181" t="s">
        <v>134</v>
      </c>
      <c r="E106" s="288">
        <f t="shared" si="36"/>
        <v>2968087</v>
      </c>
      <c r="F106" s="288">
        <v>2968087</v>
      </c>
      <c r="G106" s="288">
        <v>0</v>
      </c>
      <c r="H106" s="288">
        <v>0</v>
      </c>
      <c r="I106" s="8">
        <v>0</v>
      </c>
      <c r="J106" s="8">
        <f t="shared" si="37"/>
        <v>0</v>
      </c>
      <c r="K106" s="8">
        <v>0</v>
      </c>
      <c r="L106" s="8">
        <v>0</v>
      </c>
      <c r="M106" s="8">
        <v>0</v>
      </c>
      <c r="N106" s="8">
        <v>0</v>
      </c>
      <c r="O106" s="8">
        <v>0</v>
      </c>
      <c r="P106" s="313">
        <f t="shared" si="22"/>
        <v>2968087</v>
      </c>
    </row>
    <row r="107" spans="1:16" ht="45.75" customHeight="1" x14ac:dyDescent="0.25">
      <c r="A107" s="285">
        <v>1218110</v>
      </c>
      <c r="B107" s="286">
        <v>8110</v>
      </c>
      <c r="C107" s="510" t="s">
        <v>284</v>
      </c>
      <c r="D107" s="181" t="s">
        <v>285</v>
      </c>
      <c r="E107" s="288">
        <f t="shared" si="36"/>
        <v>207555</v>
      </c>
      <c r="F107" s="289">
        <v>207555</v>
      </c>
      <c r="G107" s="289"/>
      <c r="H107" s="289"/>
      <c r="I107" s="35"/>
      <c r="J107" s="8"/>
      <c r="K107" s="35"/>
      <c r="L107" s="35"/>
      <c r="M107" s="35"/>
      <c r="N107" s="35"/>
      <c r="O107" s="35"/>
      <c r="P107" s="313">
        <f t="shared" si="22"/>
        <v>207555</v>
      </c>
    </row>
    <row r="108" spans="1:16" ht="45.75" customHeight="1" x14ac:dyDescent="0.25">
      <c r="A108" s="285">
        <v>1218311</v>
      </c>
      <c r="B108" s="286">
        <v>8311</v>
      </c>
      <c r="C108" s="510" t="s">
        <v>330</v>
      </c>
      <c r="D108" s="181" t="s">
        <v>331</v>
      </c>
      <c r="E108" s="288">
        <f t="shared" si="36"/>
        <v>66000</v>
      </c>
      <c r="F108" s="289">
        <f>66000</f>
        <v>66000</v>
      </c>
      <c r="G108" s="289"/>
      <c r="H108" s="289"/>
      <c r="I108" s="35"/>
      <c r="J108" s="8"/>
      <c r="K108" s="35"/>
      <c r="L108" s="35"/>
      <c r="M108" s="35"/>
      <c r="N108" s="35"/>
      <c r="O108" s="35"/>
      <c r="P108" s="313">
        <f t="shared" si="22"/>
        <v>66000</v>
      </c>
    </row>
    <row r="109" spans="1:16" ht="38.25" customHeight="1" thickBot="1" x14ac:dyDescent="0.3">
      <c r="A109" s="285" t="s">
        <v>135</v>
      </c>
      <c r="B109" s="286" t="s">
        <v>136</v>
      </c>
      <c r="C109" s="286" t="s">
        <v>137</v>
      </c>
      <c r="D109" s="279" t="s">
        <v>138</v>
      </c>
      <c r="E109" s="289">
        <f t="shared" si="36"/>
        <v>0</v>
      </c>
      <c r="F109" s="289">
        <v>0</v>
      </c>
      <c r="G109" s="289">
        <v>0</v>
      </c>
      <c r="H109" s="289">
        <v>0</v>
      </c>
      <c r="I109" s="35">
        <v>0</v>
      </c>
      <c r="J109" s="8">
        <f>L109+O109</f>
        <v>459300</v>
      </c>
      <c r="K109" s="35">
        <v>0</v>
      </c>
      <c r="L109" s="35">
        <v>322056</v>
      </c>
      <c r="M109" s="35">
        <v>0</v>
      </c>
      <c r="N109" s="35">
        <v>0</v>
      </c>
      <c r="O109" s="35">
        <v>137244</v>
      </c>
      <c r="P109" s="314">
        <f t="shared" si="22"/>
        <v>459300</v>
      </c>
    </row>
    <row r="110" spans="1:16" s="240" customFormat="1" ht="63.75" thickBot="1" x14ac:dyDescent="0.3">
      <c r="A110" s="280" t="s">
        <v>139</v>
      </c>
      <c r="B110" s="281" t="s">
        <v>16</v>
      </c>
      <c r="C110" s="281" t="s">
        <v>16</v>
      </c>
      <c r="D110" s="283" t="s">
        <v>435</v>
      </c>
      <c r="E110" s="310">
        <f>E111</f>
        <v>3331416</v>
      </c>
      <c r="F110" s="310">
        <f>E110</f>
        <v>3331416</v>
      </c>
      <c r="G110" s="310">
        <f>G111</f>
        <v>3092643</v>
      </c>
      <c r="H110" s="310">
        <f t="shared" ref="H110:I110" si="38">H111</f>
        <v>111558</v>
      </c>
      <c r="I110" s="310">
        <f t="shared" si="38"/>
        <v>0</v>
      </c>
      <c r="J110" s="310">
        <f>J111</f>
        <v>55034036</v>
      </c>
      <c r="K110" s="310">
        <f>K111</f>
        <v>55034036</v>
      </c>
      <c r="L110" s="310">
        <f t="shared" ref="L110:O110" si="39">L111</f>
        <v>0</v>
      </c>
      <c r="M110" s="310">
        <f t="shared" si="39"/>
        <v>0</v>
      </c>
      <c r="N110" s="310">
        <f t="shared" si="39"/>
        <v>0</v>
      </c>
      <c r="O110" s="310">
        <f t="shared" si="39"/>
        <v>55034036</v>
      </c>
      <c r="P110" s="310">
        <f>E110+J110</f>
        <v>58365452</v>
      </c>
    </row>
    <row r="111" spans="1:16" s="239" customFormat="1" ht="47.25" x14ac:dyDescent="0.25">
      <c r="A111" s="302" t="s">
        <v>140</v>
      </c>
      <c r="B111" s="303" t="s">
        <v>16</v>
      </c>
      <c r="C111" s="303" t="s">
        <v>16</v>
      </c>
      <c r="D111" s="304" t="s">
        <v>435</v>
      </c>
      <c r="E111" s="290">
        <f t="shared" ref="E111:N111" si="40">E113+E117+E120</f>
        <v>3331416</v>
      </c>
      <c r="F111" s="290">
        <f t="shared" si="40"/>
        <v>3331416</v>
      </c>
      <c r="G111" s="290">
        <f t="shared" si="40"/>
        <v>3092643</v>
      </c>
      <c r="H111" s="290">
        <f t="shared" si="40"/>
        <v>111558</v>
      </c>
      <c r="I111" s="290">
        <f t="shared" si="40"/>
        <v>0</v>
      </c>
      <c r="J111" s="290">
        <f>J113+J117+J120+J114+J115+J116+J118+J119+J112</f>
        <v>55034036</v>
      </c>
      <c r="K111" s="290">
        <f>K113+K117+K120+K114+K115+K116+K118+K119+K112</f>
        <v>55034036</v>
      </c>
      <c r="L111" s="290">
        <f t="shared" si="40"/>
        <v>0</v>
      </c>
      <c r="M111" s="290">
        <f t="shared" si="40"/>
        <v>0</v>
      </c>
      <c r="N111" s="290">
        <f t="shared" si="40"/>
        <v>0</v>
      </c>
      <c r="O111" s="290">
        <f>O113+O117+O120+O114+O115+O116+O118+O119+O112</f>
        <v>55034036</v>
      </c>
      <c r="P111" s="312">
        <f>E111+J111</f>
        <v>58365452</v>
      </c>
    </row>
    <row r="112" spans="1:16" s="239" customFormat="1" ht="94.5" x14ac:dyDescent="0.25">
      <c r="A112" s="738">
        <v>1510150</v>
      </c>
      <c r="B112" s="308" t="s">
        <v>223</v>
      </c>
      <c r="C112" s="739" t="s">
        <v>18</v>
      </c>
      <c r="D112" s="181" t="s">
        <v>224</v>
      </c>
      <c r="E112" s="290"/>
      <c r="F112" s="290"/>
      <c r="G112" s="290"/>
      <c r="H112" s="290"/>
      <c r="I112" s="290"/>
      <c r="J112" s="8">
        <f t="shared" ref="J112:J119" si="41">L112+O112</f>
        <v>250000</v>
      </c>
      <c r="K112" s="35">
        <f>250000</f>
        <v>250000</v>
      </c>
      <c r="L112" s="290"/>
      <c r="M112" s="290"/>
      <c r="N112" s="290"/>
      <c r="O112" s="35">
        <f>250000</f>
        <v>250000</v>
      </c>
      <c r="P112" s="312">
        <f>E112+J112</f>
        <v>250000</v>
      </c>
    </row>
    <row r="113" spans="1:16" ht="47.25" x14ac:dyDescent="0.25">
      <c r="A113" s="252" t="s">
        <v>253</v>
      </c>
      <c r="B113" s="243" t="s">
        <v>43</v>
      </c>
      <c r="C113" s="243" t="s">
        <v>18</v>
      </c>
      <c r="D113" s="181" t="s">
        <v>231</v>
      </c>
      <c r="E113" s="288">
        <f>F113+I113</f>
        <v>3331416</v>
      </c>
      <c r="F113" s="288">
        <f>3837314-1876-412+2288-505898</f>
        <v>3331416</v>
      </c>
      <c r="G113" s="288">
        <f>3600829-1876-412-505898</f>
        <v>3092643</v>
      </c>
      <c r="H113" s="288">
        <v>111558</v>
      </c>
      <c r="I113" s="8">
        <v>0</v>
      </c>
      <c r="J113" s="8">
        <f t="shared" si="41"/>
        <v>0</v>
      </c>
      <c r="K113" s="8">
        <v>0</v>
      </c>
      <c r="L113" s="8">
        <v>0</v>
      </c>
      <c r="M113" s="8">
        <v>0</v>
      </c>
      <c r="N113" s="8">
        <v>0</v>
      </c>
      <c r="O113" s="8">
        <v>0</v>
      </c>
      <c r="P113" s="313">
        <f t="shared" si="22"/>
        <v>3331416</v>
      </c>
    </row>
    <row r="114" spans="1:16" ht="47.25" x14ac:dyDescent="0.25">
      <c r="A114" s="285">
        <v>1511021</v>
      </c>
      <c r="B114" s="286">
        <v>1021</v>
      </c>
      <c r="C114" s="510" t="s">
        <v>50</v>
      </c>
      <c r="D114" s="181" t="s">
        <v>436</v>
      </c>
      <c r="E114" s="288"/>
      <c r="F114" s="289"/>
      <c r="G114" s="289"/>
      <c r="H114" s="289"/>
      <c r="I114" s="35"/>
      <c r="J114" s="8">
        <f t="shared" si="41"/>
        <v>26127892</v>
      </c>
      <c r="K114" s="35">
        <f>2503555+15306015+248082+1486740+583500+6000000</f>
        <v>26127892</v>
      </c>
      <c r="L114" s="35"/>
      <c r="M114" s="35"/>
      <c r="N114" s="35"/>
      <c r="O114" s="35">
        <f>2503555+15306015+248082+1486740+583500+6000000</f>
        <v>26127892</v>
      </c>
      <c r="P114" s="313">
        <f t="shared" si="22"/>
        <v>26127892</v>
      </c>
    </row>
    <row r="115" spans="1:16" ht="49.5" customHeight="1" x14ac:dyDescent="0.25">
      <c r="A115" s="285">
        <v>1512010</v>
      </c>
      <c r="B115" s="286">
        <v>2010</v>
      </c>
      <c r="C115" s="510" t="s">
        <v>21</v>
      </c>
      <c r="D115" s="181" t="s">
        <v>22</v>
      </c>
      <c r="E115" s="288"/>
      <c r="F115" s="289"/>
      <c r="G115" s="289"/>
      <c r="H115" s="289"/>
      <c r="I115" s="35"/>
      <c r="J115" s="8">
        <f t="shared" si="41"/>
        <v>3000000</v>
      </c>
      <c r="K115" s="8">
        <f t="shared" ref="K115:K116" si="42">O115</f>
        <v>3000000</v>
      </c>
      <c r="L115" s="35"/>
      <c r="M115" s="35"/>
      <c r="N115" s="35"/>
      <c r="O115" s="35">
        <f>0+3000000</f>
        <v>3000000</v>
      </c>
      <c r="P115" s="313">
        <f t="shared" si="22"/>
        <v>3000000</v>
      </c>
    </row>
    <row r="116" spans="1:16" ht="27.6" customHeight="1" x14ac:dyDescent="0.25">
      <c r="A116" s="285">
        <v>1512170</v>
      </c>
      <c r="B116" s="286">
        <v>2170</v>
      </c>
      <c r="C116" s="510" t="s">
        <v>282</v>
      </c>
      <c r="D116" s="181" t="s">
        <v>437</v>
      </c>
      <c r="E116" s="288"/>
      <c r="F116" s="289"/>
      <c r="G116" s="289"/>
      <c r="H116" s="289"/>
      <c r="I116" s="35"/>
      <c r="J116" s="8">
        <f t="shared" si="41"/>
        <v>173444</v>
      </c>
      <c r="K116" s="8">
        <f t="shared" si="42"/>
        <v>173444</v>
      </c>
      <c r="L116" s="35"/>
      <c r="M116" s="35"/>
      <c r="N116" s="35"/>
      <c r="O116" s="35">
        <v>173444</v>
      </c>
      <c r="P116" s="313">
        <f t="shared" si="22"/>
        <v>173444</v>
      </c>
    </row>
    <row r="117" spans="1:16" ht="47.25" x14ac:dyDescent="0.25">
      <c r="A117" s="331">
        <v>1516012</v>
      </c>
      <c r="B117" s="332">
        <v>6012</v>
      </c>
      <c r="C117" s="333" t="s">
        <v>28</v>
      </c>
      <c r="D117" s="263" t="s">
        <v>287</v>
      </c>
      <c r="E117" s="288">
        <f t="shared" ref="E117:E120" si="43">F117+I117</f>
        <v>0</v>
      </c>
      <c r="F117" s="289"/>
      <c r="G117" s="289"/>
      <c r="H117" s="289"/>
      <c r="I117" s="35"/>
      <c r="J117" s="8">
        <f t="shared" si="41"/>
        <v>16296000</v>
      </c>
      <c r="K117" s="8">
        <f>O117</f>
        <v>16296000</v>
      </c>
      <c r="L117" s="35"/>
      <c r="M117" s="35"/>
      <c r="N117" s="35"/>
      <c r="O117" s="35">
        <f>3098317-1031901+7997976-60000+45000+381043+5865565</f>
        <v>16296000</v>
      </c>
      <c r="P117" s="313">
        <f t="shared" si="22"/>
        <v>16296000</v>
      </c>
    </row>
    <row r="118" spans="1:16" ht="31.5" x14ac:dyDescent="0.25">
      <c r="A118" s="331">
        <v>1516013</v>
      </c>
      <c r="B118" s="332">
        <v>6013</v>
      </c>
      <c r="C118" s="333" t="s">
        <v>28</v>
      </c>
      <c r="D118" s="263" t="s">
        <v>129</v>
      </c>
      <c r="E118" s="288"/>
      <c r="F118" s="289"/>
      <c r="G118" s="289"/>
      <c r="H118" s="289"/>
      <c r="I118" s="35"/>
      <c r="J118" s="8">
        <f t="shared" si="41"/>
        <v>198440</v>
      </c>
      <c r="K118" s="8">
        <f>O118</f>
        <v>198440</v>
      </c>
      <c r="L118" s="35"/>
      <c r="M118" s="35"/>
      <c r="N118" s="35"/>
      <c r="O118" s="35">
        <f>60000+198440-60000</f>
        <v>198440</v>
      </c>
      <c r="P118" s="313">
        <f t="shared" si="22"/>
        <v>198440</v>
      </c>
    </row>
    <row r="119" spans="1:16" ht="31.5" x14ac:dyDescent="0.25">
      <c r="A119" s="331">
        <v>1516030</v>
      </c>
      <c r="B119" s="332">
        <v>6030</v>
      </c>
      <c r="C119" s="333" t="s">
        <v>28</v>
      </c>
      <c r="D119" s="263" t="s">
        <v>29</v>
      </c>
      <c r="E119" s="288"/>
      <c r="F119" s="289"/>
      <c r="G119" s="289"/>
      <c r="H119" s="289"/>
      <c r="I119" s="35"/>
      <c r="J119" s="8">
        <f t="shared" si="41"/>
        <v>1501481</v>
      </c>
      <c r="K119" s="8">
        <f>O119</f>
        <v>1501481</v>
      </c>
      <c r="L119" s="35"/>
      <c r="M119" s="35"/>
      <c r="N119" s="35"/>
      <c r="O119" s="35">
        <f>251111+45000+49800+55031+100539+1000000</f>
        <v>1501481</v>
      </c>
      <c r="P119" s="313">
        <f t="shared" si="22"/>
        <v>1501481</v>
      </c>
    </row>
    <row r="120" spans="1:16" ht="48" thickBot="1" x14ac:dyDescent="0.3">
      <c r="A120" s="252">
        <v>1517461</v>
      </c>
      <c r="B120" s="243" t="s">
        <v>132</v>
      </c>
      <c r="C120" s="243" t="s">
        <v>133</v>
      </c>
      <c r="D120" s="181" t="s">
        <v>134</v>
      </c>
      <c r="E120" s="288">
        <f t="shared" si="43"/>
        <v>0</v>
      </c>
      <c r="F120" s="289"/>
      <c r="G120" s="289"/>
      <c r="H120" s="289"/>
      <c r="I120" s="35"/>
      <c r="J120" s="8">
        <f t="shared" ref="J120" si="44">L120+O120</f>
        <v>7486779</v>
      </c>
      <c r="K120" s="8">
        <f>O120</f>
        <v>7486779</v>
      </c>
      <c r="L120" s="35"/>
      <c r="M120" s="35"/>
      <c r="N120" s="35"/>
      <c r="O120" s="35">
        <f>2799508+2192418+490356+1007036+997461</f>
        <v>7486779</v>
      </c>
      <c r="P120" s="313">
        <f t="shared" si="22"/>
        <v>7486779</v>
      </c>
    </row>
    <row r="121" spans="1:16" s="240" customFormat="1" ht="62.25" customHeight="1" thickBot="1" x14ac:dyDescent="0.3">
      <c r="A121" s="280" t="s">
        <v>254</v>
      </c>
      <c r="B121" s="281" t="s">
        <v>16</v>
      </c>
      <c r="C121" s="281" t="s">
        <v>16</v>
      </c>
      <c r="D121" s="283" t="s">
        <v>255</v>
      </c>
      <c r="E121" s="310">
        <f>E122</f>
        <v>4533794</v>
      </c>
      <c r="F121" s="310">
        <f t="shared" ref="F121:I121" si="45">F122</f>
        <v>4533794</v>
      </c>
      <c r="G121" s="310">
        <f t="shared" si="45"/>
        <v>4269632</v>
      </c>
      <c r="H121" s="310">
        <f t="shared" si="45"/>
        <v>0</v>
      </c>
      <c r="I121" s="310">
        <f t="shared" si="45"/>
        <v>0</v>
      </c>
      <c r="J121" s="22">
        <f>J122</f>
        <v>9099316</v>
      </c>
      <c r="K121" s="22">
        <f>K122</f>
        <v>9099316</v>
      </c>
      <c r="L121" s="22">
        <f t="shared" ref="L121:O121" si="46">L122</f>
        <v>0</v>
      </c>
      <c r="M121" s="22">
        <f t="shared" si="46"/>
        <v>0</v>
      </c>
      <c r="N121" s="22">
        <f t="shared" si="46"/>
        <v>0</v>
      </c>
      <c r="O121" s="22">
        <f t="shared" si="46"/>
        <v>9099316</v>
      </c>
      <c r="P121" s="311">
        <f>E121+J121</f>
        <v>13633110</v>
      </c>
    </row>
    <row r="122" spans="1:16" s="239" customFormat="1" ht="63" x14ac:dyDescent="0.25">
      <c r="A122" s="302" t="s">
        <v>256</v>
      </c>
      <c r="B122" s="303" t="s">
        <v>16</v>
      </c>
      <c r="C122" s="303" t="s">
        <v>16</v>
      </c>
      <c r="D122" s="304" t="s">
        <v>255</v>
      </c>
      <c r="E122" s="290">
        <f>E123</f>
        <v>4533794</v>
      </c>
      <c r="F122" s="290">
        <f>F123</f>
        <v>4533794</v>
      </c>
      <c r="G122" s="290">
        <f>G123</f>
        <v>4269632</v>
      </c>
      <c r="H122" s="290">
        <f>H123</f>
        <v>0</v>
      </c>
      <c r="I122" s="38">
        <f>I123</f>
        <v>0</v>
      </c>
      <c r="J122" s="38">
        <f>L122+O122</f>
        <v>9099316</v>
      </c>
      <c r="K122" s="38">
        <f>K123+K124</f>
        <v>9099316</v>
      </c>
      <c r="L122" s="38">
        <f>L123+L124</f>
        <v>0</v>
      </c>
      <c r="M122" s="38">
        <f>M123+M124</f>
        <v>0</v>
      </c>
      <c r="N122" s="38">
        <f>N123+N124</f>
        <v>0</v>
      </c>
      <c r="O122" s="38">
        <f>O123+O124</f>
        <v>9099316</v>
      </c>
      <c r="P122" s="312">
        <f>E122+J122</f>
        <v>13633110</v>
      </c>
    </row>
    <row r="123" spans="1:16" ht="54.6" customHeight="1" x14ac:dyDescent="0.25">
      <c r="A123" s="252" t="s">
        <v>257</v>
      </c>
      <c r="B123" s="243" t="s">
        <v>43</v>
      </c>
      <c r="C123" s="243" t="s">
        <v>18</v>
      </c>
      <c r="D123" s="181" t="s">
        <v>231</v>
      </c>
      <c r="E123" s="288">
        <f>F123+I123</f>
        <v>4533794</v>
      </c>
      <c r="F123" s="288">
        <f>4633794-100000</f>
        <v>4533794</v>
      </c>
      <c r="G123" s="288">
        <f>4369632-100000</f>
        <v>4269632</v>
      </c>
      <c r="H123" s="288">
        <v>0</v>
      </c>
      <c r="I123" s="8">
        <v>0</v>
      </c>
      <c r="J123" s="38">
        <f t="shared" ref="J123" si="47">L123+O123</f>
        <v>0</v>
      </c>
      <c r="K123" s="8">
        <v>0</v>
      </c>
      <c r="L123" s="8">
        <v>0</v>
      </c>
      <c r="M123" s="8">
        <v>0</v>
      </c>
      <c r="N123" s="8">
        <v>0</v>
      </c>
      <c r="O123" s="8">
        <v>0</v>
      </c>
      <c r="P123" s="313">
        <f>E123+J123</f>
        <v>4533794</v>
      </c>
    </row>
    <row r="124" spans="1:16" ht="54.6" customHeight="1" thickBot="1" x14ac:dyDescent="0.3">
      <c r="A124" s="285">
        <v>1617351</v>
      </c>
      <c r="B124" s="286">
        <v>7351</v>
      </c>
      <c r="C124" s="510" t="s">
        <v>368</v>
      </c>
      <c r="D124" s="279" t="s">
        <v>382</v>
      </c>
      <c r="E124" s="288">
        <f>F124+I124</f>
        <v>0</v>
      </c>
      <c r="F124" s="289"/>
      <c r="G124" s="289"/>
      <c r="H124" s="289"/>
      <c r="I124" s="35"/>
      <c r="J124" s="8">
        <f>L124+O124</f>
        <v>9099316</v>
      </c>
      <c r="K124" s="35">
        <f>O124</f>
        <v>9099316</v>
      </c>
      <c r="L124" s="35"/>
      <c r="M124" s="35"/>
      <c r="N124" s="35"/>
      <c r="O124" s="35">
        <f>1031901+206381+2798176+5062858</f>
        <v>9099316</v>
      </c>
      <c r="P124" s="313">
        <f t="shared" si="22"/>
        <v>9099316</v>
      </c>
    </row>
    <row r="125" spans="1:16" s="240" customFormat="1" ht="48" thickBot="1" x14ac:dyDescent="0.3">
      <c r="A125" s="280" t="s">
        <v>258</v>
      </c>
      <c r="B125" s="281" t="s">
        <v>16</v>
      </c>
      <c r="C125" s="281" t="s">
        <v>16</v>
      </c>
      <c r="D125" s="283" t="s">
        <v>259</v>
      </c>
      <c r="E125" s="310">
        <f>E126</f>
        <v>10248088</v>
      </c>
      <c r="F125" s="310">
        <f>F126</f>
        <v>10248088</v>
      </c>
      <c r="G125" s="310">
        <f>G126</f>
        <v>4568210</v>
      </c>
      <c r="H125" s="310">
        <f t="shared" ref="H125:I126" si="48">H126</f>
        <v>0</v>
      </c>
      <c r="I125" s="310">
        <f t="shared" si="48"/>
        <v>0</v>
      </c>
      <c r="J125" s="22">
        <f>J126</f>
        <v>0</v>
      </c>
      <c r="K125" s="22">
        <f>K126</f>
        <v>0</v>
      </c>
      <c r="L125" s="22">
        <f t="shared" ref="L125:O126" si="49">L126</f>
        <v>0</v>
      </c>
      <c r="M125" s="22">
        <f t="shared" si="49"/>
        <v>0</v>
      </c>
      <c r="N125" s="22">
        <f t="shared" si="49"/>
        <v>0</v>
      </c>
      <c r="O125" s="22">
        <f t="shared" si="49"/>
        <v>0</v>
      </c>
      <c r="P125" s="311">
        <f t="shared" si="22"/>
        <v>10248088</v>
      </c>
    </row>
    <row r="126" spans="1:16" s="239" customFormat="1" ht="44.25" customHeight="1" x14ac:dyDescent="0.25">
      <c r="A126" s="302" t="s">
        <v>260</v>
      </c>
      <c r="B126" s="303" t="s">
        <v>16</v>
      </c>
      <c r="C126" s="303" t="s">
        <v>16</v>
      </c>
      <c r="D126" s="304" t="s">
        <v>259</v>
      </c>
      <c r="E126" s="290">
        <f>E127+E128+E129</f>
        <v>10248088</v>
      </c>
      <c r="F126" s="290">
        <f>F127+F128+F129</f>
        <v>10248088</v>
      </c>
      <c r="G126" s="290">
        <f t="shared" ref="G126" si="50">G127+G128</f>
        <v>4568210</v>
      </c>
      <c r="H126" s="290">
        <f t="shared" si="48"/>
        <v>0</v>
      </c>
      <c r="I126" s="290">
        <f t="shared" si="48"/>
        <v>0</v>
      </c>
      <c r="J126" s="38">
        <f>J127</f>
        <v>0</v>
      </c>
      <c r="K126" s="38">
        <f>K127</f>
        <v>0</v>
      </c>
      <c r="L126" s="38">
        <f t="shared" si="49"/>
        <v>0</v>
      </c>
      <c r="M126" s="38">
        <f t="shared" si="49"/>
        <v>0</v>
      </c>
      <c r="N126" s="38">
        <f t="shared" si="49"/>
        <v>0</v>
      </c>
      <c r="O126" s="38">
        <f t="shared" si="49"/>
        <v>0</v>
      </c>
      <c r="P126" s="312">
        <f t="shared" si="22"/>
        <v>10248088</v>
      </c>
    </row>
    <row r="127" spans="1:16" ht="47.25" x14ac:dyDescent="0.25">
      <c r="A127" s="285" t="s">
        <v>261</v>
      </c>
      <c r="B127" s="286" t="s">
        <v>43</v>
      </c>
      <c r="C127" s="286" t="s">
        <v>18</v>
      </c>
      <c r="D127" s="279" t="s">
        <v>231</v>
      </c>
      <c r="E127" s="289">
        <f>F127+I127</f>
        <v>4704270</v>
      </c>
      <c r="F127" s="289">
        <f>4686270+18000</f>
        <v>4704270</v>
      </c>
      <c r="G127" s="289">
        <f>3744434+823776</f>
        <v>4568210</v>
      </c>
      <c r="H127" s="289">
        <v>0</v>
      </c>
      <c r="I127" s="35">
        <v>0</v>
      </c>
      <c r="J127" s="35">
        <f>K127+O127</f>
        <v>0</v>
      </c>
      <c r="K127" s="35">
        <v>0</v>
      </c>
      <c r="L127" s="35">
        <v>0</v>
      </c>
      <c r="M127" s="35">
        <v>0</v>
      </c>
      <c r="N127" s="35">
        <v>0</v>
      </c>
      <c r="O127" s="35">
        <v>0</v>
      </c>
      <c r="P127" s="314">
        <f t="shared" si="22"/>
        <v>4704270</v>
      </c>
    </row>
    <row r="128" spans="1:16" x14ac:dyDescent="0.25">
      <c r="A128" s="243">
        <v>2717413</v>
      </c>
      <c r="B128" s="243">
        <v>7413</v>
      </c>
      <c r="C128" s="308" t="s">
        <v>290</v>
      </c>
      <c r="D128" s="181" t="s">
        <v>289</v>
      </c>
      <c r="E128" s="288">
        <f>F128+I128</f>
        <v>5362968</v>
      </c>
      <c r="F128" s="288">
        <f>5387040-24072</f>
        <v>5362968</v>
      </c>
      <c r="G128" s="288">
        <v>0</v>
      </c>
      <c r="H128" s="288"/>
      <c r="I128" s="8"/>
      <c r="J128" s="8"/>
      <c r="K128" s="8"/>
      <c r="L128" s="8"/>
      <c r="M128" s="8"/>
      <c r="N128" s="8"/>
      <c r="O128" s="8"/>
      <c r="P128" s="313">
        <f>E128+J128</f>
        <v>5362968</v>
      </c>
    </row>
    <row r="129" spans="1:16" ht="32.25" thickBot="1" x14ac:dyDescent="0.3">
      <c r="A129" s="716">
        <v>2717693</v>
      </c>
      <c r="B129" s="16">
        <v>7693</v>
      </c>
      <c r="C129" s="386" t="s">
        <v>227</v>
      </c>
      <c r="D129" s="549" t="s">
        <v>329</v>
      </c>
      <c r="E129" s="288">
        <f>F129+I129</f>
        <v>180850</v>
      </c>
      <c r="F129" s="383">
        <f>148850+32000</f>
        <v>180850</v>
      </c>
      <c r="G129" s="383"/>
      <c r="H129" s="383"/>
      <c r="I129" s="384"/>
      <c r="J129" s="384"/>
      <c r="K129" s="384"/>
      <c r="L129" s="384"/>
      <c r="M129" s="384"/>
      <c r="N129" s="384"/>
      <c r="O129" s="384"/>
      <c r="P129" s="313">
        <f>E129+J129</f>
        <v>180850</v>
      </c>
    </row>
    <row r="130" spans="1:16" s="240" customFormat="1" ht="48" thickBot="1" x14ac:dyDescent="0.3">
      <c r="A130" s="280" t="s">
        <v>262</v>
      </c>
      <c r="B130" s="281" t="s">
        <v>16</v>
      </c>
      <c r="C130" s="281" t="s">
        <v>16</v>
      </c>
      <c r="D130" s="283" t="s">
        <v>504</v>
      </c>
      <c r="E130" s="310">
        <f>E131</f>
        <v>4390777</v>
      </c>
      <c r="F130" s="310">
        <f>F131</f>
        <v>4390777</v>
      </c>
      <c r="G130" s="310">
        <f t="shared" ref="G130:I130" si="51">G131</f>
        <v>3418475</v>
      </c>
      <c r="H130" s="310">
        <f t="shared" si="51"/>
        <v>279692</v>
      </c>
      <c r="I130" s="310">
        <f t="shared" si="51"/>
        <v>0</v>
      </c>
      <c r="J130" s="22">
        <f>J131</f>
        <v>0</v>
      </c>
      <c r="K130" s="310">
        <f>K131</f>
        <v>0</v>
      </c>
      <c r="L130" s="310">
        <f t="shared" ref="L130:O130" si="52">L131</f>
        <v>0</v>
      </c>
      <c r="M130" s="310">
        <f t="shared" si="52"/>
        <v>0</v>
      </c>
      <c r="N130" s="310">
        <f t="shared" si="52"/>
        <v>0</v>
      </c>
      <c r="O130" s="310">
        <f t="shared" si="52"/>
        <v>0</v>
      </c>
      <c r="P130" s="311">
        <f t="shared" si="22"/>
        <v>4390777</v>
      </c>
    </row>
    <row r="131" spans="1:16" s="239" customFormat="1" ht="47.25" x14ac:dyDescent="0.25">
      <c r="A131" s="302" t="s">
        <v>264</v>
      </c>
      <c r="B131" s="303" t="s">
        <v>16</v>
      </c>
      <c r="C131" s="303" t="s">
        <v>16</v>
      </c>
      <c r="D131" s="304" t="s">
        <v>263</v>
      </c>
      <c r="E131" s="290">
        <f>E132+E133+E134+E135</f>
        <v>4390777</v>
      </c>
      <c r="F131" s="290">
        <f>F132+F133+F134+F135</f>
        <v>4390777</v>
      </c>
      <c r="G131" s="290">
        <f>G132+G133+G134+G135</f>
        <v>3418475</v>
      </c>
      <c r="H131" s="290">
        <f>H132+H133+H134+H135</f>
        <v>279692</v>
      </c>
      <c r="I131" s="290">
        <f t="shared" ref="I131:O131" si="53">I132+I138</f>
        <v>0</v>
      </c>
      <c r="J131" s="38">
        <f>J132+J138</f>
        <v>0</v>
      </c>
      <c r="K131" s="290">
        <f t="shared" si="53"/>
        <v>0</v>
      </c>
      <c r="L131" s="290">
        <f t="shared" si="53"/>
        <v>0</v>
      </c>
      <c r="M131" s="290">
        <f t="shared" si="53"/>
        <v>0</v>
      </c>
      <c r="N131" s="290">
        <f t="shared" si="53"/>
        <v>0</v>
      </c>
      <c r="O131" s="290">
        <f t="shared" si="53"/>
        <v>0</v>
      </c>
      <c r="P131" s="312">
        <f>P132+P133+P134+P135</f>
        <v>4390777</v>
      </c>
    </row>
    <row r="132" spans="1:16" ht="47.25" x14ac:dyDescent="0.25">
      <c r="A132" s="243" t="s">
        <v>265</v>
      </c>
      <c r="B132" s="243" t="s">
        <v>43</v>
      </c>
      <c r="C132" s="243" t="s">
        <v>18</v>
      </c>
      <c r="D132" s="181" t="s">
        <v>231</v>
      </c>
      <c r="E132" s="288">
        <f>F132+I132</f>
        <v>3562005</v>
      </c>
      <c r="F132" s="288">
        <f>3652005-90000</f>
        <v>3562005</v>
      </c>
      <c r="G132" s="288">
        <f>3508475-90000</f>
        <v>3418475</v>
      </c>
      <c r="H132" s="288">
        <v>0</v>
      </c>
      <c r="I132" s="8">
        <v>0</v>
      </c>
      <c r="J132" s="8">
        <f>L132+O132</f>
        <v>0</v>
      </c>
      <c r="K132" s="8"/>
      <c r="L132" s="8">
        <v>0</v>
      </c>
      <c r="M132" s="8">
        <v>0</v>
      </c>
      <c r="N132" s="8">
        <v>0</v>
      </c>
      <c r="O132" s="8"/>
      <c r="P132" s="288">
        <f t="shared" si="22"/>
        <v>3562005</v>
      </c>
    </row>
    <row r="133" spans="1:16" ht="31.5" x14ac:dyDescent="0.25">
      <c r="A133" s="262">
        <v>3117693</v>
      </c>
      <c r="B133" s="16">
        <v>7693</v>
      </c>
      <c r="C133" s="386" t="s">
        <v>227</v>
      </c>
      <c r="D133" s="181" t="s">
        <v>329</v>
      </c>
      <c r="E133" s="288">
        <f t="shared" ref="E133:E135" si="54">F133+I133</f>
        <v>682300</v>
      </c>
      <c r="F133" s="288">
        <f>177000+500000+5300+24586-24586</f>
        <v>682300</v>
      </c>
      <c r="G133" s="288"/>
      <c r="H133" s="288">
        <f>279692+24586-24586</f>
        <v>279692</v>
      </c>
      <c r="I133" s="8"/>
      <c r="J133" s="8"/>
      <c r="K133" s="8"/>
      <c r="L133" s="8"/>
      <c r="M133" s="8"/>
      <c r="N133" s="8"/>
      <c r="O133" s="8"/>
      <c r="P133" s="288">
        <f t="shared" si="22"/>
        <v>682300</v>
      </c>
    </row>
    <row r="134" spans="1:16" ht="47.25" x14ac:dyDescent="0.25">
      <c r="A134" s="252">
        <v>3118110</v>
      </c>
      <c r="B134" s="243">
        <v>8110</v>
      </c>
      <c r="C134" s="308" t="s">
        <v>284</v>
      </c>
      <c r="D134" s="181" t="s">
        <v>285</v>
      </c>
      <c r="E134" s="288">
        <f t="shared" si="54"/>
        <v>121472</v>
      </c>
      <c r="F134" s="288">
        <v>121472</v>
      </c>
      <c r="G134" s="288"/>
      <c r="H134" s="288"/>
      <c r="I134" s="8"/>
      <c r="J134" s="8"/>
      <c r="K134" s="8"/>
      <c r="L134" s="8"/>
      <c r="M134" s="8"/>
      <c r="N134" s="8"/>
      <c r="O134" s="8"/>
      <c r="P134" s="288">
        <f t="shared" si="22"/>
        <v>121472</v>
      </c>
    </row>
    <row r="135" spans="1:16" ht="32.25" thickBot="1" x14ac:dyDescent="0.3">
      <c r="A135" s="262">
        <v>3118311</v>
      </c>
      <c r="B135" s="16">
        <v>8311</v>
      </c>
      <c r="C135" s="386" t="s">
        <v>330</v>
      </c>
      <c r="D135" s="264" t="s">
        <v>331</v>
      </c>
      <c r="E135" s="288">
        <f t="shared" si="54"/>
        <v>25000</v>
      </c>
      <c r="F135" s="383">
        <v>25000</v>
      </c>
      <c r="G135" s="383"/>
      <c r="H135" s="383"/>
      <c r="I135" s="384"/>
      <c r="J135" s="384"/>
      <c r="K135" s="384"/>
      <c r="L135" s="384"/>
      <c r="M135" s="384"/>
      <c r="N135" s="384"/>
      <c r="O135" s="384"/>
      <c r="P135" s="288">
        <f t="shared" si="22"/>
        <v>25000</v>
      </c>
    </row>
    <row r="136" spans="1:16" s="240" customFormat="1" ht="49.5" customHeight="1" thickBot="1" x14ac:dyDescent="0.3">
      <c r="A136" s="280" t="s">
        <v>266</v>
      </c>
      <c r="B136" s="281" t="s">
        <v>16</v>
      </c>
      <c r="C136" s="281" t="s">
        <v>16</v>
      </c>
      <c r="D136" s="283" t="s">
        <v>267</v>
      </c>
      <c r="E136" s="310">
        <f>E137</f>
        <v>66763963</v>
      </c>
      <c r="F136" s="310">
        <f>F137</f>
        <v>66763963</v>
      </c>
      <c r="G136" s="310">
        <f t="shared" ref="G136:I136" si="55">G137</f>
        <v>6503042</v>
      </c>
      <c r="H136" s="310">
        <f t="shared" si="55"/>
        <v>0</v>
      </c>
      <c r="I136" s="310">
        <f t="shared" si="55"/>
        <v>0</v>
      </c>
      <c r="J136" s="22">
        <f>J137</f>
        <v>0</v>
      </c>
      <c r="K136" s="22">
        <f>K137</f>
        <v>0</v>
      </c>
      <c r="L136" s="22"/>
      <c r="M136" s="22"/>
      <c r="N136" s="22"/>
      <c r="O136" s="22"/>
      <c r="P136" s="311">
        <f>E136+J136</f>
        <v>66763963</v>
      </c>
    </row>
    <row r="137" spans="1:16" s="239" customFormat="1" ht="47.25" x14ac:dyDescent="0.25">
      <c r="A137" s="302" t="s">
        <v>268</v>
      </c>
      <c r="B137" s="303" t="s">
        <v>16</v>
      </c>
      <c r="C137" s="303" t="s">
        <v>16</v>
      </c>
      <c r="D137" s="304" t="s">
        <v>267</v>
      </c>
      <c r="E137" s="290">
        <f>E138+E139+E140</f>
        <v>66763963</v>
      </c>
      <c r="F137" s="290">
        <f>F138+F139+F140</f>
        <v>66763963</v>
      </c>
      <c r="G137" s="290">
        <f>G138+G139+G140</f>
        <v>6503042</v>
      </c>
      <c r="H137" s="290">
        <f>H138+H139</f>
        <v>0</v>
      </c>
      <c r="I137" s="290">
        <f t="shared" ref="I137:O137" si="56">I138+I139</f>
        <v>0</v>
      </c>
      <c r="J137" s="290">
        <f t="shared" si="56"/>
        <v>0</v>
      </c>
      <c r="K137" s="290">
        <f t="shared" si="56"/>
        <v>0</v>
      </c>
      <c r="L137" s="290">
        <f t="shared" si="56"/>
        <v>0</v>
      </c>
      <c r="M137" s="290">
        <f t="shared" si="56"/>
        <v>0</v>
      </c>
      <c r="N137" s="290">
        <f t="shared" si="56"/>
        <v>0</v>
      </c>
      <c r="O137" s="290">
        <f t="shared" si="56"/>
        <v>0</v>
      </c>
      <c r="P137" s="312">
        <f>P138+P139+P140</f>
        <v>66763963</v>
      </c>
    </row>
    <row r="138" spans="1:16" ht="47.25" x14ac:dyDescent="0.25">
      <c r="A138" s="252" t="s">
        <v>269</v>
      </c>
      <c r="B138" s="243" t="s">
        <v>43</v>
      </c>
      <c r="C138" s="243" t="s">
        <v>18</v>
      </c>
      <c r="D138" s="181" t="s">
        <v>231</v>
      </c>
      <c r="E138" s="288">
        <f>F138+I138</f>
        <v>6744663</v>
      </c>
      <c r="F138" s="288">
        <v>6744663</v>
      </c>
      <c r="G138" s="288">
        <v>6503042</v>
      </c>
      <c r="H138" s="288">
        <v>0</v>
      </c>
      <c r="I138" s="8">
        <v>0</v>
      </c>
      <c r="J138" s="35">
        <f t="shared" ref="J138:J139" si="57">K138+O138</f>
        <v>0</v>
      </c>
      <c r="K138" s="8">
        <v>0</v>
      </c>
      <c r="L138" s="8">
        <v>0</v>
      </c>
      <c r="M138" s="8">
        <v>0</v>
      </c>
      <c r="N138" s="8">
        <v>0</v>
      </c>
      <c r="O138" s="8">
        <v>0</v>
      </c>
      <c r="P138" s="313">
        <f t="shared" si="22"/>
        <v>6744663</v>
      </c>
    </row>
    <row r="139" spans="1:16" x14ac:dyDescent="0.25">
      <c r="A139" s="252" t="s">
        <v>270</v>
      </c>
      <c r="B139" s="243" t="s">
        <v>271</v>
      </c>
      <c r="C139" s="243" t="s">
        <v>272</v>
      </c>
      <c r="D139" s="181" t="s">
        <v>273</v>
      </c>
      <c r="E139" s="288">
        <f>F139</f>
        <v>4000000</v>
      </c>
      <c r="F139" s="316">
        <v>4000000</v>
      </c>
      <c r="G139" s="288">
        <v>0</v>
      </c>
      <c r="H139" s="288">
        <v>0</v>
      </c>
      <c r="I139" s="288">
        <v>0</v>
      </c>
      <c r="J139" s="8">
        <f t="shared" si="57"/>
        <v>0</v>
      </c>
      <c r="K139" s="8">
        <v>0</v>
      </c>
      <c r="L139" s="8">
        <v>0</v>
      </c>
      <c r="M139" s="8">
        <v>0</v>
      </c>
      <c r="N139" s="8">
        <v>0</v>
      </c>
      <c r="O139" s="8">
        <v>0</v>
      </c>
      <c r="P139" s="313">
        <f t="shared" si="22"/>
        <v>4000000</v>
      </c>
    </row>
    <row r="140" spans="1:16" ht="16.5" thickBot="1" x14ac:dyDescent="0.3">
      <c r="A140" s="388" t="s">
        <v>332</v>
      </c>
      <c r="B140" s="389" t="s">
        <v>333</v>
      </c>
      <c r="C140" s="389" t="s">
        <v>274</v>
      </c>
      <c r="D140" s="390" t="s">
        <v>334</v>
      </c>
      <c r="E140" s="288">
        <f>F140</f>
        <v>56019300</v>
      </c>
      <c r="F140" s="387">
        <v>56019300</v>
      </c>
      <c r="G140" s="383"/>
      <c r="H140" s="383"/>
      <c r="I140" s="383"/>
      <c r="J140" s="384"/>
      <c r="K140" s="384"/>
      <c r="L140" s="384"/>
      <c r="M140" s="384"/>
      <c r="N140" s="384"/>
      <c r="O140" s="384"/>
      <c r="P140" s="313">
        <f t="shared" si="22"/>
        <v>56019300</v>
      </c>
    </row>
    <row r="141" spans="1:16" ht="16.5" thickBot="1" x14ac:dyDescent="0.3">
      <c r="A141" s="280" t="s">
        <v>7</v>
      </c>
      <c r="B141" s="281" t="s">
        <v>7</v>
      </c>
      <c r="C141" s="281" t="s">
        <v>7</v>
      </c>
      <c r="D141" s="317" t="s">
        <v>141</v>
      </c>
      <c r="E141" s="310">
        <f t="shared" ref="E141:O141" si="58">E22+E40+E62+E77+E81+E97+E110+E121+E125+E130+E136</f>
        <v>691585743</v>
      </c>
      <c r="F141" s="310">
        <f t="shared" si="58"/>
        <v>691585743</v>
      </c>
      <c r="G141" s="310">
        <f t="shared" si="58"/>
        <v>300787845</v>
      </c>
      <c r="H141" s="310">
        <f t="shared" si="58"/>
        <v>39261457</v>
      </c>
      <c r="I141" s="310">
        <f t="shared" si="58"/>
        <v>0</v>
      </c>
      <c r="J141" s="310">
        <f t="shared" si="58"/>
        <v>107675428</v>
      </c>
      <c r="K141" s="310">
        <f t="shared" si="58"/>
        <v>92000128</v>
      </c>
      <c r="L141" s="310">
        <f t="shared" si="58"/>
        <v>15538056</v>
      </c>
      <c r="M141" s="310">
        <f t="shared" si="58"/>
        <v>2780397</v>
      </c>
      <c r="N141" s="310">
        <f t="shared" si="58"/>
        <v>60976</v>
      </c>
      <c r="O141" s="310">
        <f t="shared" si="58"/>
        <v>92137372</v>
      </c>
      <c r="P141" s="311">
        <f>E141+J141</f>
        <v>799261171</v>
      </c>
    </row>
    <row r="142" spans="1:16" x14ac:dyDescent="0.25">
      <c r="A142" s="51"/>
      <c r="B142" s="51"/>
      <c r="C142" s="51"/>
      <c r="D142" s="52"/>
      <c r="E142" s="318"/>
      <c r="F142" s="318"/>
      <c r="G142" s="318"/>
      <c r="H142" s="318"/>
      <c r="I142" s="318"/>
      <c r="J142" s="318"/>
      <c r="K142" s="318"/>
      <c r="L142" s="318"/>
      <c r="M142" s="318"/>
      <c r="N142" s="318"/>
      <c r="O142" s="318"/>
      <c r="P142" s="318"/>
    </row>
    <row r="143" spans="1:16" ht="16.899999999999999" customHeight="1" x14ac:dyDescent="0.25">
      <c r="E143" s="324"/>
      <c r="G143" s="324"/>
      <c r="H143" s="324"/>
    </row>
    <row r="144" spans="1:16" s="126" customFormat="1" ht="28.9" customHeight="1" x14ac:dyDescent="0.2">
      <c r="A144" s="804" t="s">
        <v>390</v>
      </c>
      <c r="B144" s="804"/>
      <c r="C144" s="804"/>
      <c r="D144" s="804"/>
      <c r="E144" s="319"/>
      <c r="F144" s="319"/>
      <c r="G144" s="319"/>
      <c r="H144" s="319"/>
      <c r="I144" s="319"/>
      <c r="J144" s="319" t="s">
        <v>319</v>
      </c>
      <c r="K144" s="319"/>
      <c r="L144" s="320"/>
      <c r="M144" s="319"/>
      <c r="N144" s="319"/>
      <c r="O144" s="321"/>
      <c r="P144" s="322"/>
    </row>
    <row r="145" spans="5:11" ht="16.899999999999999" customHeight="1" x14ac:dyDescent="0.25">
      <c r="E145" s="323"/>
      <c r="J145" s="323"/>
    </row>
    <row r="146" spans="5:11" x14ac:dyDescent="0.25">
      <c r="G146" s="324"/>
    </row>
    <row r="147" spans="5:11" x14ac:dyDescent="0.25">
      <c r="K147" s="336"/>
    </row>
    <row r="151" spans="5:11" x14ac:dyDescent="0.25">
      <c r="G151" s="324"/>
    </row>
  </sheetData>
  <mergeCells count="31">
    <mergeCell ref="A144:D144"/>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s>
  <hyperlinks>
    <hyperlink ref="D55" r:id="rId1" location="n8" display="https://zakon.rada.gov.ua/rada/show/988-2016-%D1%80 - n8" xr:uid="{00000000-0004-0000-0200-000000000000}"/>
    <hyperlink ref="D56" r:id="rId2" location="n8" display="https://zakon.rada.gov.ua/rada/show/988-2016-%D1%80 - n8" xr:uid="{00000000-0004-0000-0200-000001000000}"/>
  </hyperlinks>
  <pageMargins left="0.78740157480314965" right="0.78740157480314965" top="1.1811023622047245" bottom="0.39370078740157483" header="0.31496062992125984" footer="0.31496062992125984"/>
  <pageSetup paperSize="9" scale="54"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P74"/>
  <sheetViews>
    <sheetView view="pageBreakPreview" zoomScale="90" zoomScaleNormal="100" zoomScaleSheetLayoutView="90" workbookViewId="0">
      <selection activeCell="D4" sqref="D4"/>
    </sheetView>
  </sheetViews>
  <sheetFormatPr defaultRowHeight="12.75" x14ac:dyDescent="0.2"/>
  <cols>
    <col min="1" max="1" width="21.140625" customWidth="1"/>
    <col min="2" max="2" width="20.7109375" customWidth="1"/>
    <col min="3" max="3" width="67.85546875" customWidth="1"/>
    <col min="4" max="4" width="38" customWidth="1"/>
  </cols>
  <sheetData>
    <row r="1" spans="1:5" ht="15.75" x14ac:dyDescent="0.2">
      <c r="D1" s="551" t="s">
        <v>515</v>
      </c>
    </row>
    <row r="2" spans="1:5" ht="15.75" x14ac:dyDescent="0.2">
      <c r="D2" s="677" t="s">
        <v>386</v>
      </c>
    </row>
    <row r="3" spans="1:5" ht="15.75" x14ac:dyDescent="0.25">
      <c r="D3" s="552" t="s">
        <v>658</v>
      </c>
    </row>
    <row r="4" spans="1:5" ht="15.75" x14ac:dyDescent="0.25">
      <c r="D4" s="911" t="s">
        <v>659</v>
      </c>
    </row>
    <row r="5" spans="1:5" ht="15.75" x14ac:dyDescent="0.2">
      <c r="D5" s="678" t="s">
        <v>413</v>
      </c>
    </row>
    <row r="7" spans="1:5" ht="15.75" x14ac:dyDescent="0.2">
      <c r="D7" s="5" t="s">
        <v>516</v>
      </c>
      <c r="E7" s="5"/>
    </row>
    <row r="8" spans="1:5" ht="15.75" x14ac:dyDescent="0.2">
      <c r="D8" s="5" t="s">
        <v>386</v>
      </c>
      <c r="E8" s="5"/>
    </row>
    <row r="9" spans="1:5" ht="15.75" x14ac:dyDescent="0.2">
      <c r="D9" s="5" t="s">
        <v>8</v>
      </c>
      <c r="E9" s="5"/>
    </row>
    <row r="10" spans="1:5" ht="15.75" x14ac:dyDescent="0.2">
      <c r="D10" s="5" t="s">
        <v>323</v>
      </c>
      <c r="E10" s="5"/>
    </row>
    <row r="11" spans="1:5" ht="15.75" x14ac:dyDescent="0.25">
      <c r="D11" s="679" t="s">
        <v>400</v>
      </c>
      <c r="E11" s="5"/>
    </row>
    <row r="12" spans="1:5" ht="19.149999999999999" customHeight="1" x14ac:dyDescent="0.25">
      <c r="D12" s="679" t="s">
        <v>404</v>
      </c>
      <c r="E12" s="5"/>
    </row>
    <row r="13" spans="1:5" ht="15.6" customHeight="1" x14ac:dyDescent="0.2">
      <c r="D13" s="5" t="s">
        <v>517</v>
      </c>
      <c r="E13" s="5"/>
    </row>
    <row r="14" spans="1:5" ht="20.25" x14ac:dyDescent="0.3">
      <c r="A14" s="786" t="s">
        <v>335</v>
      </c>
      <c r="B14" s="787"/>
      <c r="C14" s="787"/>
      <c r="D14" s="787"/>
    </row>
    <row r="15" spans="1:5" ht="15.75" x14ac:dyDescent="0.25">
      <c r="A15" s="773" t="s">
        <v>214</v>
      </c>
      <c r="B15" s="822"/>
      <c r="C15" s="822"/>
      <c r="D15" s="822"/>
    </row>
    <row r="16" spans="1:5" ht="15.75" x14ac:dyDescent="0.25">
      <c r="A16" s="822" t="s">
        <v>0</v>
      </c>
      <c r="B16" s="822"/>
      <c r="C16" s="822"/>
      <c r="D16" s="822"/>
    </row>
    <row r="17" spans="1:4" ht="21.95" customHeight="1" x14ac:dyDescent="0.25">
      <c r="A17" s="135" t="s">
        <v>186</v>
      </c>
      <c r="B17" s="1"/>
      <c r="C17" s="1"/>
      <c r="D17" s="1"/>
    </row>
    <row r="18" spans="1:4" ht="16.5" thickBot="1" x14ac:dyDescent="0.3">
      <c r="A18" s="1"/>
      <c r="B18" s="1"/>
      <c r="C18" s="1"/>
      <c r="D18" s="2" t="s">
        <v>1</v>
      </c>
    </row>
    <row r="19" spans="1:4" ht="27.6" customHeight="1" x14ac:dyDescent="0.2">
      <c r="A19" s="136" t="s">
        <v>187</v>
      </c>
      <c r="B19" s="823" t="s">
        <v>188</v>
      </c>
      <c r="C19" s="824"/>
      <c r="D19" s="137" t="s">
        <v>2</v>
      </c>
    </row>
    <row r="20" spans="1:4" ht="15.75" x14ac:dyDescent="0.2">
      <c r="A20" s="138">
        <v>1</v>
      </c>
      <c r="B20" s="825">
        <v>2</v>
      </c>
      <c r="C20" s="826"/>
      <c r="D20" s="139">
        <v>3</v>
      </c>
    </row>
    <row r="21" spans="1:4" ht="15.75" x14ac:dyDescent="0.25">
      <c r="A21" s="813" t="s">
        <v>189</v>
      </c>
      <c r="B21" s="814"/>
      <c r="C21" s="814"/>
      <c r="D21" s="815"/>
    </row>
    <row r="22" spans="1:4" ht="65.25" hidden="1" customHeight="1" x14ac:dyDescent="0.25">
      <c r="A22" s="273">
        <v>41021400</v>
      </c>
      <c r="B22" s="816" t="s">
        <v>291</v>
      </c>
      <c r="C22" s="817"/>
      <c r="D22" s="276">
        <f>D23</f>
        <v>0</v>
      </c>
    </row>
    <row r="23" spans="1:4" ht="18.75" hidden="1" x14ac:dyDescent="0.25">
      <c r="A23" s="274" t="s">
        <v>192</v>
      </c>
      <c r="B23" s="832" t="s">
        <v>193</v>
      </c>
      <c r="C23" s="833"/>
      <c r="D23" s="275"/>
    </row>
    <row r="24" spans="1:4" ht="24" customHeight="1" x14ac:dyDescent="0.2">
      <c r="A24" s="140" t="s">
        <v>190</v>
      </c>
      <c r="B24" s="818" t="s">
        <v>191</v>
      </c>
      <c r="C24" s="819"/>
      <c r="D24" s="253">
        <f>D25</f>
        <v>51662400</v>
      </c>
    </row>
    <row r="25" spans="1:4" ht="15.75" x14ac:dyDescent="0.2">
      <c r="A25" s="143" t="s">
        <v>192</v>
      </c>
      <c r="B25" s="820" t="s">
        <v>193</v>
      </c>
      <c r="C25" s="821"/>
      <c r="D25" s="254">
        <v>51662400</v>
      </c>
    </row>
    <row r="26" spans="1:4" ht="41.45" customHeight="1" x14ac:dyDescent="0.2">
      <c r="A26" s="140">
        <v>41035400</v>
      </c>
      <c r="B26" s="818" t="s">
        <v>416</v>
      </c>
      <c r="C26" s="819"/>
      <c r="D26" s="253">
        <f>D27</f>
        <v>480600</v>
      </c>
    </row>
    <row r="27" spans="1:4" ht="15.75" x14ac:dyDescent="0.2">
      <c r="A27" s="143" t="s">
        <v>192</v>
      </c>
      <c r="B27" s="820" t="s">
        <v>193</v>
      </c>
      <c r="C27" s="821"/>
      <c r="D27" s="254">
        <v>480600</v>
      </c>
    </row>
    <row r="28" spans="1:4" ht="52.15" customHeight="1" x14ac:dyDescent="0.2">
      <c r="A28" s="140">
        <v>41036000</v>
      </c>
      <c r="B28" s="818" t="s">
        <v>414</v>
      </c>
      <c r="C28" s="819"/>
      <c r="D28" s="253">
        <f>D29</f>
        <v>1352500</v>
      </c>
    </row>
    <row r="29" spans="1:4" ht="15" customHeight="1" x14ac:dyDescent="0.2">
      <c r="A29" s="143" t="s">
        <v>192</v>
      </c>
      <c r="B29" s="820" t="s">
        <v>193</v>
      </c>
      <c r="C29" s="821"/>
      <c r="D29" s="254">
        <v>1352500</v>
      </c>
    </row>
    <row r="30" spans="1:4" ht="43.15" customHeight="1" x14ac:dyDescent="0.2">
      <c r="A30" s="140">
        <v>41036300</v>
      </c>
      <c r="B30" s="818" t="s">
        <v>415</v>
      </c>
      <c r="C30" s="819"/>
      <c r="D30" s="253">
        <f>D31</f>
        <v>3975300</v>
      </c>
    </row>
    <row r="31" spans="1:4" ht="15" customHeight="1" x14ac:dyDescent="0.2">
      <c r="A31" s="143" t="s">
        <v>192</v>
      </c>
      <c r="B31" s="820" t="s">
        <v>193</v>
      </c>
      <c r="C31" s="821"/>
      <c r="D31" s="254">
        <v>3975300</v>
      </c>
    </row>
    <row r="32" spans="1:4" ht="15" customHeight="1" x14ac:dyDescent="0.2">
      <c r="A32" s="140">
        <v>41040400</v>
      </c>
      <c r="B32" s="818" t="s">
        <v>621</v>
      </c>
      <c r="C32" s="819"/>
      <c r="D32" s="253">
        <f>D33</f>
        <v>0</v>
      </c>
    </row>
    <row r="33" spans="1:4" ht="15" customHeight="1" x14ac:dyDescent="0.2">
      <c r="A33" s="718">
        <v>15100000000</v>
      </c>
      <c r="B33" s="835" t="s">
        <v>195</v>
      </c>
      <c r="C33" s="836"/>
      <c r="D33" s="254">
        <f>24586-24586</f>
        <v>0</v>
      </c>
    </row>
    <row r="34" spans="1:4" ht="37.15" customHeight="1" x14ac:dyDescent="0.2">
      <c r="A34" s="144">
        <v>41051000</v>
      </c>
      <c r="B34" s="818" t="s">
        <v>194</v>
      </c>
      <c r="C34" s="819"/>
      <c r="D34" s="253">
        <f>D35</f>
        <v>1205950</v>
      </c>
    </row>
    <row r="35" spans="1:4" ht="15" customHeight="1" x14ac:dyDescent="0.25">
      <c r="A35" s="147" t="s">
        <v>197</v>
      </c>
      <c r="B35" s="830" t="s">
        <v>195</v>
      </c>
      <c r="C35" s="831"/>
      <c r="D35" s="254">
        <f>883100+322850</f>
        <v>1205950</v>
      </c>
    </row>
    <row r="36" spans="1:4" s="146" customFormat="1" ht="38.450000000000003" customHeight="1" x14ac:dyDescent="0.2">
      <c r="A36" s="144">
        <v>41053900</v>
      </c>
      <c r="B36" s="828" t="s">
        <v>196</v>
      </c>
      <c r="C36" s="829"/>
      <c r="D36" s="145">
        <f>D37</f>
        <v>57773</v>
      </c>
    </row>
    <row r="37" spans="1:4" s="146" customFormat="1" ht="15.75" x14ac:dyDescent="0.25">
      <c r="A37" s="147" t="s">
        <v>197</v>
      </c>
      <c r="B37" s="830" t="s">
        <v>195</v>
      </c>
      <c r="C37" s="831"/>
      <c r="D37" s="148">
        <v>57773</v>
      </c>
    </row>
    <row r="38" spans="1:4" s="146" customFormat="1" ht="35.450000000000003" customHeight="1" x14ac:dyDescent="0.2">
      <c r="A38" s="144">
        <v>41053900</v>
      </c>
      <c r="B38" s="828" t="s">
        <v>198</v>
      </c>
      <c r="C38" s="829"/>
      <c r="D38" s="149">
        <f>D39</f>
        <v>164690</v>
      </c>
    </row>
    <row r="39" spans="1:4" s="146" customFormat="1" ht="15.75" x14ac:dyDescent="0.2">
      <c r="A39" s="147" t="s">
        <v>197</v>
      </c>
      <c r="B39" s="835" t="s">
        <v>195</v>
      </c>
      <c r="C39" s="836"/>
      <c r="D39" s="148">
        <v>164690</v>
      </c>
    </row>
    <row r="40" spans="1:4" s="146" customFormat="1" ht="52.9" customHeight="1" x14ac:dyDescent="0.2">
      <c r="A40" s="144">
        <v>41053900</v>
      </c>
      <c r="B40" s="828" t="s">
        <v>199</v>
      </c>
      <c r="C40" s="829"/>
      <c r="D40" s="149">
        <f>D41</f>
        <v>17623</v>
      </c>
    </row>
    <row r="41" spans="1:4" s="146" customFormat="1" ht="15.75" x14ac:dyDescent="0.25">
      <c r="A41" s="147" t="s">
        <v>197</v>
      </c>
      <c r="B41" s="830" t="s">
        <v>195</v>
      </c>
      <c r="C41" s="831"/>
      <c r="D41" s="148">
        <v>17623</v>
      </c>
    </row>
    <row r="42" spans="1:4" s="146" customFormat="1" ht="15.75" customHeight="1" x14ac:dyDescent="0.2">
      <c r="A42" s="719" t="s">
        <v>626</v>
      </c>
      <c r="B42" s="828" t="s">
        <v>622</v>
      </c>
      <c r="C42" s="829"/>
      <c r="D42" s="720">
        <f>D43</f>
        <v>79056</v>
      </c>
    </row>
    <row r="43" spans="1:4" s="146" customFormat="1" ht="15.75" customHeight="1" x14ac:dyDescent="0.2">
      <c r="A43" s="718">
        <v>15100000000</v>
      </c>
      <c r="B43" s="835" t="s">
        <v>195</v>
      </c>
      <c r="C43" s="836"/>
      <c r="D43" s="721">
        <v>79056</v>
      </c>
    </row>
    <row r="44" spans="1:4" ht="66.599999999999994" customHeight="1" x14ac:dyDescent="0.2">
      <c r="A44" s="567">
        <v>41059300</v>
      </c>
      <c r="B44" s="828" t="s">
        <v>417</v>
      </c>
      <c r="C44" s="829"/>
      <c r="D44" s="568">
        <f>D45</f>
        <v>339588</v>
      </c>
    </row>
    <row r="45" spans="1:4" ht="15.75" x14ac:dyDescent="0.25">
      <c r="A45" s="147" t="s">
        <v>197</v>
      </c>
      <c r="B45" s="830" t="s">
        <v>195</v>
      </c>
      <c r="C45" s="831"/>
      <c r="D45" s="150">
        <v>339588</v>
      </c>
    </row>
    <row r="46" spans="1:4" ht="15.75" x14ac:dyDescent="0.25">
      <c r="A46" s="813" t="s">
        <v>200</v>
      </c>
      <c r="B46" s="814"/>
      <c r="C46" s="814"/>
      <c r="D46" s="815"/>
    </row>
    <row r="47" spans="1:4" s="152" customFormat="1" ht="15.75" x14ac:dyDescent="0.2">
      <c r="A47" s="140"/>
      <c r="B47" s="141"/>
      <c r="C47" s="142"/>
      <c r="D47" s="151"/>
    </row>
    <row r="48" spans="1:4" ht="15.75" x14ac:dyDescent="0.25">
      <c r="A48" s="153" t="s">
        <v>7</v>
      </c>
      <c r="B48" s="154" t="s">
        <v>201</v>
      </c>
      <c r="C48" s="142"/>
      <c r="D48" s="255">
        <f>D49+D50</f>
        <v>59335480</v>
      </c>
    </row>
    <row r="49" spans="1:4" ht="15.75" x14ac:dyDescent="0.25">
      <c r="A49" s="153" t="s">
        <v>7</v>
      </c>
      <c r="B49" s="154" t="s">
        <v>202</v>
      </c>
      <c r="C49" s="142"/>
      <c r="D49" s="255">
        <f>D22+D24+D28+D36+D38+D40+D26+D30+D34+D44+D32+D42</f>
        <v>59335480</v>
      </c>
    </row>
    <row r="50" spans="1:4" ht="15.75" x14ac:dyDescent="0.25">
      <c r="A50" s="153" t="s">
        <v>7</v>
      </c>
      <c r="B50" s="154" t="s">
        <v>203</v>
      </c>
      <c r="C50" s="142"/>
      <c r="D50" s="231">
        <v>0</v>
      </c>
    </row>
    <row r="51" spans="1:4" ht="21.95" customHeight="1" x14ac:dyDescent="0.25">
      <c r="A51" s="155" t="s">
        <v>204</v>
      </c>
      <c r="B51" s="1"/>
      <c r="C51" s="1"/>
      <c r="D51" s="156" t="s">
        <v>1</v>
      </c>
    </row>
    <row r="52" spans="1:4" ht="51" x14ac:dyDescent="0.2">
      <c r="A52" s="157" t="s">
        <v>205</v>
      </c>
      <c r="B52" s="158" t="s">
        <v>206</v>
      </c>
      <c r="C52" s="159" t="s">
        <v>207</v>
      </c>
      <c r="D52" s="160" t="s">
        <v>2</v>
      </c>
    </row>
    <row r="53" spans="1:4" ht="15.75" x14ac:dyDescent="0.2">
      <c r="A53" s="161">
        <v>1</v>
      </c>
      <c r="B53" s="162">
        <v>2</v>
      </c>
      <c r="C53" s="162">
        <v>3</v>
      </c>
      <c r="D53" s="163">
        <v>4</v>
      </c>
    </row>
    <row r="54" spans="1:4" ht="15.75" customHeight="1" x14ac:dyDescent="0.25">
      <c r="A54" s="837" t="s">
        <v>208</v>
      </c>
      <c r="B54" s="838"/>
      <c r="C54" s="839"/>
      <c r="D54" s="164"/>
    </row>
    <row r="55" spans="1:4" s="167" customFormat="1" ht="37.9" customHeight="1" x14ac:dyDescent="0.25">
      <c r="A55" s="571" t="s">
        <v>418</v>
      </c>
      <c r="B55" s="165">
        <v>9770</v>
      </c>
      <c r="C55" s="166" t="s">
        <v>209</v>
      </c>
      <c r="D55" s="164">
        <f>D56</f>
        <v>30000000</v>
      </c>
    </row>
    <row r="56" spans="1:4" ht="24" customHeight="1" x14ac:dyDescent="0.25">
      <c r="A56" s="147" t="s">
        <v>197</v>
      </c>
      <c r="B56" s="168">
        <v>9770</v>
      </c>
      <c r="C56" s="572" t="s">
        <v>195</v>
      </c>
      <c r="D56" s="170">
        <f>0+30000000</f>
        <v>30000000</v>
      </c>
    </row>
    <row r="57" spans="1:4" ht="24" customHeight="1" x14ac:dyDescent="0.25">
      <c r="A57" s="571" t="s">
        <v>511</v>
      </c>
      <c r="B57" s="745">
        <v>9770</v>
      </c>
      <c r="C57" s="166" t="s">
        <v>209</v>
      </c>
      <c r="D57" s="164">
        <f>D58</f>
        <v>21363</v>
      </c>
    </row>
    <row r="58" spans="1:4" ht="24" customHeight="1" x14ac:dyDescent="0.25">
      <c r="A58" s="147" t="s">
        <v>197</v>
      </c>
      <c r="B58" s="168">
        <v>9770</v>
      </c>
      <c r="C58" s="572" t="s">
        <v>195</v>
      </c>
      <c r="D58" s="170">
        <v>21363</v>
      </c>
    </row>
    <row r="59" spans="1:4" ht="21" customHeight="1" x14ac:dyDescent="0.2">
      <c r="A59" s="391" t="s">
        <v>332</v>
      </c>
      <c r="B59" s="391" t="s">
        <v>333</v>
      </c>
      <c r="C59" s="569" t="s">
        <v>334</v>
      </c>
      <c r="D59" s="169">
        <f>D60</f>
        <v>56019300</v>
      </c>
    </row>
    <row r="60" spans="1:4" ht="23.45" customHeight="1" x14ac:dyDescent="0.2">
      <c r="A60" s="392" t="s">
        <v>192</v>
      </c>
      <c r="B60" s="392" t="s">
        <v>333</v>
      </c>
      <c r="C60" s="570" t="s">
        <v>193</v>
      </c>
      <c r="D60" s="170">
        <v>56019300</v>
      </c>
    </row>
    <row r="61" spans="1:4" ht="37.5" customHeight="1" x14ac:dyDescent="0.2">
      <c r="A61" s="691" t="s">
        <v>513</v>
      </c>
      <c r="B61" s="689">
        <v>9800</v>
      </c>
      <c r="C61" s="690" t="s">
        <v>514</v>
      </c>
      <c r="D61" s="692">
        <f>D62</f>
        <v>8966839</v>
      </c>
    </row>
    <row r="62" spans="1:4" ht="23.45" customHeight="1" x14ac:dyDescent="0.2">
      <c r="A62" s="687">
        <v>99000000000</v>
      </c>
      <c r="B62" s="688">
        <v>9800</v>
      </c>
      <c r="C62" s="570" t="s">
        <v>193</v>
      </c>
      <c r="D62" s="170">
        <f>3000000+2199000+1000000+318739+117100+2332000</f>
        <v>8966839</v>
      </c>
    </row>
    <row r="63" spans="1:4" ht="20.100000000000001" customHeight="1" x14ac:dyDescent="0.25">
      <c r="A63" s="840" t="s">
        <v>210</v>
      </c>
      <c r="B63" s="841"/>
      <c r="C63" s="841"/>
      <c r="D63" s="815"/>
    </row>
    <row r="64" spans="1:4" ht="35.450000000000003" customHeight="1" x14ac:dyDescent="0.2">
      <c r="A64" s="691" t="s">
        <v>513</v>
      </c>
      <c r="B64" s="689">
        <v>9800</v>
      </c>
      <c r="C64" s="690" t="s">
        <v>514</v>
      </c>
      <c r="D64" s="692">
        <f>D65</f>
        <v>17756280</v>
      </c>
    </row>
    <row r="65" spans="1:16" ht="20.100000000000001" customHeight="1" x14ac:dyDescent="0.2">
      <c r="A65" s="687">
        <v>99000000000</v>
      </c>
      <c r="B65" s="688">
        <v>9800</v>
      </c>
      <c r="C65" s="570" t="s">
        <v>193</v>
      </c>
      <c r="D65" s="170">
        <f>4560280+3000000+3000000+3000000+2000000+182400+1345600+668000</f>
        <v>17756280</v>
      </c>
    </row>
    <row r="66" spans="1:16" ht="35.25" customHeight="1" x14ac:dyDescent="0.2">
      <c r="A66" s="691" t="s">
        <v>624</v>
      </c>
      <c r="B66" s="689">
        <v>9750</v>
      </c>
      <c r="C66" s="722" t="s">
        <v>625</v>
      </c>
      <c r="D66" s="692">
        <f>D67</f>
        <v>2000000</v>
      </c>
    </row>
    <row r="67" spans="1:16" ht="20.100000000000001" customHeight="1" x14ac:dyDescent="0.25">
      <c r="A67" s="147" t="s">
        <v>197</v>
      </c>
      <c r="B67" s="168">
        <v>9750</v>
      </c>
      <c r="C67" s="572" t="s">
        <v>195</v>
      </c>
      <c r="D67" s="170">
        <v>2000000</v>
      </c>
    </row>
    <row r="68" spans="1:16" ht="15.75" x14ac:dyDescent="0.25">
      <c r="A68" s="171" t="s">
        <v>7</v>
      </c>
      <c r="B68" s="172" t="s">
        <v>7</v>
      </c>
      <c r="C68" s="154" t="s">
        <v>201</v>
      </c>
      <c r="D68" s="164">
        <f>D69+D70</f>
        <v>114763782</v>
      </c>
    </row>
    <row r="69" spans="1:16" ht="15.75" x14ac:dyDescent="0.25">
      <c r="A69" s="171" t="s">
        <v>7</v>
      </c>
      <c r="B69" s="172" t="s">
        <v>7</v>
      </c>
      <c r="C69" s="154" t="s">
        <v>202</v>
      </c>
      <c r="D69" s="173">
        <f>D59+D55+D57+D61</f>
        <v>95007502</v>
      </c>
    </row>
    <row r="70" spans="1:16" ht="16.5" thickBot="1" x14ac:dyDescent="0.3">
      <c r="A70" s="174" t="s">
        <v>7</v>
      </c>
      <c r="B70" s="175" t="s">
        <v>7</v>
      </c>
      <c r="C70" s="176" t="s">
        <v>203</v>
      </c>
      <c r="D70" s="177">
        <f>D64+D66</f>
        <v>19756280</v>
      </c>
    </row>
    <row r="71" spans="1:16" ht="15.75" x14ac:dyDescent="0.25">
      <c r="A71" s="1"/>
      <c r="B71" s="1"/>
      <c r="C71" s="1"/>
      <c r="D71" s="1"/>
    </row>
    <row r="72" spans="1:16" s="198" customFormat="1" ht="42.6" customHeight="1" x14ac:dyDescent="0.25">
      <c r="A72" s="834" t="s">
        <v>391</v>
      </c>
      <c r="B72" s="834"/>
      <c r="C72" s="834"/>
      <c r="D72" s="834"/>
      <c r="E72" s="827"/>
      <c r="F72" s="827"/>
      <c r="G72" s="232"/>
      <c r="H72" s="232"/>
      <c r="I72" s="232"/>
      <c r="K72" s="232"/>
      <c r="L72" s="233"/>
      <c r="M72" s="232"/>
      <c r="N72" s="234"/>
      <c r="O72" s="235"/>
      <c r="P72" s="236"/>
    </row>
    <row r="73" spans="1:16" s="180" customFormat="1" ht="20.45" customHeight="1" x14ac:dyDescent="0.3">
      <c r="A73" s="178"/>
      <c r="B73" s="179"/>
      <c r="C73" s="1"/>
      <c r="D73" s="179"/>
    </row>
    <row r="74" spans="1:16" ht="15.75" x14ac:dyDescent="0.25">
      <c r="A74" s="1"/>
      <c r="B74" s="1"/>
      <c r="D74" s="1"/>
    </row>
  </sheetData>
  <mergeCells count="35">
    <mergeCell ref="B44:C44"/>
    <mergeCell ref="B45:C45"/>
    <mergeCell ref="B34:C34"/>
    <mergeCell ref="B25:C25"/>
    <mergeCell ref="B32:C32"/>
    <mergeCell ref="B33:C33"/>
    <mergeCell ref="B42:C42"/>
    <mergeCell ref="B43:C43"/>
    <mergeCell ref="B35:C35"/>
    <mergeCell ref="E72:F72"/>
    <mergeCell ref="B40:C40"/>
    <mergeCell ref="B41:C41"/>
    <mergeCell ref="B23:C23"/>
    <mergeCell ref="A46:D46"/>
    <mergeCell ref="B29:C29"/>
    <mergeCell ref="A72:D72"/>
    <mergeCell ref="B36:C36"/>
    <mergeCell ref="B37:C37"/>
    <mergeCell ref="B38:C38"/>
    <mergeCell ref="B26:C26"/>
    <mergeCell ref="B39:C39"/>
    <mergeCell ref="A54:C54"/>
    <mergeCell ref="A63:D63"/>
    <mergeCell ref="B24:C24"/>
    <mergeCell ref="B28:C28"/>
    <mergeCell ref="A14:D14"/>
    <mergeCell ref="A15:D15"/>
    <mergeCell ref="A16:D16"/>
    <mergeCell ref="B19:C19"/>
    <mergeCell ref="B20:C20"/>
    <mergeCell ref="A21:D21"/>
    <mergeCell ref="B22:C22"/>
    <mergeCell ref="B30:C30"/>
    <mergeCell ref="B31:C31"/>
    <mergeCell ref="B27:C27"/>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1"/>
  <sheetViews>
    <sheetView view="pageBreakPreview" topLeftCell="A118" zoomScale="86" zoomScaleNormal="80" zoomScaleSheetLayoutView="86" workbookViewId="0">
      <selection activeCell="I104" sqref="I104"/>
    </sheetView>
  </sheetViews>
  <sheetFormatPr defaultColWidth="9.140625" defaultRowHeight="15" x14ac:dyDescent="0.25"/>
  <cols>
    <col min="1" max="1" width="13" style="10" customWidth="1"/>
    <col min="2" max="2" width="12.5703125" style="10" customWidth="1"/>
    <col min="3" max="3" width="13.42578125" style="10" customWidth="1"/>
    <col min="4" max="4" width="38.5703125" style="10" customWidth="1"/>
    <col min="5" max="5" width="43.85546875" style="10" customWidth="1"/>
    <col min="6" max="6" width="42.140625" style="10" customWidth="1"/>
    <col min="7" max="7" width="15.28515625" style="10" customWidth="1"/>
    <col min="8" max="8" width="14.7109375" style="10" customWidth="1"/>
    <col min="9" max="9" width="14.5703125" style="10" customWidth="1"/>
    <col min="10" max="10" width="14.85546875" style="10" customWidth="1"/>
    <col min="11" max="16384" width="9.140625" style="10"/>
  </cols>
  <sheetData>
    <row r="1" spans="1:10" ht="15.75" x14ac:dyDescent="0.25">
      <c r="H1" s="551" t="s">
        <v>443</v>
      </c>
      <c r="I1" s="573"/>
    </row>
    <row r="2" spans="1:10" ht="15.75" x14ac:dyDescent="0.25">
      <c r="H2" s="551" t="s">
        <v>386</v>
      </c>
      <c r="I2" s="573"/>
    </row>
    <row r="3" spans="1:10" ht="15.75" x14ac:dyDescent="0.25">
      <c r="H3" s="552" t="s">
        <v>638</v>
      </c>
      <c r="I3" s="574"/>
    </row>
    <row r="4" spans="1:10" ht="15.75" x14ac:dyDescent="0.25">
      <c r="H4" s="554" t="s">
        <v>660</v>
      </c>
      <c r="I4" s="575"/>
    </row>
    <row r="5" spans="1:10" ht="15.75" x14ac:dyDescent="0.25">
      <c r="H5" s="777" t="s">
        <v>444</v>
      </c>
      <c r="I5" s="777"/>
    </row>
    <row r="7" spans="1:10" ht="15.75" x14ac:dyDescent="0.25">
      <c r="H7" s="3" t="s">
        <v>445</v>
      </c>
      <c r="I7" s="4"/>
      <c r="J7" s="5"/>
    </row>
    <row r="8" spans="1:10" ht="15.75" x14ac:dyDescent="0.25">
      <c r="H8" s="3" t="s">
        <v>389</v>
      </c>
      <c r="I8" s="4"/>
      <c r="J8" s="5"/>
    </row>
    <row r="9" spans="1:10" ht="15.75" x14ac:dyDescent="0.25">
      <c r="H9" s="3" t="s">
        <v>8</v>
      </c>
      <c r="I9" s="4"/>
      <c r="J9" s="5"/>
    </row>
    <row r="10" spans="1:10" ht="15.75" x14ac:dyDescent="0.25">
      <c r="H10" s="3" t="s">
        <v>323</v>
      </c>
      <c r="I10" s="4"/>
      <c r="J10" s="5"/>
    </row>
    <row r="11" spans="1:10" ht="15.75" x14ac:dyDescent="0.25">
      <c r="H11" s="6" t="s">
        <v>403</v>
      </c>
      <c r="I11" s="7"/>
      <c r="J11" s="5"/>
    </row>
    <row r="12" spans="1:10" ht="15.75" x14ac:dyDescent="0.25">
      <c r="H12" s="6" t="s">
        <v>404</v>
      </c>
      <c r="I12" s="4"/>
      <c r="J12" s="5"/>
    </row>
    <row r="13" spans="1:10" ht="15.75" x14ac:dyDescent="0.25">
      <c r="H13" s="5" t="s">
        <v>446</v>
      </c>
      <c r="I13" s="3"/>
      <c r="J13" s="5"/>
    </row>
    <row r="14" spans="1:10" ht="15.75" x14ac:dyDescent="0.25">
      <c r="I14" s="5"/>
      <c r="J14" s="11"/>
    </row>
    <row r="15" spans="1:10" ht="15.75" x14ac:dyDescent="0.25">
      <c r="H15" s="5"/>
      <c r="I15" s="5"/>
      <c r="J15" s="11"/>
    </row>
    <row r="16" spans="1:10" ht="20.25" x14ac:dyDescent="0.3">
      <c r="A16" s="786" t="s">
        <v>322</v>
      </c>
      <c r="B16" s="787"/>
      <c r="C16" s="787"/>
      <c r="D16" s="787"/>
      <c r="E16" s="787"/>
      <c r="F16" s="787"/>
      <c r="G16" s="787"/>
      <c r="H16" s="787"/>
      <c r="I16" s="787"/>
      <c r="J16" s="787"/>
    </row>
    <row r="18" spans="1:10" ht="15.75" x14ac:dyDescent="0.25">
      <c r="A18" s="846">
        <v>1559100000</v>
      </c>
      <c r="B18" s="846"/>
    </row>
    <row r="19" spans="1:10" ht="16.5" thickBot="1" x14ac:dyDescent="0.3">
      <c r="A19" s="1" t="s">
        <v>0</v>
      </c>
      <c r="B19" s="1"/>
      <c r="J19" s="12" t="s">
        <v>9</v>
      </c>
    </row>
    <row r="20" spans="1:10" ht="15.75" x14ac:dyDescent="0.25">
      <c r="A20" s="847" t="s">
        <v>10</v>
      </c>
      <c r="B20" s="849" t="s">
        <v>11</v>
      </c>
      <c r="C20" s="849" t="s">
        <v>12</v>
      </c>
      <c r="D20" s="851" t="s">
        <v>13</v>
      </c>
      <c r="E20" s="843" t="s">
        <v>142</v>
      </c>
      <c r="F20" s="843" t="s">
        <v>143</v>
      </c>
      <c r="G20" s="791" t="s">
        <v>2</v>
      </c>
      <c r="H20" s="843" t="s">
        <v>3</v>
      </c>
      <c r="I20" s="843" t="s">
        <v>4</v>
      </c>
      <c r="J20" s="845"/>
    </row>
    <row r="21" spans="1:10" ht="106.5" customHeight="1" thickBot="1" x14ac:dyDescent="0.3">
      <c r="A21" s="848"/>
      <c r="B21" s="850"/>
      <c r="C21" s="850"/>
      <c r="D21" s="852"/>
      <c r="E21" s="844"/>
      <c r="F21" s="844"/>
      <c r="G21" s="793"/>
      <c r="H21" s="844"/>
      <c r="I21" s="368" t="s">
        <v>5</v>
      </c>
      <c r="J21" s="13" t="s">
        <v>6</v>
      </c>
    </row>
    <row r="22" spans="1:10" ht="16.5" thickBot="1" x14ac:dyDescent="0.3">
      <c r="A22" s="14">
        <v>1</v>
      </c>
      <c r="B22" s="15">
        <v>2</v>
      </c>
      <c r="C22" s="15">
        <v>3</v>
      </c>
      <c r="D22" s="130">
        <v>4</v>
      </c>
      <c r="E22" s="15">
        <v>5</v>
      </c>
      <c r="F22" s="15">
        <v>6</v>
      </c>
      <c r="G22" s="16">
        <v>7</v>
      </c>
      <c r="H22" s="15">
        <v>8</v>
      </c>
      <c r="I22" s="17">
        <v>9</v>
      </c>
      <c r="J22" s="18">
        <v>10</v>
      </c>
    </row>
    <row r="23" spans="1:10" ht="55.5" customHeight="1" thickBot="1" x14ac:dyDescent="0.3">
      <c r="A23" s="280" t="s">
        <v>15</v>
      </c>
      <c r="B23" s="281" t="s">
        <v>16</v>
      </c>
      <c r="C23" s="281" t="s">
        <v>16</v>
      </c>
      <c r="D23" s="282" t="s">
        <v>394</v>
      </c>
      <c r="E23" s="283" t="s">
        <v>16</v>
      </c>
      <c r="F23" s="283" t="s">
        <v>16</v>
      </c>
      <c r="G23" s="22">
        <f t="shared" ref="G23:G30" si="0">H23+I23</f>
        <v>111678897</v>
      </c>
      <c r="H23" s="22">
        <f>H24</f>
        <v>91359840</v>
      </c>
      <c r="I23" s="23">
        <f>I24</f>
        <v>20319057</v>
      </c>
      <c r="J23" s="24">
        <f>J24</f>
        <v>20319057</v>
      </c>
    </row>
    <row r="24" spans="1:10" ht="49.5" customHeight="1" x14ac:dyDescent="0.25">
      <c r="A24" s="41" t="s">
        <v>17</v>
      </c>
      <c r="B24" s="42" t="s">
        <v>16</v>
      </c>
      <c r="C24" s="42" t="s">
        <v>16</v>
      </c>
      <c r="D24" s="56" t="s">
        <v>394</v>
      </c>
      <c r="E24" s="27" t="s">
        <v>16</v>
      </c>
      <c r="F24" s="27" t="s">
        <v>16</v>
      </c>
      <c r="G24" s="38">
        <f>H24+I24</f>
        <v>111678897</v>
      </c>
      <c r="H24" s="39">
        <f>H25+H27+H28+H29+H31+H32+H33+H34+H35+H38+H36+H30+H26+H39+H40+H41+H42+H43+H44</f>
        <v>91359840</v>
      </c>
      <c r="I24" s="39">
        <f>I25+I27+I28+I29+I31+I32+I33+I34+I35+I38+I36+I30+I37+I40+I41+I42+I43+I44</f>
        <v>20319057</v>
      </c>
      <c r="J24" s="39">
        <f>J25+J27+J28+J29+J31+J32+J33+J34+J35+J38+J36+J30+J37+J40+J41+J42+J43+J44</f>
        <v>20319057</v>
      </c>
    </row>
    <row r="25" spans="1:10" ht="99.75" customHeight="1" x14ac:dyDescent="0.25">
      <c r="A25" s="252" t="s">
        <v>222</v>
      </c>
      <c r="B25" s="334" t="s">
        <v>223</v>
      </c>
      <c r="C25" s="334" t="s">
        <v>18</v>
      </c>
      <c r="D25" s="31" t="s">
        <v>224</v>
      </c>
      <c r="E25" s="49" t="s">
        <v>305</v>
      </c>
      <c r="F25" s="399" t="s">
        <v>318</v>
      </c>
      <c r="G25" s="29">
        <f t="shared" si="0"/>
        <v>234240</v>
      </c>
      <c r="H25" s="28">
        <v>234240</v>
      </c>
      <c r="I25" s="39"/>
      <c r="J25" s="40"/>
    </row>
    <row r="26" spans="1:10" ht="133.9" customHeight="1" x14ac:dyDescent="0.25">
      <c r="A26" s="309" t="s">
        <v>324</v>
      </c>
      <c r="B26" s="257" t="s">
        <v>274</v>
      </c>
      <c r="C26" s="257" t="s">
        <v>272</v>
      </c>
      <c r="D26" s="258" t="s">
        <v>276</v>
      </c>
      <c r="E26" s="49" t="s">
        <v>447</v>
      </c>
      <c r="F26" s="399" t="s">
        <v>449</v>
      </c>
      <c r="G26" s="29">
        <f>H26</f>
        <v>89400</v>
      </c>
      <c r="H26" s="28">
        <v>89400</v>
      </c>
      <c r="I26" s="39"/>
      <c r="J26" s="40"/>
    </row>
    <row r="27" spans="1:10" ht="139.15" customHeight="1" x14ac:dyDescent="0.25">
      <c r="A27" s="309" t="s">
        <v>324</v>
      </c>
      <c r="B27" s="257" t="s">
        <v>274</v>
      </c>
      <c r="C27" s="257" t="s">
        <v>272</v>
      </c>
      <c r="D27" s="258" t="s">
        <v>276</v>
      </c>
      <c r="E27" s="264" t="s">
        <v>450</v>
      </c>
      <c r="F27" s="399" t="s">
        <v>676</v>
      </c>
      <c r="G27" s="28">
        <f t="shared" si="0"/>
        <v>76500</v>
      </c>
      <c r="H27" s="29">
        <f>18000+58500</f>
        <v>76500</v>
      </c>
      <c r="I27" s="39"/>
      <c r="J27" s="40"/>
    </row>
    <row r="28" spans="1:10" ht="69" customHeight="1" x14ac:dyDescent="0.25">
      <c r="A28" s="91" t="s">
        <v>19</v>
      </c>
      <c r="B28" s="334" t="s">
        <v>20</v>
      </c>
      <c r="C28" s="334" t="s">
        <v>21</v>
      </c>
      <c r="D28" s="57" t="s">
        <v>22</v>
      </c>
      <c r="E28" s="181" t="s">
        <v>212</v>
      </c>
      <c r="F28" s="256" t="s">
        <v>396</v>
      </c>
      <c r="G28" s="8">
        <f t="shared" si="0"/>
        <v>10094100</v>
      </c>
      <c r="H28" s="32">
        <v>10094100</v>
      </c>
      <c r="I28" s="32">
        <v>0</v>
      </c>
      <c r="J28" s="33">
        <v>0</v>
      </c>
    </row>
    <row r="29" spans="1:10" ht="99.75" customHeight="1" x14ac:dyDescent="0.25">
      <c r="A29" s="91" t="s">
        <v>19</v>
      </c>
      <c r="B29" s="334" t="s">
        <v>20</v>
      </c>
      <c r="C29" s="334" t="s">
        <v>21</v>
      </c>
      <c r="D29" s="57" t="s">
        <v>22</v>
      </c>
      <c r="E29" s="181" t="s">
        <v>508</v>
      </c>
      <c r="F29" s="181" t="s">
        <v>506</v>
      </c>
      <c r="G29" s="8">
        <f t="shared" si="0"/>
        <v>14362702</v>
      </c>
      <c r="H29" s="32">
        <v>14362702</v>
      </c>
      <c r="I29" s="32">
        <v>0</v>
      </c>
      <c r="J29" s="33">
        <f>I29</f>
        <v>0</v>
      </c>
    </row>
    <row r="30" spans="1:10" ht="79.900000000000006" customHeight="1" x14ac:dyDescent="0.25">
      <c r="A30" s="91" t="s">
        <v>19</v>
      </c>
      <c r="B30" s="334" t="s">
        <v>20</v>
      </c>
      <c r="C30" s="334" t="s">
        <v>21</v>
      </c>
      <c r="D30" s="57" t="s">
        <v>22</v>
      </c>
      <c r="E30" s="31" t="s">
        <v>381</v>
      </c>
      <c r="F30" s="31" t="s">
        <v>509</v>
      </c>
      <c r="G30" s="8">
        <f t="shared" si="0"/>
        <v>1548687</v>
      </c>
      <c r="H30" s="32"/>
      <c r="I30" s="32">
        <v>1548687</v>
      </c>
      <c r="J30" s="33">
        <f>I30</f>
        <v>1548687</v>
      </c>
    </row>
    <row r="31" spans="1:10" ht="81" customHeight="1" x14ac:dyDescent="0.25">
      <c r="A31" s="91" t="s">
        <v>23</v>
      </c>
      <c r="B31" s="334" t="s">
        <v>24</v>
      </c>
      <c r="C31" s="334" t="s">
        <v>25</v>
      </c>
      <c r="D31" s="57" t="s">
        <v>26</v>
      </c>
      <c r="E31" s="31" t="s">
        <v>278</v>
      </c>
      <c r="F31" s="256" t="s">
        <v>636</v>
      </c>
      <c r="G31" s="8">
        <f t="shared" ref="G31:G44" si="1">H31+I31</f>
        <v>1053392</v>
      </c>
      <c r="H31" s="32">
        <f>829404+50690</f>
        <v>880094</v>
      </c>
      <c r="I31" s="32">
        <f>J31</f>
        <v>173298</v>
      </c>
      <c r="J31" s="33">
        <v>173298</v>
      </c>
    </row>
    <row r="32" spans="1:10" ht="81" customHeight="1" x14ac:dyDescent="0.25">
      <c r="A32" s="259" t="s">
        <v>281</v>
      </c>
      <c r="B32" s="9">
        <v>2152</v>
      </c>
      <c r="C32" s="260" t="s">
        <v>282</v>
      </c>
      <c r="D32" s="132" t="s">
        <v>26</v>
      </c>
      <c r="E32" s="241" t="s">
        <v>279</v>
      </c>
      <c r="F32" s="263" t="s">
        <v>399</v>
      </c>
      <c r="G32" s="35">
        <f t="shared" si="1"/>
        <v>2815512</v>
      </c>
      <c r="H32" s="36">
        <f>2932512-117000</f>
        <v>2815512</v>
      </c>
      <c r="I32" s="36">
        <v>0</v>
      </c>
      <c r="J32" s="37">
        <v>0</v>
      </c>
    </row>
    <row r="33" spans="1:10" ht="71.25" customHeight="1" x14ac:dyDescent="0.25">
      <c r="A33" s="91" t="s">
        <v>30</v>
      </c>
      <c r="B33" s="334" t="s">
        <v>31</v>
      </c>
      <c r="C33" s="334" t="s">
        <v>32</v>
      </c>
      <c r="D33" s="31" t="s">
        <v>33</v>
      </c>
      <c r="E33" s="31" t="s">
        <v>448</v>
      </c>
      <c r="F33" s="256" t="s">
        <v>507</v>
      </c>
      <c r="G33" s="8">
        <f t="shared" si="1"/>
        <v>836069</v>
      </c>
      <c r="H33" s="32">
        <f>155496+23379</f>
        <v>178875</v>
      </c>
      <c r="I33" s="32">
        <f>J33</f>
        <v>657194</v>
      </c>
      <c r="J33" s="33">
        <f>0+657194</f>
        <v>657194</v>
      </c>
    </row>
    <row r="34" spans="1:10" ht="85.5" customHeight="1" x14ac:dyDescent="0.25">
      <c r="A34" s="47">
        <v>218110</v>
      </c>
      <c r="B34" s="48">
        <v>8110</v>
      </c>
      <c r="C34" s="308" t="s">
        <v>284</v>
      </c>
      <c r="D34" s="181" t="s">
        <v>285</v>
      </c>
      <c r="E34" s="49" t="s">
        <v>453</v>
      </c>
      <c r="F34" s="256" t="s">
        <v>677</v>
      </c>
      <c r="G34" s="28">
        <f t="shared" si="1"/>
        <v>676200</v>
      </c>
      <c r="H34" s="29">
        <f>676200</f>
        <v>676200</v>
      </c>
      <c r="I34" s="29">
        <v>0</v>
      </c>
      <c r="J34" s="30">
        <v>0</v>
      </c>
    </row>
    <row r="35" spans="1:10" ht="80.45" customHeight="1" x14ac:dyDescent="0.25">
      <c r="A35" s="91" t="s">
        <v>34</v>
      </c>
      <c r="B35" s="334" t="s">
        <v>35</v>
      </c>
      <c r="C35" s="334" t="s">
        <v>36</v>
      </c>
      <c r="D35" s="57" t="s">
        <v>37</v>
      </c>
      <c r="E35" s="181" t="s">
        <v>349</v>
      </c>
      <c r="F35" s="181" t="s">
        <v>348</v>
      </c>
      <c r="G35" s="8">
        <f t="shared" si="1"/>
        <v>347700</v>
      </c>
      <c r="H35" s="32">
        <f>406200-58500</f>
        <v>347700</v>
      </c>
      <c r="I35" s="32">
        <v>0</v>
      </c>
      <c r="J35" s="33">
        <v>0</v>
      </c>
    </row>
    <row r="36" spans="1:10" ht="69" customHeight="1" x14ac:dyDescent="0.25">
      <c r="A36" s="54" t="s">
        <v>144</v>
      </c>
      <c r="B36" s="243">
        <v>8230</v>
      </c>
      <c r="C36" s="334" t="s">
        <v>36</v>
      </c>
      <c r="D36" s="58" t="s">
        <v>145</v>
      </c>
      <c r="E36" s="505" t="s">
        <v>351</v>
      </c>
      <c r="F36" s="181" t="s">
        <v>398</v>
      </c>
      <c r="G36" s="8">
        <f t="shared" si="1"/>
        <v>19054971</v>
      </c>
      <c r="H36" s="32">
        <f>20158706-303595-800140</f>
        <v>19054971</v>
      </c>
      <c r="I36" s="32">
        <v>0</v>
      </c>
      <c r="J36" s="33">
        <v>0</v>
      </c>
    </row>
    <row r="37" spans="1:10" ht="94.9" customHeight="1" x14ac:dyDescent="0.25">
      <c r="A37" s="54" t="s">
        <v>429</v>
      </c>
      <c r="B37" s="557">
        <v>8240</v>
      </c>
      <c r="C37" s="556" t="s">
        <v>36</v>
      </c>
      <c r="D37" s="58" t="s">
        <v>430</v>
      </c>
      <c r="E37" s="31" t="s">
        <v>452</v>
      </c>
      <c r="F37" s="181" t="s">
        <v>635</v>
      </c>
      <c r="G37" s="8">
        <f t="shared" si="1"/>
        <v>183598</v>
      </c>
      <c r="H37" s="32"/>
      <c r="I37" s="32">
        <f>400444-216846</f>
        <v>183598</v>
      </c>
      <c r="J37" s="576">
        <f>400444-216846</f>
        <v>183598</v>
      </c>
    </row>
    <row r="38" spans="1:10" ht="97.5" customHeight="1" x14ac:dyDescent="0.25">
      <c r="A38" s="556" t="s">
        <v>38</v>
      </c>
      <c r="B38" s="556" t="s">
        <v>39</v>
      </c>
      <c r="C38" s="556" t="s">
        <v>40</v>
      </c>
      <c r="D38" s="31" t="s">
        <v>410</v>
      </c>
      <c r="E38" s="31" t="s">
        <v>451</v>
      </c>
      <c r="F38" s="181" t="s">
        <v>518</v>
      </c>
      <c r="G38" s="8">
        <f t="shared" si="1"/>
        <v>3582707</v>
      </c>
      <c r="H38" s="32">
        <f>3582707+490356-490356</f>
        <v>3582707</v>
      </c>
      <c r="I38" s="32">
        <v>0</v>
      </c>
      <c r="J38" s="32">
        <v>0</v>
      </c>
    </row>
    <row r="39" spans="1:10" ht="97.5" customHeight="1" x14ac:dyDescent="0.25">
      <c r="A39" s="257" t="s">
        <v>418</v>
      </c>
      <c r="B39" s="664">
        <v>9770</v>
      </c>
      <c r="C39" s="308" t="s">
        <v>274</v>
      </c>
      <c r="D39" s="181" t="s">
        <v>412</v>
      </c>
      <c r="E39" s="31" t="s">
        <v>452</v>
      </c>
      <c r="F39" s="181" t="s">
        <v>635</v>
      </c>
      <c r="G39" s="8">
        <f t="shared" si="1"/>
        <v>30000000</v>
      </c>
      <c r="H39" s="8">
        <v>30000000</v>
      </c>
      <c r="I39" s="681">
        <f>J39</f>
        <v>0</v>
      </c>
      <c r="J39" s="32">
        <v>0</v>
      </c>
    </row>
    <row r="40" spans="1:10" ht="97.5" customHeight="1" x14ac:dyDescent="0.25">
      <c r="A40" s="259" t="s">
        <v>513</v>
      </c>
      <c r="B40" s="15">
        <v>9800</v>
      </c>
      <c r="C40" s="386" t="s">
        <v>274</v>
      </c>
      <c r="D40" s="264" t="s">
        <v>514</v>
      </c>
      <c r="E40" s="34" t="s">
        <v>452</v>
      </c>
      <c r="F40" s="279" t="s">
        <v>664</v>
      </c>
      <c r="G40" s="35">
        <f t="shared" si="1"/>
        <v>14560280</v>
      </c>
      <c r="H40" s="384">
        <f>0+4000000</f>
        <v>4000000</v>
      </c>
      <c r="I40" s="758">
        <f>J40</f>
        <v>10560280</v>
      </c>
      <c r="J40" s="680">
        <f>4560280+6000000</f>
        <v>10560280</v>
      </c>
    </row>
    <row r="41" spans="1:10" ht="97.5" customHeight="1" x14ac:dyDescent="0.25">
      <c r="A41" s="257" t="s">
        <v>513</v>
      </c>
      <c r="B41" s="756">
        <v>9800</v>
      </c>
      <c r="C41" s="308" t="s">
        <v>274</v>
      </c>
      <c r="D41" s="264" t="s">
        <v>514</v>
      </c>
      <c r="E41" s="34" t="s">
        <v>680</v>
      </c>
      <c r="F41" s="181" t="s">
        <v>665</v>
      </c>
      <c r="G41" s="35">
        <f t="shared" si="1"/>
        <v>7199000</v>
      </c>
      <c r="H41" s="8">
        <f>0+2199000</f>
        <v>2199000</v>
      </c>
      <c r="I41" s="758">
        <f t="shared" ref="I41:I44" si="2">J41</f>
        <v>5000000</v>
      </c>
      <c r="J41" s="32">
        <f>0+5000000</f>
        <v>5000000</v>
      </c>
    </row>
    <row r="42" spans="1:10" ht="97.5" customHeight="1" x14ac:dyDescent="0.25">
      <c r="A42" s="257" t="s">
        <v>513</v>
      </c>
      <c r="B42" s="756">
        <v>9800</v>
      </c>
      <c r="C42" s="308" t="s">
        <v>274</v>
      </c>
      <c r="D42" s="264" t="s">
        <v>514</v>
      </c>
      <c r="E42" s="34" t="s">
        <v>678</v>
      </c>
      <c r="F42" s="181" t="s">
        <v>665</v>
      </c>
      <c r="G42" s="35">
        <f t="shared" si="1"/>
        <v>3000000</v>
      </c>
      <c r="H42" s="8">
        <f>0+2332000</f>
        <v>2332000</v>
      </c>
      <c r="I42" s="758">
        <f t="shared" si="2"/>
        <v>668000</v>
      </c>
      <c r="J42" s="32">
        <f>0+668000</f>
        <v>668000</v>
      </c>
    </row>
    <row r="43" spans="1:10" ht="97.5" customHeight="1" x14ac:dyDescent="0.25">
      <c r="A43" s="257" t="s">
        <v>513</v>
      </c>
      <c r="B43" s="756">
        <v>9800</v>
      </c>
      <c r="C43" s="308" t="s">
        <v>274</v>
      </c>
      <c r="D43" s="181" t="s">
        <v>514</v>
      </c>
      <c r="E43" s="31" t="s">
        <v>681</v>
      </c>
      <c r="F43" s="279" t="s">
        <v>682</v>
      </c>
      <c r="G43" s="35">
        <f t="shared" si="1"/>
        <v>501139</v>
      </c>
      <c r="H43" s="8">
        <f>0+318739</f>
        <v>318739</v>
      </c>
      <c r="I43" s="758">
        <f t="shared" si="2"/>
        <v>182400</v>
      </c>
      <c r="J43" s="32">
        <f>0+182400</f>
        <v>182400</v>
      </c>
    </row>
    <row r="44" spans="1:10" ht="97.5" customHeight="1" thickBot="1" x14ac:dyDescent="0.3">
      <c r="A44" s="259" t="s">
        <v>513</v>
      </c>
      <c r="B44" s="15">
        <v>9800</v>
      </c>
      <c r="C44" s="386" t="s">
        <v>274</v>
      </c>
      <c r="D44" s="264" t="s">
        <v>514</v>
      </c>
      <c r="E44" s="31" t="s">
        <v>679</v>
      </c>
      <c r="F44" s="181" t="s">
        <v>665</v>
      </c>
      <c r="G44" s="35">
        <f t="shared" si="1"/>
        <v>1462700</v>
      </c>
      <c r="H44" s="384">
        <f>0+117100</f>
        <v>117100</v>
      </c>
      <c r="I44" s="758">
        <f t="shared" si="2"/>
        <v>1345600</v>
      </c>
      <c r="J44" s="680">
        <f>0+1345600</f>
        <v>1345600</v>
      </c>
    </row>
    <row r="45" spans="1:10" ht="50.25" customHeight="1" thickBot="1" x14ac:dyDescent="0.3">
      <c r="A45" s="280" t="s">
        <v>41</v>
      </c>
      <c r="B45" s="281" t="s">
        <v>16</v>
      </c>
      <c r="C45" s="281" t="s">
        <v>16</v>
      </c>
      <c r="D45" s="282" t="s">
        <v>419</v>
      </c>
      <c r="E45" s="759" t="s">
        <v>16</v>
      </c>
      <c r="F45" s="759" t="s">
        <v>16</v>
      </c>
      <c r="G45" s="760">
        <f>H45+I45</f>
        <v>17183874</v>
      </c>
      <c r="H45" s="760">
        <f>H46</f>
        <v>9751131</v>
      </c>
      <c r="I45" s="760">
        <f>I46</f>
        <v>7432743</v>
      </c>
      <c r="J45" s="761">
        <f>J46</f>
        <v>3932143</v>
      </c>
    </row>
    <row r="46" spans="1:10" ht="47.25" x14ac:dyDescent="0.25">
      <c r="A46" s="25" t="s">
        <v>42</v>
      </c>
      <c r="B46" s="26" t="s">
        <v>16</v>
      </c>
      <c r="C46" s="26" t="s">
        <v>16</v>
      </c>
      <c r="D46" s="56" t="s">
        <v>419</v>
      </c>
      <c r="E46" s="27" t="s">
        <v>16</v>
      </c>
      <c r="F46" s="27" t="s">
        <v>16</v>
      </c>
      <c r="G46" s="38">
        <f>H46+I46</f>
        <v>17183874</v>
      </c>
      <c r="H46" s="39">
        <f>H47+H48+H50+H51+H52+H53+H54+H59+H57+H58</f>
        <v>9751131</v>
      </c>
      <c r="I46" s="39">
        <f>I47+I48+I50+I51+I52+I53+I49+I55+I56+I60</f>
        <v>7432743</v>
      </c>
      <c r="J46" s="39">
        <f>J47+J48+J50+J51+J52+J53+J49+J55+J56+J60</f>
        <v>3932143</v>
      </c>
    </row>
    <row r="47" spans="1:10" ht="75" customHeight="1" x14ac:dyDescent="0.25">
      <c r="A47" s="91" t="s">
        <v>44</v>
      </c>
      <c r="B47" s="334">
        <v>1010</v>
      </c>
      <c r="C47" s="334" t="s">
        <v>46</v>
      </c>
      <c r="D47" s="57" t="s">
        <v>47</v>
      </c>
      <c r="E47" s="31" t="s">
        <v>337</v>
      </c>
      <c r="F47" s="399" t="s">
        <v>661</v>
      </c>
      <c r="G47" s="8">
        <f t="shared" ref="G47:G60" si="3">H47+I47</f>
        <v>810638</v>
      </c>
      <c r="H47" s="8">
        <f>750111+408412-347885</f>
        <v>810638</v>
      </c>
      <c r="I47" s="32">
        <v>0</v>
      </c>
      <c r="J47" s="33">
        <v>0</v>
      </c>
    </row>
    <row r="48" spans="1:10" ht="71.25" customHeight="1" x14ac:dyDescent="0.25">
      <c r="A48" s="91" t="s">
        <v>48</v>
      </c>
      <c r="B48" s="334" t="s">
        <v>49</v>
      </c>
      <c r="C48" s="334" t="s">
        <v>50</v>
      </c>
      <c r="D48" s="57" t="s">
        <v>51</v>
      </c>
      <c r="E48" s="31" t="s">
        <v>337</v>
      </c>
      <c r="F48" s="399" t="s">
        <v>661</v>
      </c>
      <c r="G48" s="8">
        <f t="shared" si="3"/>
        <v>5112189</v>
      </c>
      <c r="H48" s="8">
        <f>8619633+314896-3500600-222289-49726-49725</f>
        <v>5112189</v>
      </c>
      <c r="I48" s="32">
        <v>0</v>
      </c>
      <c r="J48" s="33">
        <v>0</v>
      </c>
    </row>
    <row r="49" spans="1:10" ht="81" customHeight="1" x14ac:dyDescent="0.25">
      <c r="A49" s="381" t="s">
        <v>420</v>
      </c>
      <c r="B49" s="556">
        <v>1403</v>
      </c>
      <c r="C49" s="556" t="s">
        <v>56</v>
      </c>
      <c r="D49" s="181" t="s">
        <v>421</v>
      </c>
      <c r="E49" s="31" t="s">
        <v>337</v>
      </c>
      <c r="F49" s="399" t="s">
        <v>661</v>
      </c>
      <c r="G49" s="8">
        <f t="shared" si="3"/>
        <v>3500600</v>
      </c>
      <c r="H49" s="8"/>
      <c r="I49" s="32">
        <v>3500600</v>
      </c>
      <c r="J49" s="33">
        <v>0</v>
      </c>
    </row>
    <row r="50" spans="1:10" ht="72" customHeight="1" x14ac:dyDescent="0.25">
      <c r="A50" s="91" t="s">
        <v>52</v>
      </c>
      <c r="B50" s="334" t="s">
        <v>53</v>
      </c>
      <c r="C50" s="334" t="s">
        <v>54</v>
      </c>
      <c r="D50" s="57" t="s">
        <v>55</v>
      </c>
      <c r="E50" s="31" t="s">
        <v>337</v>
      </c>
      <c r="F50" s="399" t="s">
        <v>661</v>
      </c>
      <c r="G50" s="8">
        <f t="shared" si="3"/>
        <v>22992</v>
      </c>
      <c r="H50" s="32">
        <f>40159-17167</f>
        <v>22992</v>
      </c>
      <c r="I50" s="32">
        <v>0</v>
      </c>
      <c r="J50" s="33">
        <v>0</v>
      </c>
    </row>
    <row r="51" spans="1:10" ht="61.5" customHeight="1" x14ac:dyDescent="0.25">
      <c r="A51" s="91" t="s">
        <v>57</v>
      </c>
      <c r="B51" s="334" t="s">
        <v>58</v>
      </c>
      <c r="C51" s="334" t="s">
        <v>56</v>
      </c>
      <c r="D51" s="57" t="s">
        <v>59</v>
      </c>
      <c r="E51" s="31" t="s">
        <v>337</v>
      </c>
      <c r="F51" s="399" t="s">
        <v>661</v>
      </c>
      <c r="G51" s="8">
        <f t="shared" si="3"/>
        <v>183122</v>
      </c>
      <c r="H51" s="32">
        <f>113122+70000</f>
        <v>183122</v>
      </c>
      <c r="I51" s="32">
        <v>0</v>
      </c>
      <c r="J51" s="33">
        <v>0</v>
      </c>
    </row>
    <row r="52" spans="1:10" ht="68.25" customHeight="1" x14ac:dyDescent="0.25">
      <c r="A52" s="91" t="s">
        <v>60</v>
      </c>
      <c r="B52" s="334" t="s">
        <v>61</v>
      </c>
      <c r="C52" s="334" t="s">
        <v>56</v>
      </c>
      <c r="D52" s="57" t="s">
        <v>62</v>
      </c>
      <c r="E52" s="31" t="s">
        <v>337</v>
      </c>
      <c r="F52" s="399" t="s">
        <v>661</v>
      </c>
      <c r="G52" s="8">
        <f t="shared" si="3"/>
        <v>4780</v>
      </c>
      <c r="H52" s="32">
        <f>11754-6974</f>
        <v>4780</v>
      </c>
      <c r="I52" s="32">
        <v>0</v>
      </c>
      <c r="J52" s="33">
        <v>0</v>
      </c>
    </row>
    <row r="53" spans="1:10" ht="73.5" customHeight="1" x14ac:dyDescent="0.25">
      <c r="A53" s="91" t="s">
        <v>63</v>
      </c>
      <c r="B53" s="334" t="s">
        <v>64</v>
      </c>
      <c r="C53" s="334" t="s">
        <v>56</v>
      </c>
      <c r="D53" s="57" t="s">
        <v>65</v>
      </c>
      <c r="E53" s="31" t="s">
        <v>337</v>
      </c>
      <c r="F53" s="399" t="s">
        <v>661</v>
      </c>
      <c r="G53" s="8">
        <f t="shared" si="3"/>
        <v>5919</v>
      </c>
      <c r="H53" s="32">
        <v>5919</v>
      </c>
      <c r="I53" s="32">
        <v>0</v>
      </c>
      <c r="J53" s="33">
        <v>0</v>
      </c>
    </row>
    <row r="54" spans="1:10" ht="67.900000000000006" customHeight="1" x14ac:dyDescent="0.25">
      <c r="A54" s="91" t="s">
        <v>63</v>
      </c>
      <c r="B54" s="334" t="s">
        <v>64</v>
      </c>
      <c r="C54" s="334" t="s">
        <v>56</v>
      </c>
      <c r="D54" s="57" t="s">
        <v>65</v>
      </c>
      <c r="E54" s="31" t="s">
        <v>456</v>
      </c>
      <c r="F54" s="31" t="s">
        <v>454</v>
      </c>
      <c r="G54" s="8">
        <f t="shared" si="3"/>
        <v>33491</v>
      </c>
      <c r="H54" s="32">
        <v>33491</v>
      </c>
      <c r="I54" s="32">
        <v>0</v>
      </c>
      <c r="J54" s="33">
        <v>0</v>
      </c>
    </row>
    <row r="55" spans="1:10" ht="121.9" customHeight="1" x14ac:dyDescent="0.25">
      <c r="A55" s="308" t="s">
        <v>431</v>
      </c>
      <c r="B55" s="556">
        <v>1183</v>
      </c>
      <c r="C55" s="557" t="s">
        <v>56</v>
      </c>
      <c r="D55" s="31" t="s">
        <v>433</v>
      </c>
      <c r="E55" s="31" t="s">
        <v>337</v>
      </c>
      <c r="F55" s="399" t="s">
        <v>661</v>
      </c>
      <c r="G55" s="8">
        <f t="shared" si="3"/>
        <v>579643</v>
      </c>
      <c r="H55" s="32"/>
      <c r="I55" s="32">
        <v>579643</v>
      </c>
      <c r="J55" s="32">
        <v>579643</v>
      </c>
    </row>
    <row r="56" spans="1:10" ht="127.15" customHeight="1" x14ac:dyDescent="0.25">
      <c r="A56" s="308" t="s">
        <v>432</v>
      </c>
      <c r="B56" s="556">
        <v>1184</v>
      </c>
      <c r="C56" s="557" t="s">
        <v>56</v>
      </c>
      <c r="D56" s="31" t="s">
        <v>434</v>
      </c>
      <c r="E56" s="31" t="s">
        <v>337</v>
      </c>
      <c r="F56" s="399" t="s">
        <v>661</v>
      </c>
      <c r="G56" s="8">
        <f t="shared" si="3"/>
        <v>1352500</v>
      </c>
      <c r="H56" s="32"/>
      <c r="I56" s="32">
        <v>1352500</v>
      </c>
      <c r="J56" s="32">
        <v>1352500</v>
      </c>
    </row>
    <row r="57" spans="1:10" ht="127.15" customHeight="1" x14ac:dyDescent="0.25">
      <c r="A57" s="566" t="s">
        <v>645</v>
      </c>
      <c r="B57" s="744">
        <v>1231</v>
      </c>
      <c r="C57" s="744" t="s">
        <v>56</v>
      </c>
      <c r="D57" s="181" t="s">
        <v>647</v>
      </c>
      <c r="E57" s="31" t="s">
        <v>337</v>
      </c>
      <c r="F57" s="399" t="s">
        <v>661</v>
      </c>
      <c r="G57" s="8">
        <f t="shared" si="3"/>
        <v>1250000</v>
      </c>
      <c r="H57" s="32">
        <f>0+1001903+248097</f>
        <v>1250000</v>
      </c>
      <c r="I57" s="32"/>
      <c r="J57" s="576"/>
    </row>
    <row r="58" spans="1:10" ht="127.15" customHeight="1" x14ac:dyDescent="0.25">
      <c r="A58" s="566" t="s">
        <v>646</v>
      </c>
      <c r="B58" s="744">
        <v>1232</v>
      </c>
      <c r="C58" s="744" t="s">
        <v>56</v>
      </c>
      <c r="D58" s="181" t="s">
        <v>648</v>
      </c>
      <c r="E58" s="31" t="s">
        <v>337</v>
      </c>
      <c r="F58" s="399" t="s">
        <v>661</v>
      </c>
      <c r="G58" s="8">
        <f t="shared" si="3"/>
        <v>1250000</v>
      </c>
      <c r="H58" s="32">
        <f>1001903+248097</f>
        <v>1250000</v>
      </c>
      <c r="I58" s="32"/>
      <c r="J58" s="576"/>
    </row>
    <row r="59" spans="1:10" ht="107.25" customHeight="1" x14ac:dyDescent="0.25">
      <c r="A59" s="147" t="s">
        <v>325</v>
      </c>
      <c r="B59" s="397">
        <v>3140</v>
      </c>
      <c r="C59" s="397">
        <v>1040</v>
      </c>
      <c r="D59" s="398" t="s">
        <v>326</v>
      </c>
      <c r="E59" s="399" t="s">
        <v>338</v>
      </c>
      <c r="F59" s="399" t="s">
        <v>455</v>
      </c>
      <c r="G59" s="8">
        <f t="shared" si="3"/>
        <v>1078000</v>
      </c>
      <c r="H59" s="32">
        <f>1001000+77000</f>
        <v>1078000</v>
      </c>
      <c r="I59" s="32">
        <v>0</v>
      </c>
      <c r="J59" s="33">
        <v>0</v>
      </c>
    </row>
    <row r="60" spans="1:10" ht="72" customHeight="1" thickBot="1" x14ac:dyDescent="0.3">
      <c r="A60" s="393" t="s">
        <v>624</v>
      </c>
      <c r="B60" s="394">
        <v>9750</v>
      </c>
      <c r="C60" s="725" t="s">
        <v>274</v>
      </c>
      <c r="D60" s="395" t="s">
        <v>625</v>
      </c>
      <c r="E60" s="31" t="s">
        <v>337</v>
      </c>
      <c r="F60" s="399" t="s">
        <v>661</v>
      </c>
      <c r="G60" s="8">
        <f t="shared" si="3"/>
        <v>2000000</v>
      </c>
      <c r="H60" s="261"/>
      <c r="I60" s="261">
        <v>2000000</v>
      </c>
      <c r="J60" s="682">
        <v>2000000</v>
      </c>
    </row>
    <row r="61" spans="1:10" ht="63" customHeight="1" thickBot="1" x14ac:dyDescent="0.3">
      <c r="A61" s="280" t="s">
        <v>67</v>
      </c>
      <c r="B61" s="281" t="s">
        <v>16</v>
      </c>
      <c r="C61" s="281" t="s">
        <v>16</v>
      </c>
      <c r="D61" s="282" t="s">
        <v>358</v>
      </c>
      <c r="E61" s="283" t="s">
        <v>16</v>
      </c>
      <c r="F61" s="283" t="s">
        <v>16</v>
      </c>
      <c r="G61" s="22">
        <f t="shared" ref="G61:G100" si="4">H61+I61</f>
        <v>45848296</v>
      </c>
      <c r="H61" s="22">
        <f>H62</f>
        <v>45848296</v>
      </c>
      <c r="I61" s="22">
        <f>I62</f>
        <v>0</v>
      </c>
      <c r="J61" s="284">
        <f>J62</f>
        <v>0</v>
      </c>
    </row>
    <row r="62" spans="1:10" ht="47.25" x14ac:dyDescent="0.25">
      <c r="A62" s="25" t="s">
        <v>68</v>
      </c>
      <c r="B62" s="26" t="s">
        <v>16</v>
      </c>
      <c r="C62" s="26" t="s">
        <v>16</v>
      </c>
      <c r="D62" s="56" t="s">
        <v>358</v>
      </c>
      <c r="E62" s="27" t="s">
        <v>16</v>
      </c>
      <c r="F62" s="27" t="s">
        <v>16</v>
      </c>
      <c r="G62" s="38">
        <f>H62+I62</f>
        <v>45848296</v>
      </c>
      <c r="H62" s="39">
        <f>H63+H64+H69+H65+H68+H67+H70+H66</f>
        <v>45848296</v>
      </c>
      <c r="I62" s="39">
        <f>I63+I69+I65+I68</f>
        <v>0</v>
      </c>
      <c r="J62" s="40">
        <f>J63+J69+J65+J68</f>
        <v>0</v>
      </c>
    </row>
    <row r="63" spans="1:10" ht="100.5" customHeight="1" x14ac:dyDescent="0.25">
      <c r="A63" s="91" t="s">
        <v>70</v>
      </c>
      <c r="B63" s="334" t="s">
        <v>71</v>
      </c>
      <c r="C63" s="334" t="s">
        <v>53</v>
      </c>
      <c r="D63" s="57" t="s">
        <v>72</v>
      </c>
      <c r="E63" s="181" t="s">
        <v>343</v>
      </c>
      <c r="F63" s="256" t="s">
        <v>505</v>
      </c>
      <c r="G63" s="8">
        <f t="shared" si="4"/>
        <v>3619</v>
      </c>
      <c r="H63" s="32">
        <f>9420-5801</f>
        <v>3619</v>
      </c>
      <c r="I63" s="32">
        <v>0</v>
      </c>
      <c r="J63" s="33">
        <v>0</v>
      </c>
    </row>
    <row r="64" spans="1:10" ht="125.25" customHeight="1" x14ac:dyDescent="0.25">
      <c r="A64" s="147" t="s">
        <v>238</v>
      </c>
      <c r="B64" s="397">
        <v>3105</v>
      </c>
      <c r="C64" s="397">
        <v>1010</v>
      </c>
      <c r="D64" s="398" t="s">
        <v>240</v>
      </c>
      <c r="E64" s="399" t="s">
        <v>341</v>
      </c>
      <c r="F64" s="399" t="s">
        <v>342</v>
      </c>
      <c r="G64" s="8">
        <f t="shared" si="4"/>
        <v>14952</v>
      </c>
      <c r="H64" s="32">
        <v>14952</v>
      </c>
      <c r="I64" s="32"/>
      <c r="J64" s="33"/>
    </row>
    <row r="65" spans="1:10" ht="93" customHeight="1" x14ac:dyDescent="0.25">
      <c r="A65" s="91">
        <v>813241</v>
      </c>
      <c r="B65" s="334">
        <v>3241</v>
      </c>
      <c r="C65" s="334">
        <v>1090</v>
      </c>
      <c r="D65" s="57" t="s">
        <v>409</v>
      </c>
      <c r="E65" s="181" t="s">
        <v>339</v>
      </c>
      <c r="F65" s="181" t="s">
        <v>350</v>
      </c>
      <c r="G65" s="8">
        <f t="shared" si="4"/>
        <v>58300</v>
      </c>
      <c r="H65" s="32">
        <v>58300</v>
      </c>
      <c r="I65" s="32"/>
      <c r="J65" s="33"/>
    </row>
    <row r="66" spans="1:10" ht="55.5" customHeight="1" x14ac:dyDescent="0.25">
      <c r="A66" s="743" t="s">
        <v>74</v>
      </c>
      <c r="B66" s="742" t="s">
        <v>75</v>
      </c>
      <c r="C66" s="742" t="s">
        <v>73</v>
      </c>
      <c r="D66" s="57" t="s">
        <v>76</v>
      </c>
      <c r="E66" s="181" t="s">
        <v>662</v>
      </c>
      <c r="F66" s="181" t="s">
        <v>663</v>
      </c>
      <c r="G66" s="8">
        <f t="shared" si="4"/>
        <v>36000</v>
      </c>
      <c r="H66" s="36">
        <f>0+36000</f>
        <v>36000</v>
      </c>
      <c r="I66" s="36"/>
      <c r="J66" s="37"/>
    </row>
    <row r="67" spans="1:10" ht="102" customHeight="1" x14ac:dyDescent="0.25">
      <c r="A67" s="665" t="s">
        <v>74</v>
      </c>
      <c r="B67" s="664" t="s">
        <v>75</v>
      </c>
      <c r="C67" s="664" t="s">
        <v>73</v>
      </c>
      <c r="D67" s="57" t="s">
        <v>76</v>
      </c>
      <c r="E67" s="181" t="s">
        <v>519</v>
      </c>
      <c r="F67" s="181" t="s">
        <v>520</v>
      </c>
      <c r="G67" s="8">
        <f t="shared" si="4"/>
        <v>83862</v>
      </c>
      <c r="H67" s="36">
        <f>83862</f>
        <v>83862</v>
      </c>
      <c r="I67" s="36"/>
      <c r="J67" s="37"/>
    </row>
    <row r="68" spans="1:10" ht="76.5" customHeight="1" x14ac:dyDescent="0.25">
      <c r="A68" s="252" t="s">
        <v>74</v>
      </c>
      <c r="B68" s="334" t="s">
        <v>75</v>
      </c>
      <c r="C68" s="334" t="s">
        <v>73</v>
      </c>
      <c r="D68" s="57" t="s">
        <v>76</v>
      </c>
      <c r="E68" s="181" t="s">
        <v>292</v>
      </c>
      <c r="F68" s="256" t="s">
        <v>675</v>
      </c>
      <c r="G68" s="8">
        <f t="shared" si="4"/>
        <v>42295200</v>
      </c>
      <c r="H68" s="36">
        <f>26169400-500000+17383862-83862-674200</f>
        <v>42295200</v>
      </c>
      <c r="I68" s="36"/>
      <c r="J68" s="37"/>
    </row>
    <row r="69" spans="1:10" ht="157.5" customHeight="1" x14ac:dyDescent="0.25">
      <c r="A69" s="666" t="s">
        <v>74</v>
      </c>
      <c r="B69" s="664" t="s">
        <v>75</v>
      </c>
      <c r="C69" s="664" t="s">
        <v>73</v>
      </c>
      <c r="D69" s="31" t="s">
        <v>76</v>
      </c>
      <c r="E69" s="31" t="s">
        <v>277</v>
      </c>
      <c r="F69" s="399" t="s">
        <v>676</v>
      </c>
      <c r="G69" s="8">
        <f t="shared" si="4"/>
        <v>3335000</v>
      </c>
      <c r="H69" s="32">
        <f>3000000+335000</f>
        <v>3335000</v>
      </c>
      <c r="I69" s="32">
        <v>0</v>
      </c>
      <c r="J69" s="32">
        <v>0</v>
      </c>
    </row>
    <row r="70" spans="1:10" ht="74.45" customHeight="1" thickBot="1" x14ac:dyDescent="0.3">
      <c r="A70" s="385" t="s">
        <v>511</v>
      </c>
      <c r="B70" s="15">
        <v>9770</v>
      </c>
      <c r="C70" s="514" t="s">
        <v>274</v>
      </c>
      <c r="D70" s="181" t="s">
        <v>412</v>
      </c>
      <c r="E70" s="181" t="s">
        <v>292</v>
      </c>
      <c r="F70" s="256" t="s">
        <v>675</v>
      </c>
      <c r="G70" s="8">
        <f t="shared" si="4"/>
        <v>21363</v>
      </c>
      <c r="H70" s="261">
        <v>21363</v>
      </c>
      <c r="I70" s="261"/>
      <c r="J70" s="682"/>
    </row>
    <row r="71" spans="1:10" ht="82.5" customHeight="1" thickBot="1" x14ac:dyDescent="0.3">
      <c r="A71" s="280" t="s">
        <v>77</v>
      </c>
      <c r="B71" s="281" t="s">
        <v>16</v>
      </c>
      <c r="C71" s="281" t="s">
        <v>16</v>
      </c>
      <c r="D71" s="282" t="s">
        <v>503</v>
      </c>
      <c r="E71" s="283" t="s">
        <v>16</v>
      </c>
      <c r="F71" s="283" t="s">
        <v>16</v>
      </c>
      <c r="G71" s="22">
        <f t="shared" si="4"/>
        <v>95000</v>
      </c>
      <c r="H71" s="22">
        <f t="shared" ref="H71:J72" si="5">H72</f>
        <v>95000</v>
      </c>
      <c r="I71" s="22">
        <f t="shared" si="5"/>
        <v>0</v>
      </c>
      <c r="J71" s="284">
        <f t="shared" si="5"/>
        <v>0</v>
      </c>
    </row>
    <row r="72" spans="1:10" ht="47.25" x14ac:dyDescent="0.25">
      <c r="A72" s="41" t="s">
        <v>79</v>
      </c>
      <c r="B72" s="42" t="s">
        <v>16</v>
      </c>
      <c r="C72" s="42" t="s">
        <v>16</v>
      </c>
      <c r="D72" s="133" t="s">
        <v>503</v>
      </c>
      <c r="E72" s="43" t="s">
        <v>16</v>
      </c>
      <c r="F72" s="43" t="s">
        <v>16</v>
      </c>
      <c r="G72" s="44">
        <f>H72+I72</f>
        <v>95000</v>
      </c>
      <c r="H72" s="45">
        <f t="shared" si="5"/>
        <v>95000</v>
      </c>
      <c r="I72" s="45">
        <f t="shared" si="5"/>
        <v>0</v>
      </c>
      <c r="J72" s="46">
        <f t="shared" si="5"/>
        <v>0</v>
      </c>
    </row>
    <row r="73" spans="1:10" ht="78" customHeight="1" thickBot="1" x14ac:dyDescent="0.3">
      <c r="A73" s="244" t="s">
        <v>80</v>
      </c>
      <c r="B73" s="368" t="s">
        <v>81</v>
      </c>
      <c r="C73" s="368" t="s">
        <v>66</v>
      </c>
      <c r="D73" s="249" t="s">
        <v>82</v>
      </c>
      <c r="E73" s="245" t="s">
        <v>280</v>
      </c>
      <c r="F73" s="697" t="s">
        <v>633</v>
      </c>
      <c r="G73" s="250">
        <f>H73</f>
        <v>95000</v>
      </c>
      <c r="H73" s="246">
        <f>34000+61000</f>
        <v>95000</v>
      </c>
      <c r="I73" s="246">
        <v>0</v>
      </c>
      <c r="J73" s="251">
        <v>0</v>
      </c>
    </row>
    <row r="74" spans="1:10" ht="66" customHeight="1" thickBot="1" x14ac:dyDescent="0.3">
      <c r="A74" s="280" t="s">
        <v>83</v>
      </c>
      <c r="B74" s="281" t="s">
        <v>16</v>
      </c>
      <c r="C74" s="281" t="s">
        <v>16</v>
      </c>
      <c r="D74" s="282" t="s">
        <v>521</v>
      </c>
      <c r="E74" s="283" t="s">
        <v>16</v>
      </c>
      <c r="F74" s="283" t="s">
        <v>16</v>
      </c>
      <c r="G74" s="22">
        <f t="shared" si="4"/>
        <v>42577417</v>
      </c>
      <c r="H74" s="22">
        <f>H75</f>
        <v>42577417</v>
      </c>
      <c r="I74" s="22">
        <f>I75</f>
        <v>0</v>
      </c>
      <c r="J74" s="284">
        <f>J75</f>
        <v>0</v>
      </c>
    </row>
    <row r="75" spans="1:10" ht="71.25" customHeight="1" x14ac:dyDescent="0.25">
      <c r="A75" s="25" t="s">
        <v>85</v>
      </c>
      <c r="B75" s="26" t="s">
        <v>16</v>
      </c>
      <c r="C75" s="26" t="s">
        <v>16</v>
      </c>
      <c r="D75" s="56" t="s">
        <v>512</v>
      </c>
      <c r="E75" s="27" t="s">
        <v>16</v>
      </c>
      <c r="F75" s="27" t="s">
        <v>16</v>
      </c>
      <c r="G75" s="38">
        <f>H75+I75</f>
        <v>42577417</v>
      </c>
      <c r="H75" s="39">
        <f>H76+H78+H79+H80+H81+H82+H83+H84+H86+H87+H85+H77</f>
        <v>42577417</v>
      </c>
      <c r="I75" s="39">
        <f>I76+I78+I79+I80+I81+I82+I83+I84+I86+I87+I85</f>
        <v>0</v>
      </c>
      <c r="J75" s="40">
        <f>J76+J78+J79+J80+J81+J82+J83+J84+J86+J87+J85</f>
        <v>0</v>
      </c>
    </row>
    <row r="76" spans="1:10" ht="63" x14ac:dyDescent="0.25">
      <c r="A76" s="91" t="s">
        <v>86</v>
      </c>
      <c r="B76" s="334" t="s">
        <v>87</v>
      </c>
      <c r="C76" s="334" t="s">
        <v>54</v>
      </c>
      <c r="D76" s="57" t="s">
        <v>88</v>
      </c>
      <c r="E76" s="181" t="s">
        <v>340</v>
      </c>
      <c r="F76" s="181" t="s">
        <v>397</v>
      </c>
      <c r="G76" s="8">
        <f t="shared" si="4"/>
        <v>27060</v>
      </c>
      <c r="H76" s="32">
        <v>27060</v>
      </c>
      <c r="I76" s="32">
        <v>0</v>
      </c>
      <c r="J76" s="33">
        <v>0</v>
      </c>
    </row>
    <row r="77" spans="1:10" ht="63" x14ac:dyDescent="0.25">
      <c r="A77" s="91" t="s">
        <v>89</v>
      </c>
      <c r="B77" s="334" t="s">
        <v>90</v>
      </c>
      <c r="C77" s="334" t="s">
        <v>66</v>
      </c>
      <c r="D77" s="57" t="s">
        <v>408</v>
      </c>
      <c r="E77" s="31" t="s">
        <v>304</v>
      </c>
      <c r="F77" s="31" t="s">
        <v>286</v>
      </c>
      <c r="G77" s="269">
        <f t="shared" si="4"/>
        <v>41035</v>
      </c>
      <c r="H77" s="268">
        <v>41035</v>
      </c>
      <c r="I77" s="32"/>
      <c r="J77" s="33"/>
    </row>
    <row r="78" spans="1:10" ht="47.25" x14ac:dyDescent="0.25">
      <c r="A78" s="91" t="s">
        <v>89</v>
      </c>
      <c r="B78" s="334" t="s">
        <v>90</v>
      </c>
      <c r="C78" s="334" t="s">
        <v>66</v>
      </c>
      <c r="D78" s="57" t="s">
        <v>91</v>
      </c>
      <c r="E78" s="181" t="s">
        <v>339</v>
      </c>
      <c r="F78" s="181" t="s">
        <v>350</v>
      </c>
      <c r="G78" s="269">
        <f t="shared" si="4"/>
        <v>299728</v>
      </c>
      <c r="H78" s="268">
        <v>299728</v>
      </c>
      <c r="I78" s="32">
        <v>0</v>
      </c>
      <c r="J78" s="33">
        <v>0</v>
      </c>
    </row>
    <row r="79" spans="1:10" ht="61.15" customHeight="1" x14ac:dyDescent="0.25">
      <c r="A79" s="91" t="s">
        <v>92</v>
      </c>
      <c r="B79" s="334" t="s">
        <v>93</v>
      </c>
      <c r="C79" s="334" t="s">
        <v>94</v>
      </c>
      <c r="D79" s="57" t="s">
        <v>95</v>
      </c>
      <c r="E79" s="181" t="s">
        <v>340</v>
      </c>
      <c r="F79" s="181" t="s">
        <v>397</v>
      </c>
      <c r="G79" s="8">
        <f t="shared" si="4"/>
        <v>5760</v>
      </c>
      <c r="H79" s="32">
        <v>5760</v>
      </c>
      <c r="I79" s="32">
        <v>0</v>
      </c>
      <c r="J79" s="33">
        <v>0</v>
      </c>
    </row>
    <row r="80" spans="1:10" ht="66" customHeight="1" x14ac:dyDescent="0.25">
      <c r="A80" s="91" t="s">
        <v>96</v>
      </c>
      <c r="B80" s="334" t="s">
        <v>97</v>
      </c>
      <c r="C80" s="334" t="s">
        <v>94</v>
      </c>
      <c r="D80" s="57" t="s">
        <v>98</v>
      </c>
      <c r="E80" s="181" t="s">
        <v>340</v>
      </c>
      <c r="F80" s="181" t="s">
        <v>397</v>
      </c>
      <c r="G80" s="8">
        <f t="shared" si="4"/>
        <v>1920</v>
      </c>
      <c r="H80" s="32">
        <v>1920</v>
      </c>
      <c r="I80" s="32">
        <v>0</v>
      </c>
      <c r="J80" s="33">
        <v>0</v>
      </c>
    </row>
    <row r="81" spans="1:10" ht="66" customHeight="1" x14ac:dyDescent="0.25">
      <c r="A81" s="91" t="s">
        <v>99</v>
      </c>
      <c r="B81" s="334" t="s">
        <v>100</v>
      </c>
      <c r="C81" s="334" t="s">
        <v>101</v>
      </c>
      <c r="D81" s="57" t="s">
        <v>102</v>
      </c>
      <c r="E81" s="181" t="s">
        <v>340</v>
      </c>
      <c r="F81" s="181" t="s">
        <v>397</v>
      </c>
      <c r="G81" s="8">
        <f t="shared" si="4"/>
        <v>25600</v>
      </c>
      <c r="H81" s="32">
        <v>25600</v>
      </c>
      <c r="I81" s="32">
        <v>0</v>
      </c>
      <c r="J81" s="33">
        <v>0</v>
      </c>
    </row>
    <row r="82" spans="1:10" ht="64.900000000000006" customHeight="1" x14ac:dyDescent="0.25">
      <c r="A82" s="91" t="s">
        <v>104</v>
      </c>
      <c r="B82" s="334" t="s">
        <v>105</v>
      </c>
      <c r="C82" s="334" t="s">
        <v>103</v>
      </c>
      <c r="D82" s="57" t="s">
        <v>106</v>
      </c>
      <c r="E82" s="181" t="s">
        <v>340</v>
      </c>
      <c r="F82" s="181" t="s">
        <v>397</v>
      </c>
      <c r="G82" s="8">
        <f t="shared" si="4"/>
        <v>316106</v>
      </c>
      <c r="H82" s="32">
        <v>316106</v>
      </c>
      <c r="I82" s="32">
        <v>0</v>
      </c>
      <c r="J82" s="33">
        <v>0</v>
      </c>
    </row>
    <row r="83" spans="1:10" ht="62.25" customHeight="1" x14ac:dyDescent="0.25">
      <c r="A83" s="91" t="s">
        <v>107</v>
      </c>
      <c r="B83" s="334" t="s">
        <v>108</v>
      </c>
      <c r="C83" s="334" t="s">
        <v>109</v>
      </c>
      <c r="D83" s="57" t="s">
        <v>110</v>
      </c>
      <c r="E83" s="31" t="s">
        <v>283</v>
      </c>
      <c r="F83" s="399" t="s">
        <v>672</v>
      </c>
      <c r="G83" s="8">
        <f t="shared" si="4"/>
        <v>90000</v>
      </c>
      <c r="H83" s="32">
        <v>90000</v>
      </c>
      <c r="I83" s="32">
        <v>0</v>
      </c>
      <c r="J83" s="33">
        <v>0</v>
      </c>
    </row>
    <row r="84" spans="1:10" ht="64.150000000000006" customHeight="1" x14ac:dyDescent="0.25">
      <c r="A84" s="91" t="s">
        <v>111</v>
      </c>
      <c r="B84" s="334" t="s">
        <v>112</v>
      </c>
      <c r="C84" s="334" t="s">
        <v>109</v>
      </c>
      <c r="D84" s="57" t="s">
        <v>406</v>
      </c>
      <c r="E84" s="31" t="s">
        <v>283</v>
      </c>
      <c r="F84" s="399" t="s">
        <v>672</v>
      </c>
      <c r="G84" s="8">
        <f t="shared" si="4"/>
        <v>4658468</v>
      </c>
      <c r="H84" s="32">
        <f>3426774+1231694</f>
        <v>4658468</v>
      </c>
      <c r="I84" s="32">
        <v>0</v>
      </c>
      <c r="J84" s="33">
        <v>0</v>
      </c>
    </row>
    <row r="85" spans="1:10" s="1" customFormat="1" ht="71.45" customHeight="1" x14ac:dyDescent="0.25">
      <c r="A85" s="68">
        <v>1015041</v>
      </c>
      <c r="B85" s="69">
        <v>5041</v>
      </c>
      <c r="C85" s="69" t="s">
        <v>109</v>
      </c>
      <c r="D85" s="134" t="s">
        <v>407</v>
      </c>
      <c r="E85" s="31" t="s">
        <v>283</v>
      </c>
      <c r="F85" s="399" t="s">
        <v>671</v>
      </c>
      <c r="G85" s="8">
        <f t="shared" si="4"/>
        <v>34958996</v>
      </c>
      <c r="H85" s="32">
        <f>33652119+1306877</f>
        <v>34958996</v>
      </c>
      <c r="I85" s="32">
        <v>0</v>
      </c>
      <c r="J85" s="33">
        <v>0</v>
      </c>
    </row>
    <row r="86" spans="1:10" ht="77.25" customHeight="1" x14ac:dyDescent="0.25">
      <c r="A86" s="91" t="s">
        <v>113</v>
      </c>
      <c r="B86" s="334" t="s">
        <v>114</v>
      </c>
      <c r="C86" s="334" t="s">
        <v>109</v>
      </c>
      <c r="D86" s="57" t="s">
        <v>115</v>
      </c>
      <c r="E86" s="31" t="s">
        <v>283</v>
      </c>
      <c r="F86" s="399" t="s">
        <v>673</v>
      </c>
      <c r="G86" s="8">
        <f t="shared" si="4"/>
        <v>1624744</v>
      </c>
      <c r="H86" s="32">
        <f>1808736-91996-79296-12700</f>
        <v>1624744</v>
      </c>
      <c r="I86" s="32">
        <v>0</v>
      </c>
      <c r="J86" s="33">
        <v>0</v>
      </c>
    </row>
    <row r="87" spans="1:10" ht="69.599999999999994" customHeight="1" thickBot="1" x14ac:dyDescent="0.3">
      <c r="A87" s="91" t="s">
        <v>116</v>
      </c>
      <c r="B87" s="334" t="s">
        <v>117</v>
      </c>
      <c r="C87" s="334" t="s">
        <v>109</v>
      </c>
      <c r="D87" s="57" t="s">
        <v>118</v>
      </c>
      <c r="E87" s="31" t="s">
        <v>283</v>
      </c>
      <c r="F87" s="31" t="s">
        <v>674</v>
      </c>
      <c r="G87" s="8">
        <f>H87+I87</f>
        <v>528000</v>
      </c>
      <c r="H87" s="32">
        <f>558000-30000</f>
        <v>528000</v>
      </c>
      <c r="I87" s="32">
        <v>0</v>
      </c>
      <c r="J87" s="33">
        <v>0</v>
      </c>
    </row>
    <row r="88" spans="1:10" ht="87.75" customHeight="1" thickBot="1" x14ac:dyDescent="0.3">
      <c r="A88" s="19" t="s">
        <v>119</v>
      </c>
      <c r="B88" s="20" t="s">
        <v>16</v>
      </c>
      <c r="C88" s="20" t="s">
        <v>16</v>
      </c>
      <c r="D88" s="131" t="s">
        <v>120</v>
      </c>
      <c r="E88" s="21" t="s">
        <v>16</v>
      </c>
      <c r="F88" s="21" t="s">
        <v>16</v>
      </c>
      <c r="G88" s="22">
        <f t="shared" si="4"/>
        <v>68658275</v>
      </c>
      <c r="H88" s="23">
        <f>H89</f>
        <v>65902549</v>
      </c>
      <c r="I88" s="23">
        <f>I89</f>
        <v>2755726</v>
      </c>
      <c r="J88" s="24">
        <f>J89</f>
        <v>2296426</v>
      </c>
    </row>
    <row r="89" spans="1:10" ht="69.75" customHeight="1" x14ac:dyDescent="0.25">
      <c r="A89" s="50">
        <v>1210000</v>
      </c>
      <c r="B89" s="26" t="s">
        <v>16</v>
      </c>
      <c r="C89" s="26" t="s">
        <v>16</v>
      </c>
      <c r="D89" s="56" t="s">
        <v>120</v>
      </c>
      <c r="E89" s="27" t="s">
        <v>16</v>
      </c>
      <c r="F89" s="27" t="s">
        <v>16</v>
      </c>
      <c r="G89" s="38">
        <f>H89+I89</f>
        <v>68658275</v>
      </c>
      <c r="H89" s="39">
        <f>H90+H91+H92+H94+H95+H96++H97+H100+H93+H98+H99</f>
        <v>65902549</v>
      </c>
      <c r="I89" s="39">
        <f>I90+I92+I94+I95+I96++I97+I100+I93</f>
        <v>2755726</v>
      </c>
      <c r="J89" s="39">
        <f t="shared" ref="J89" si="6">J90+J92+J94+J95+J96++J97+J100+J93</f>
        <v>2296426</v>
      </c>
    </row>
    <row r="90" spans="1:10" ht="61.9" customHeight="1" x14ac:dyDescent="0.25">
      <c r="A90" s="91" t="s">
        <v>123</v>
      </c>
      <c r="B90" s="334" t="s">
        <v>124</v>
      </c>
      <c r="C90" s="334" t="s">
        <v>125</v>
      </c>
      <c r="D90" s="57" t="s">
        <v>126</v>
      </c>
      <c r="E90" s="31" t="s">
        <v>344</v>
      </c>
      <c r="F90" s="399" t="s">
        <v>666</v>
      </c>
      <c r="G90" s="8">
        <f>H90+I90</f>
        <v>9760</v>
      </c>
      <c r="H90" s="32">
        <v>9760</v>
      </c>
      <c r="I90" s="32">
        <v>0</v>
      </c>
      <c r="J90" s="33">
        <v>0</v>
      </c>
    </row>
    <row r="91" spans="1:10" ht="61.9" customHeight="1" x14ac:dyDescent="0.25">
      <c r="A91" s="91">
        <v>1216012</v>
      </c>
      <c r="B91" s="664">
        <v>6012</v>
      </c>
      <c r="C91" s="257" t="s">
        <v>28</v>
      </c>
      <c r="D91" s="57" t="s">
        <v>287</v>
      </c>
      <c r="E91" s="31" t="s">
        <v>344</v>
      </c>
      <c r="F91" s="399" t="s">
        <v>666</v>
      </c>
      <c r="G91" s="8">
        <f>H91+I91</f>
        <v>6551345</v>
      </c>
      <c r="H91" s="32">
        <f>1677959+4873386</f>
        <v>6551345</v>
      </c>
      <c r="I91" s="32"/>
      <c r="J91" s="33"/>
    </row>
    <row r="92" spans="1:10" ht="69" customHeight="1" x14ac:dyDescent="0.25">
      <c r="A92" s="91" t="s">
        <v>127</v>
      </c>
      <c r="B92" s="334" t="s">
        <v>128</v>
      </c>
      <c r="C92" s="334" t="s">
        <v>28</v>
      </c>
      <c r="D92" s="57" t="s">
        <v>129</v>
      </c>
      <c r="E92" s="31" t="s">
        <v>344</v>
      </c>
      <c r="F92" s="399" t="s">
        <v>666</v>
      </c>
      <c r="G92" s="8">
        <f t="shared" si="4"/>
        <v>1269500</v>
      </c>
      <c r="H92" s="32">
        <f>1597918-29918-298500</f>
        <v>1269500</v>
      </c>
      <c r="I92" s="32">
        <v>0</v>
      </c>
      <c r="J92" s="33">
        <v>0</v>
      </c>
    </row>
    <row r="93" spans="1:10" ht="69" customHeight="1" x14ac:dyDescent="0.25">
      <c r="A93" s="91">
        <v>1216015</v>
      </c>
      <c r="B93" s="334">
        <v>6015</v>
      </c>
      <c r="C93" s="243" t="s">
        <v>28</v>
      </c>
      <c r="D93" s="181" t="s">
        <v>336</v>
      </c>
      <c r="E93" s="31" t="s">
        <v>381</v>
      </c>
      <c r="F93" s="399" t="s">
        <v>509</v>
      </c>
      <c r="G93" s="8">
        <f t="shared" si="4"/>
        <v>1835036</v>
      </c>
      <c r="H93" s="32"/>
      <c r="I93" s="32">
        <v>1835036</v>
      </c>
      <c r="J93" s="33">
        <f>I93</f>
        <v>1835036</v>
      </c>
    </row>
    <row r="94" spans="1:10" ht="74.25" customHeight="1" x14ac:dyDescent="0.25">
      <c r="A94" s="91" t="s">
        <v>130</v>
      </c>
      <c r="B94" s="334" t="s">
        <v>27</v>
      </c>
      <c r="C94" s="334" t="s">
        <v>28</v>
      </c>
      <c r="D94" s="57" t="s">
        <v>29</v>
      </c>
      <c r="E94" s="31" t="s">
        <v>344</v>
      </c>
      <c r="F94" s="399" t="s">
        <v>666</v>
      </c>
      <c r="G94" s="8">
        <f t="shared" si="4"/>
        <v>45832256</v>
      </c>
      <c r="H94" s="32">
        <f>45677519-1037165-100770+831282</f>
        <v>45370866</v>
      </c>
      <c r="I94" s="32">
        <v>461390</v>
      </c>
      <c r="J94" s="33">
        <f>I94</f>
        <v>461390</v>
      </c>
    </row>
    <row r="95" spans="1:10" ht="63.6" customHeight="1" x14ac:dyDescent="0.25">
      <c r="A95" s="91" t="s">
        <v>130</v>
      </c>
      <c r="B95" s="334" t="s">
        <v>27</v>
      </c>
      <c r="C95" s="334" t="s">
        <v>28</v>
      </c>
      <c r="D95" s="57" t="s">
        <v>29</v>
      </c>
      <c r="E95" s="399" t="s">
        <v>345</v>
      </c>
      <c r="F95" s="399" t="s">
        <v>346</v>
      </c>
      <c r="G95" s="8">
        <f t="shared" si="4"/>
        <v>175102</v>
      </c>
      <c r="H95" s="29">
        <v>175102</v>
      </c>
      <c r="I95" s="32">
        <v>0</v>
      </c>
      <c r="J95" s="33">
        <v>0</v>
      </c>
    </row>
    <row r="96" spans="1:10" ht="179.25" customHeight="1" x14ac:dyDescent="0.25">
      <c r="A96" s="420">
        <v>1216071</v>
      </c>
      <c r="B96" s="421">
        <v>6071</v>
      </c>
      <c r="C96" s="422" t="s">
        <v>327</v>
      </c>
      <c r="D96" s="423" t="s">
        <v>328</v>
      </c>
      <c r="E96" s="31" t="s">
        <v>344</v>
      </c>
      <c r="F96" s="399" t="s">
        <v>666</v>
      </c>
      <c r="G96" s="8">
        <f t="shared" si="4"/>
        <v>9284334</v>
      </c>
      <c r="H96" s="29">
        <f>4380000+4904334</f>
        <v>9284334</v>
      </c>
      <c r="I96" s="32">
        <v>0</v>
      </c>
      <c r="J96" s="33">
        <v>0</v>
      </c>
    </row>
    <row r="97" spans="1:10" ht="82.5" customHeight="1" x14ac:dyDescent="0.25">
      <c r="A97" s="68" t="s">
        <v>131</v>
      </c>
      <c r="B97" s="48" t="s">
        <v>132</v>
      </c>
      <c r="C97" s="48" t="s">
        <v>133</v>
      </c>
      <c r="D97" s="59" t="s">
        <v>134</v>
      </c>
      <c r="E97" s="31" t="s">
        <v>344</v>
      </c>
      <c r="F97" s="399" t="s">
        <v>666</v>
      </c>
      <c r="G97" s="28">
        <f t="shared" si="4"/>
        <v>2968087</v>
      </c>
      <c r="H97" s="29">
        <v>2968087</v>
      </c>
      <c r="I97" s="32">
        <v>0</v>
      </c>
      <c r="J97" s="33">
        <v>0</v>
      </c>
    </row>
    <row r="98" spans="1:10" ht="82.5" customHeight="1" x14ac:dyDescent="0.25">
      <c r="A98" s="68">
        <v>1218110</v>
      </c>
      <c r="B98" s="48">
        <v>8110</v>
      </c>
      <c r="C98" s="577" t="s">
        <v>284</v>
      </c>
      <c r="D98" s="59" t="s">
        <v>285</v>
      </c>
      <c r="E98" s="31" t="s">
        <v>453</v>
      </c>
      <c r="F98" s="399" t="s">
        <v>683</v>
      </c>
      <c r="G98" s="28">
        <f t="shared" si="4"/>
        <v>207555</v>
      </c>
      <c r="H98" s="32">
        <v>207555</v>
      </c>
      <c r="I98" s="36"/>
      <c r="J98" s="37"/>
    </row>
    <row r="99" spans="1:10" ht="82.5" customHeight="1" x14ac:dyDescent="0.25">
      <c r="A99" s="68">
        <v>1218311</v>
      </c>
      <c r="B99" s="286">
        <v>8311</v>
      </c>
      <c r="C99" s="510" t="s">
        <v>330</v>
      </c>
      <c r="D99" s="181" t="s">
        <v>331</v>
      </c>
      <c r="E99" s="31" t="s">
        <v>344</v>
      </c>
      <c r="F99" s="399" t="s">
        <v>666</v>
      </c>
      <c r="G99" s="28">
        <f t="shared" si="4"/>
        <v>66000</v>
      </c>
      <c r="H99" s="261">
        <f>0+66000</f>
        <v>66000</v>
      </c>
      <c r="I99" s="36"/>
      <c r="J99" s="37"/>
    </row>
    <row r="100" spans="1:10" ht="66.599999999999994" customHeight="1" thickBot="1" x14ac:dyDescent="0.3">
      <c r="A100" s="252" t="s">
        <v>135</v>
      </c>
      <c r="B100" s="334" t="s">
        <v>136</v>
      </c>
      <c r="C100" s="334" t="s">
        <v>137</v>
      </c>
      <c r="D100" s="57" t="s">
        <v>138</v>
      </c>
      <c r="E100" s="31" t="s">
        <v>380</v>
      </c>
      <c r="F100" s="184" t="s">
        <v>347</v>
      </c>
      <c r="G100" s="35">
        <f t="shared" si="4"/>
        <v>459300</v>
      </c>
      <c r="H100" s="36">
        <v>0</v>
      </c>
      <c r="I100" s="36">
        <v>459300</v>
      </c>
      <c r="J100" s="37">
        <v>0</v>
      </c>
    </row>
    <row r="101" spans="1:10" ht="70.5" customHeight="1" thickBot="1" x14ac:dyDescent="0.3">
      <c r="A101" s="19" t="s">
        <v>139</v>
      </c>
      <c r="B101" s="20" t="s">
        <v>16</v>
      </c>
      <c r="C101" s="20" t="s">
        <v>16</v>
      </c>
      <c r="D101" s="131" t="s">
        <v>435</v>
      </c>
      <c r="E101" s="21" t="s">
        <v>16</v>
      </c>
      <c r="F101" s="762" t="s">
        <v>16</v>
      </c>
      <c r="G101" s="22">
        <f>H101+I101</f>
        <v>55034036</v>
      </c>
      <c r="H101" s="23">
        <f>H102</f>
        <v>0</v>
      </c>
      <c r="I101" s="23">
        <f>I102</f>
        <v>55034036</v>
      </c>
      <c r="J101" s="24">
        <f>J102</f>
        <v>55034036</v>
      </c>
    </row>
    <row r="102" spans="1:10" ht="71.25" customHeight="1" x14ac:dyDescent="0.25">
      <c r="A102" s="50">
        <v>1510000</v>
      </c>
      <c r="B102" s="26" t="s">
        <v>16</v>
      </c>
      <c r="C102" s="26" t="s">
        <v>16</v>
      </c>
      <c r="D102" s="56" t="s">
        <v>435</v>
      </c>
      <c r="E102" s="27" t="s">
        <v>16</v>
      </c>
      <c r="F102" s="763" t="s">
        <v>16</v>
      </c>
      <c r="G102" s="38">
        <f>H102+I102</f>
        <v>55034036</v>
      </c>
      <c r="H102" s="39">
        <f>H111+H107</f>
        <v>0</v>
      </c>
      <c r="I102" s="39">
        <f>I111+I107+I104+I108+I106+I109+I110+I103+I105</f>
        <v>55034036</v>
      </c>
      <c r="J102" s="40">
        <f>J111+J107+J104+J108+J106+J109+J110+J103+J105</f>
        <v>55034036</v>
      </c>
    </row>
    <row r="103" spans="1:10" ht="71.25" customHeight="1" x14ac:dyDescent="0.25">
      <c r="A103" s="743">
        <v>1510150</v>
      </c>
      <c r="B103" s="308" t="s">
        <v>223</v>
      </c>
      <c r="C103" s="744" t="s">
        <v>18</v>
      </c>
      <c r="D103" s="181" t="s">
        <v>224</v>
      </c>
      <c r="E103" s="49" t="s">
        <v>457</v>
      </c>
      <c r="F103" s="399" t="s">
        <v>667</v>
      </c>
      <c r="G103" s="269">
        <f t="shared" ref="G103:G110" si="7">H103+I103</f>
        <v>250000</v>
      </c>
      <c r="H103" s="39"/>
      <c r="I103" s="32">
        <f>0+250000</f>
        <v>250000</v>
      </c>
      <c r="J103" s="32">
        <f t="shared" ref="J103:J111" si="8">I103</f>
        <v>250000</v>
      </c>
    </row>
    <row r="104" spans="1:10" ht="71.25" customHeight="1" x14ac:dyDescent="0.25">
      <c r="A104" s="325">
        <v>1511021</v>
      </c>
      <c r="B104" s="326">
        <v>1021</v>
      </c>
      <c r="C104" s="510" t="s">
        <v>50</v>
      </c>
      <c r="D104" s="181" t="s">
        <v>436</v>
      </c>
      <c r="E104" s="49" t="s">
        <v>457</v>
      </c>
      <c r="F104" s="399" t="s">
        <v>668</v>
      </c>
      <c r="G104" s="269">
        <f t="shared" si="7"/>
        <v>26127892</v>
      </c>
      <c r="H104" s="581"/>
      <c r="I104" s="32">
        <f>2503555+15306015+248082+1486740+583500+6000000</f>
        <v>26127892</v>
      </c>
      <c r="J104" s="32">
        <f t="shared" si="8"/>
        <v>26127892</v>
      </c>
    </row>
    <row r="105" spans="1:10" ht="71.25" customHeight="1" x14ac:dyDescent="0.25">
      <c r="A105" s="285">
        <v>1512010</v>
      </c>
      <c r="B105" s="286">
        <v>2010</v>
      </c>
      <c r="C105" s="510" t="s">
        <v>21</v>
      </c>
      <c r="D105" s="181" t="s">
        <v>22</v>
      </c>
      <c r="E105" s="49" t="s">
        <v>457</v>
      </c>
      <c r="F105" s="399" t="s">
        <v>669</v>
      </c>
      <c r="G105" s="269">
        <f t="shared" si="7"/>
        <v>3000000</v>
      </c>
      <c r="H105" s="578"/>
      <c r="I105" s="261">
        <f>0+3000000</f>
        <v>3000000</v>
      </c>
      <c r="J105" s="32">
        <f t="shared" si="8"/>
        <v>3000000</v>
      </c>
    </row>
    <row r="106" spans="1:10" ht="71.25" customHeight="1" x14ac:dyDescent="0.25">
      <c r="A106" s="325" t="s">
        <v>460</v>
      </c>
      <c r="B106" s="326" t="s">
        <v>461</v>
      </c>
      <c r="C106" s="510" t="s">
        <v>282</v>
      </c>
      <c r="D106" s="181" t="s">
        <v>437</v>
      </c>
      <c r="E106" s="49" t="s">
        <v>462</v>
      </c>
      <c r="F106" s="399" t="s">
        <v>510</v>
      </c>
      <c r="G106" s="269">
        <f t="shared" si="7"/>
        <v>173444</v>
      </c>
      <c r="H106" s="578"/>
      <c r="I106" s="261">
        <f>173444</f>
        <v>173444</v>
      </c>
      <c r="J106" s="30">
        <f t="shared" si="8"/>
        <v>173444</v>
      </c>
    </row>
    <row r="107" spans="1:10" s="1" customFormat="1" ht="81" customHeight="1" x14ac:dyDescent="0.25">
      <c r="A107" s="325" t="s">
        <v>300</v>
      </c>
      <c r="B107" s="326" t="s">
        <v>301</v>
      </c>
      <c r="C107" s="327" t="s">
        <v>28</v>
      </c>
      <c r="D107" s="328" t="s">
        <v>287</v>
      </c>
      <c r="E107" s="31" t="s">
        <v>344</v>
      </c>
      <c r="F107" s="399" t="s">
        <v>666</v>
      </c>
      <c r="G107" s="269">
        <f t="shared" si="7"/>
        <v>16296000</v>
      </c>
      <c r="H107" s="272">
        <v>0</v>
      </c>
      <c r="I107" s="272">
        <f>3098317-1031901+7997976-60000+45000+381043+5865565</f>
        <v>16296000</v>
      </c>
      <c r="J107" s="271">
        <f t="shared" si="8"/>
        <v>16296000</v>
      </c>
    </row>
    <row r="108" spans="1:10" s="1" customFormat="1" ht="81" customHeight="1" x14ac:dyDescent="0.25">
      <c r="A108" s="579" t="s">
        <v>458</v>
      </c>
      <c r="B108" s="579" t="s">
        <v>128</v>
      </c>
      <c r="C108" s="333" t="s">
        <v>28</v>
      </c>
      <c r="D108" s="263" t="s">
        <v>129</v>
      </c>
      <c r="E108" s="31" t="s">
        <v>344</v>
      </c>
      <c r="F108" s="399" t="s">
        <v>666</v>
      </c>
      <c r="G108" s="269">
        <f t="shared" si="7"/>
        <v>198440</v>
      </c>
      <c r="H108" s="272"/>
      <c r="I108" s="272">
        <f>60000+198440-60000</f>
        <v>198440</v>
      </c>
      <c r="J108" s="404">
        <f t="shared" si="8"/>
        <v>198440</v>
      </c>
    </row>
    <row r="109" spans="1:10" s="1" customFormat="1" ht="81" customHeight="1" x14ac:dyDescent="0.25">
      <c r="A109" s="580" t="s">
        <v>459</v>
      </c>
      <c r="B109" s="327" t="s">
        <v>27</v>
      </c>
      <c r="C109" s="333" t="s">
        <v>28</v>
      </c>
      <c r="D109" s="263" t="s">
        <v>29</v>
      </c>
      <c r="E109" s="31" t="s">
        <v>344</v>
      </c>
      <c r="F109" s="399" t="s">
        <v>666</v>
      </c>
      <c r="G109" s="269">
        <f t="shared" si="7"/>
        <v>1250370</v>
      </c>
      <c r="H109" s="272"/>
      <c r="I109" s="272">
        <f>45000+55031+49800+100539+1000000</f>
        <v>1250370</v>
      </c>
      <c r="J109" s="404">
        <f t="shared" si="8"/>
        <v>1250370</v>
      </c>
    </row>
    <row r="110" spans="1:10" s="1" customFormat="1" ht="81" customHeight="1" x14ac:dyDescent="0.25">
      <c r="A110" s="580" t="s">
        <v>459</v>
      </c>
      <c r="B110" s="327" t="s">
        <v>27</v>
      </c>
      <c r="C110" s="333" t="s">
        <v>28</v>
      </c>
      <c r="D110" s="263" t="s">
        <v>29</v>
      </c>
      <c r="E110" s="49" t="s">
        <v>457</v>
      </c>
      <c r="F110" s="399" t="s">
        <v>667</v>
      </c>
      <c r="G110" s="269">
        <f t="shared" si="7"/>
        <v>251111</v>
      </c>
      <c r="H110" s="272"/>
      <c r="I110" s="272">
        <f>251111</f>
        <v>251111</v>
      </c>
      <c r="J110" s="404">
        <f t="shared" si="8"/>
        <v>251111</v>
      </c>
    </row>
    <row r="111" spans="1:10" ht="77.25" customHeight="1" thickBot="1" x14ac:dyDescent="0.3">
      <c r="A111" s="400">
        <v>1517461</v>
      </c>
      <c r="B111" s="401">
        <v>7461</v>
      </c>
      <c r="C111" s="401" t="s">
        <v>133</v>
      </c>
      <c r="D111" s="402" t="s">
        <v>134</v>
      </c>
      <c r="E111" s="34" t="s">
        <v>344</v>
      </c>
      <c r="F111" s="399" t="s">
        <v>666</v>
      </c>
      <c r="G111" s="403">
        <f>I111</f>
        <v>7486779</v>
      </c>
      <c r="H111" s="272">
        <v>0</v>
      </c>
      <c r="I111" s="272">
        <f>2799508+2192418+490356+1007036+997461</f>
        <v>7486779</v>
      </c>
      <c r="J111" s="404">
        <f t="shared" si="8"/>
        <v>7486779</v>
      </c>
    </row>
    <row r="112" spans="1:10" ht="67.150000000000006" customHeight="1" thickBot="1" x14ac:dyDescent="0.3">
      <c r="A112" s="280">
        <v>1600000</v>
      </c>
      <c r="B112" s="20" t="s">
        <v>16</v>
      </c>
      <c r="C112" s="20" t="s">
        <v>16</v>
      </c>
      <c r="D112" s="131" t="s">
        <v>255</v>
      </c>
      <c r="E112" s="21" t="s">
        <v>16</v>
      </c>
      <c r="F112" s="21" t="s">
        <v>16</v>
      </c>
      <c r="G112" s="408">
        <f>H112+I112</f>
        <v>9099316</v>
      </c>
      <c r="H112" s="413">
        <f t="shared" ref="H112:J113" si="9">H113</f>
        <v>0</v>
      </c>
      <c r="I112" s="413">
        <f t="shared" si="9"/>
        <v>9099316</v>
      </c>
      <c r="J112" s="519">
        <f t="shared" si="9"/>
        <v>4036458</v>
      </c>
    </row>
    <row r="113" spans="1:16" ht="67.150000000000006" customHeight="1" x14ac:dyDescent="0.25">
      <c r="A113" s="302">
        <v>1610000</v>
      </c>
      <c r="B113" s="26" t="s">
        <v>16</v>
      </c>
      <c r="C113" s="26" t="s">
        <v>16</v>
      </c>
      <c r="D113" s="43" t="s">
        <v>255</v>
      </c>
      <c r="E113" s="56" t="s">
        <v>16</v>
      </c>
      <c r="F113" s="43" t="s">
        <v>16</v>
      </c>
      <c r="G113" s="516">
        <f>H113+I113</f>
        <v>9099316</v>
      </c>
      <c r="H113" s="517">
        <f t="shared" si="9"/>
        <v>0</v>
      </c>
      <c r="I113" s="517">
        <f t="shared" si="9"/>
        <v>9099316</v>
      </c>
      <c r="J113" s="518">
        <f t="shared" si="9"/>
        <v>4036458</v>
      </c>
    </row>
    <row r="114" spans="1:16" ht="94.5" customHeight="1" thickBot="1" x14ac:dyDescent="0.3">
      <c r="A114" s="513" t="s">
        <v>383</v>
      </c>
      <c r="B114" s="514" t="s">
        <v>384</v>
      </c>
      <c r="C114" s="386" t="s">
        <v>368</v>
      </c>
      <c r="D114" s="515" t="s">
        <v>382</v>
      </c>
      <c r="E114" s="550" t="s">
        <v>393</v>
      </c>
      <c r="F114" s="549" t="s">
        <v>634</v>
      </c>
      <c r="G114" s="511">
        <f>H114+I114</f>
        <v>9099316</v>
      </c>
      <c r="H114" s="411">
        <v>0</v>
      </c>
      <c r="I114" s="411">
        <f>1031901+206381+2798176+5062858</f>
        <v>9099316</v>
      </c>
      <c r="J114" s="512">
        <f>1031901+206381+2798176</f>
        <v>4036458</v>
      </c>
    </row>
    <row r="115" spans="1:16" ht="63" customHeight="1" thickBot="1" x14ac:dyDescent="0.3">
      <c r="A115" s="405">
        <v>2700000</v>
      </c>
      <c r="B115" s="406"/>
      <c r="C115" s="406"/>
      <c r="D115" s="407" t="s">
        <v>259</v>
      </c>
      <c r="E115" s="21"/>
      <c r="F115" s="21"/>
      <c r="G115" s="408">
        <f>G116</f>
        <v>5543818</v>
      </c>
      <c r="H115" s="408">
        <f t="shared" ref="H115:J115" si="10">H116</f>
        <v>5543818</v>
      </c>
      <c r="I115" s="408">
        <f t="shared" si="10"/>
        <v>0</v>
      </c>
      <c r="J115" s="409">
        <f t="shared" si="10"/>
        <v>0</v>
      </c>
    </row>
    <row r="116" spans="1:16" ht="52.5" customHeight="1" x14ac:dyDescent="0.25">
      <c r="A116" s="265">
        <v>2710000</v>
      </c>
      <c r="B116" s="266"/>
      <c r="C116" s="266"/>
      <c r="D116" s="267" t="s">
        <v>259</v>
      </c>
      <c r="E116" s="49"/>
      <c r="F116" s="49"/>
      <c r="G116" s="270">
        <f>G117+G118</f>
        <v>5543818</v>
      </c>
      <c r="H116" s="270">
        <f>H117+H118</f>
        <v>5543818</v>
      </c>
      <c r="I116" s="270">
        <f t="shared" ref="I116:J116" si="11">I117</f>
        <v>0</v>
      </c>
      <c r="J116" s="374">
        <f t="shared" si="11"/>
        <v>0</v>
      </c>
    </row>
    <row r="117" spans="1:16" ht="90.75" customHeight="1" x14ac:dyDescent="0.25">
      <c r="A117" s="91">
        <v>2717413</v>
      </c>
      <c r="B117" s="664">
        <v>7413</v>
      </c>
      <c r="C117" s="257" t="s">
        <v>290</v>
      </c>
      <c r="D117" s="31" t="s">
        <v>289</v>
      </c>
      <c r="E117" s="31" t="s">
        <v>288</v>
      </c>
      <c r="F117" s="31" t="s">
        <v>684</v>
      </c>
      <c r="G117" s="269">
        <f>H117+J117</f>
        <v>5362968</v>
      </c>
      <c r="H117" s="268">
        <f>5387040-24072</f>
        <v>5362968</v>
      </c>
      <c r="I117" s="268">
        <v>0</v>
      </c>
      <c r="J117" s="271">
        <v>0</v>
      </c>
    </row>
    <row r="118" spans="1:16" ht="88.5" customHeight="1" thickBot="1" x14ac:dyDescent="0.3">
      <c r="A118" s="14">
        <v>2717693</v>
      </c>
      <c r="B118" s="15">
        <v>7693</v>
      </c>
      <c r="C118" s="514" t="s">
        <v>227</v>
      </c>
      <c r="D118" s="723" t="s">
        <v>329</v>
      </c>
      <c r="E118" s="241" t="s">
        <v>627</v>
      </c>
      <c r="F118" s="396" t="s">
        <v>670</v>
      </c>
      <c r="G118" s="269">
        <f>H118+J118</f>
        <v>180850</v>
      </c>
      <c r="H118" s="411">
        <f>148850+32000</f>
        <v>180850</v>
      </c>
      <c r="I118" s="411"/>
      <c r="J118" s="724"/>
    </row>
    <row r="119" spans="1:16" ht="55.9" customHeight="1" thickBot="1" x14ac:dyDescent="0.3">
      <c r="A119" s="19">
        <v>3100000</v>
      </c>
      <c r="B119" s="20"/>
      <c r="C119" s="412"/>
      <c r="D119" s="131" t="s">
        <v>504</v>
      </c>
      <c r="E119" s="21"/>
      <c r="F119" s="21"/>
      <c r="G119" s="408">
        <f>H119+I119</f>
        <v>798472</v>
      </c>
      <c r="H119" s="413">
        <f>H120</f>
        <v>798472</v>
      </c>
      <c r="I119" s="413">
        <f t="shared" ref="I119:J119" si="12">I120</f>
        <v>0</v>
      </c>
      <c r="J119" s="413">
        <f t="shared" si="12"/>
        <v>0</v>
      </c>
    </row>
    <row r="120" spans="1:16" ht="49.5" customHeight="1" x14ac:dyDescent="0.25">
      <c r="A120" s="414">
        <v>3110000</v>
      </c>
      <c r="B120" s="394"/>
      <c r="C120" s="415"/>
      <c r="D120" s="416" t="s">
        <v>504</v>
      </c>
      <c r="E120" s="428"/>
      <c r="F120" s="396"/>
      <c r="G120" s="424">
        <f>H120</f>
        <v>798472</v>
      </c>
      <c r="H120" s="425">
        <f>H121+H123+H122</f>
        <v>798472</v>
      </c>
      <c r="I120" s="426">
        <v>0</v>
      </c>
      <c r="J120" s="427">
        <v>0</v>
      </c>
    </row>
    <row r="121" spans="1:16" ht="152.25" customHeight="1" x14ac:dyDescent="0.25">
      <c r="A121" s="417">
        <v>3117693</v>
      </c>
      <c r="B121" s="401">
        <v>7693</v>
      </c>
      <c r="C121" s="418" t="s">
        <v>227</v>
      </c>
      <c r="D121" s="419" t="s">
        <v>329</v>
      </c>
      <c r="E121" s="49" t="s">
        <v>277</v>
      </c>
      <c r="F121" s="399" t="s">
        <v>676</v>
      </c>
      <c r="G121" s="269">
        <f>H121+I121</f>
        <v>177000</v>
      </c>
      <c r="H121" s="269">
        <f>177000</f>
        <v>177000</v>
      </c>
      <c r="I121" s="272">
        <v>0</v>
      </c>
      <c r="J121" s="404">
        <v>0</v>
      </c>
    </row>
    <row r="122" spans="1:16" ht="73.5" customHeight="1" x14ac:dyDescent="0.25">
      <c r="A122" s="417">
        <v>3117693</v>
      </c>
      <c r="B122" s="401">
        <v>7693</v>
      </c>
      <c r="C122" s="418" t="s">
        <v>227</v>
      </c>
      <c r="D122" s="419" t="s">
        <v>329</v>
      </c>
      <c r="E122" s="34" t="s">
        <v>344</v>
      </c>
      <c r="F122" s="399" t="s">
        <v>666</v>
      </c>
      <c r="G122" s="269">
        <f>H122+I122</f>
        <v>500000</v>
      </c>
      <c r="H122" s="269">
        <v>500000</v>
      </c>
      <c r="I122" s="272"/>
      <c r="J122" s="404"/>
    </row>
    <row r="123" spans="1:16" ht="73.5" customHeight="1" thickBot="1" x14ac:dyDescent="0.3">
      <c r="A123" s="417">
        <v>3118110</v>
      </c>
      <c r="B123" s="401">
        <v>8110</v>
      </c>
      <c r="C123" s="418" t="s">
        <v>284</v>
      </c>
      <c r="D123" s="419" t="s">
        <v>285</v>
      </c>
      <c r="E123" s="34" t="s">
        <v>344</v>
      </c>
      <c r="F123" s="399" t="s">
        <v>666</v>
      </c>
      <c r="G123" s="269">
        <f>H123+I123</f>
        <v>121472</v>
      </c>
      <c r="H123" s="411">
        <v>121472</v>
      </c>
      <c r="I123" s="272">
        <v>0</v>
      </c>
      <c r="J123" s="404">
        <v>0</v>
      </c>
    </row>
    <row r="124" spans="1:16" ht="16.5" thickBot="1" x14ac:dyDescent="0.3">
      <c r="A124" s="280" t="s">
        <v>7</v>
      </c>
      <c r="B124" s="281" t="s">
        <v>7</v>
      </c>
      <c r="C124" s="281" t="s">
        <v>7</v>
      </c>
      <c r="D124" s="410" t="s">
        <v>141</v>
      </c>
      <c r="E124" s="281" t="s">
        <v>7</v>
      </c>
      <c r="F124" s="281" t="s">
        <v>7</v>
      </c>
      <c r="G124" s="22">
        <f>H124+I124</f>
        <v>356517401</v>
      </c>
      <c r="H124" s="22">
        <f>H23+H45+H61+H71+H74+H88+H101+H112+H115+H119</f>
        <v>261876523</v>
      </c>
      <c r="I124" s="22">
        <f>I23+I45+I61+I71+I74+I88+I101+I112+I115+I119</f>
        <v>94640878</v>
      </c>
      <c r="J124" s="284">
        <f>J23+J45+J61+J71+J74+J88+J101+J112+J115+J119</f>
        <v>85618120</v>
      </c>
    </row>
    <row r="125" spans="1:16" ht="13.5" hidden="1" customHeight="1" x14ac:dyDescent="0.25">
      <c r="A125" s="51"/>
      <c r="B125" s="51"/>
      <c r="C125" s="51"/>
      <c r="D125" s="52"/>
      <c r="E125" s="52"/>
      <c r="F125" s="52"/>
      <c r="G125" s="53"/>
      <c r="H125" s="53"/>
      <c r="I125" s="53"/>
      <c r="J125" s="53"/>
    </row>
    <row r="126" spans="1:16" ht="13.5" hidden="1" customHeight="1" x14ac:dyDescent="0.25">
      <c r="A126" s="51"/>
      <c r="B126" s="51"/>
      <c r="C126" s="51"/>
      <c r="D126" s="52"/>
      <c r="E126" s="52"/>
      <c r="F126" s="52"/>
      <c r="G126" s="53"/>
      <c r="H126" s="53"/>
      <c r="I126" s="53"/>
      <c r="J126" s="53"/>
    </row>
    <row r="127" spans="1:16" ht="17.25" customHeight="1" x14ac:dyDescent="0.25">
      <c r="A127" s="1"/>
      <c r="B127" s="1"/>
      <c r="C127" s="1"/>
      <c r="D127" s="1"/>
      <c r="E127" s="1"/>
      <c r="F127" s="1"/>
      <c r="G127" s="1"/>
      <c r="H127" s="1"/>
      <c r="I127" s="1"/>
      <c r="J127" s="1"/>
    </row>
    <row r="128" spans="1:16" s="126" customFormat="1" ht="25.5" customHeight="1" x14ac:dyDescent="0.2">
      <c r="A128" s="842" t="s">
        <v>390</v>
      </c>
      <c r="B128" s="842"/>
      <c r="C128" s="842"/>
      <c r="D128" s="842"/>
      <c r="E128" s="122"/>
      <c r="F128" s="122"/>
      <c r="G128" s="122" t="s">
        <v>319</v>
      </c>
      <c r="H128" s="122"/>
      <c r="I128" s="122"/>
      <c r="K128" s="122"/>
      <c r="L128" s="123"/>
      <c r="M128" s="122"/>
      <c r="N128" s="122"/>
      <c r="O128" s="124"/>
      <c r="P128" s="125"/>
    </row>
    <row r="129" spans="1:10" s="61" customFormat="1" ht="20.25" x14ac:dyDescent="0.3">
      <c r="A129" s="60"/>
      <c r="B129" s="60"/>
      <c r="G129" s="62"/>
    </row>
    <row r="130" spans="1:10" customFormat="1" ht="15.75" x14ac:dyDescent="0.25">
      <c r="A130" s="63"/>
      <c r="B130" s="63"/>
      <c r="G130" s="732"/>
      <c r="H130" s="732"/>
      <c r="I130" s="732"/>
      <c r="J130" s="732"/>
    </row>
    <row r="131" spans="1:10" x14ac:dyDescent="0.25">
      <c r="G131" s="731"/>
      <c r="H131" s="731"/>
      <c r="I131" s="731"/>
      <c r="J131" s="731"/>
    </row>
  </sheetData>
  <mergeCells count="13">
    <mergeCell ref="H5:I5"/>
    <mergeCell ref="A128:D128"/>
    <mergeCell ref="H20:H21"/>
    <mergeCell ref="I20:J20"/>
    <mergeCell ref="A16:J16"/>
    <mergeCell ref="A18:B18"/>
    <mergeCell ref="A20:A21"/>
    <mergeCell ref="B20:B21"/>
    <mergeCell ref="C20:C21"/>
    <mergeCell ref="D20:D21"/>
    <mergeCell ref="E20:E21"/>
    <mergeCell ref="F20:F21"/>
    <mergeCell ref="G20:G21"/>
  </mergeCells>
  <hyperlinks>
    <hyperlink ref="D55" r:id="rId1" location="n8" display="https://zakon.rada.gov.ua/rada/show/988-2016-%D1%80 - n8" xr:uid="{00000000-0004-0000-0400-000000000000}"/>
    <hyperlink ref="D56" r:id="rId2" location="n8" display="https://zakon.rada.gov.ua/rada/show/988-2016-%D1%80 - n8" xr:uid="{00000000-0004-0000-0400-000001000000}"/>
  </hyperlinks>
  <pageMargins left="0.78740157480314965" right="0.78740157480314965" top="1.1811023622047245" bottom="0.39370078740157483" header="0.31496062992125984" footer="0.31496062992125984"/>
  <pageSetup paperSize="9" scale="64"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5"/>
  <sheetViews>
    <sheetView tabSelected="1" view="pageBreakPreview" topLeftCell="A101" zoomScale="70" zoomScaleNormal="50" zoomScaleSheetLayoutView="70" workbookViewId="0">
      <selection activeCell="A100" sqref="A100:D100"/>
    </sheetView>
  </sheetViews>
  <sheetFormatPr defaultColWidth="9.28515625" defaultRowHeight="15" x14ac:dyDescent="0.25"/>
  <cols>
    <col min="1" max="1" width="14.5703125" style="185" customWidth="1"/>
    <col min="2" max="2" width="15.140625" style="186" customWidth="1"/>
    <col min="3" max="3" width="11" style="187" customWidth="1"/>
    <col min="4" max="4" width="51.42578125" style="188" customWidth="1"/>
    <col min="5" max="5" width="60.140625" style="189" customWidth="1"/>
    <col min="6" max="6" width="15.28515625" style="187" customWidth="1"/>
    <col min="7" max="7" width="18" style="190" customWidth="1"/>
    <col min="8" max="8" width="22.28515625" style="190" customWidth="1"/>
    <col min="9" max="9" width="13.85546875" style="190" customWidth="1"/>
    <col min="10" max="10" width="28.140625" style="191" customWidth="1"/>
    <col min="11" max="11" width="13.85546875" style="191" customWidth="1"/>
    <col min="12" max="12" width="9.28515625" style="185"/>
    <col min="13" max="13" width="16.85546875" style="185" bestFit="1" customWidth="1"/>
    <col min="14" max="14" width="9.28515625" style="185"/>
    <col min="15" max="15" width="13.7109375" style="185" bestFit="1" customWidth="1"/>
    <col min="16" max="256" width="9.28515625" style="185"/>
    <col min="257" max="257" width="15" style="185" customWidth="1"/>
    <col min="258" max="258" width="12.7109375" style="185" customWidth="1"/>
    <col min="259" max="259" width="11.7109375" style="185" customWidth="1"/>
    <col min="260" max="260" width="44.85546875" style="185" customWidth="1"/>
    <col min="261" max="261" width="54.7109375" style="185" customWidth="1"/>
    <col min="262" max="262" width="15.28515625" style="185" customWidth="1"/>
    <col min="263" max="264" width="19.28515625" style="185" customWidth="1"/>
    <col min="265" max="265" width="13.85546875" style="185" customWidth="1"/>
    <col min="266" max="266" width="25.28515625" style="185" customWidth="1"/>
    <col min="267" max="267" width="16.28515625" style="185" customWidth="1"/>
    <col min="268" max="512" width="9.28515625" style="185"/>
    <col min="513" max="513" width="15" style="185" customWidth="1"/>
    <col min="514" max="514" width="12.7109375" style="185" customWidth="1"/>
    <col min="515" max="515" width="11.7109375" style="185" customWidth="1"/>
    <col min="516" max="516" width="44.85546875" style="185" customWidth="1"/>
    <col min="517" max="517" width="54.7109375" style="185" customWidth="1"/>
    <col min="518" max="518" width="15.28515625" style="185" customWidth="1"/>
    <col min="519" max="520" width="19.28515625" style="185" customWidth="1"/>
    <col min="521" max="521" width="13.85546875" style="185" customWidth="1"/>
    <col min="522" max="522" width="25.28515625" style="185" customWidth="1"/>
    <col min="523" max="523" width="16.28515625" style="185" customWidth="1"/>
    <col min="524" max="768" width="9.28515625" style="185"/>
    <col min="769" max="769" width="15" style="185" customWidth="1"/>
    <col min="770" max="770" width="12.7109375" style="185" customWidth="1"/>
    <col min="771" max="771" width="11.7109375" style="185" customWidth="1"/>
    <col min="772" max="772" width="44.85546875" style="185" customWidth="1"/>
    <col min="773" max="773" width="54.7109375" style="185" customWidth="1"/>
    <col min="774" max="774" width="15.28515625" style="185" customWidth="1"/>
    <col min="775" max="776" width="19.28515625" style="185" customWidth="1"/>
    <col min="777" max="777" width="13.85546875" style="185" customWidth="1"/>
    <col min="778" max="778" width="25.28515625" style="185" customWidth="1"/>
    <col min="779" max="779" width="16.28515625" style="185" customWidth="1"/>
    <col min="780" max="1024" width="9.28515625" style="185"/>
    <col min="1025" max="1025" width="15" style="185" customWidth="1"/>
    <col min="1026" max="1026" width="12.7109375" style="185" customWidth="1"/>
    <col min="1027" max="1027" width="11.7109375" style="185" customWidth="1"/>
    <col min="1028" max="1028" width="44.85546875" style="185" customWidth="1"/>
    <col min="1029" max="1029" width="54.7109375" style="185" customWidth="1"/>
    <col min="1030" max="1030" width="15.28515625" style="185" customWidth="1"/>
    <col min="1031" max="1032" width="19.28515625" style="185" customWidth="1"/>
    <col min="1033" max="1033" width="13.85546875" style="185" customWidth="1"/>
    <col min="1034" max="1034" width="25.28515625" style="185" customWidth="1"/>
    <col min="1035" max="1035" width="16.28515625" style="185" customWidth="1"/>
    <col min="1036" max="1280" width="9.28515625" style="185"/>
    <col min="1281" max="1281" width="15" style="185" customWidth="1"/>
    <col min="1282" max="1282" width="12.7109375" style="185" customWidth="1"/>
    <col min="1283" max="1283" width="11.7109375" style="185" customWidth="1"/>
    <col min="1284" max="1284" width="44.85546875" style="185" customWidth="1"/>
    <col min="1285" max="1285" width="54.7109375" style="185" customWidth="1"/>
    <col min="1286" max="1286" width="15.28515625" style="185" customWidth="1"/>
    <col min="1287" max="1288" width="19.28515625" style="185" customWidth="1"/>
    <col min="1289" max="1289" width="13.85546875" style="185" customWidth="1"/>
    <col min="1290" max="1290" width="25.28515625" style="185" customWidth="1"/>
    <col min="1291" max="1291" width="16.28515625" style="185" customWidth="1"/>
    <col min="1292" max="1536" width="9.28515625" style="185"/>
    <col min="1537" max="1537" width="15" style="185" customWidth="1"/>
    <col min="1538" max="1538" width="12.7109375" style="185" customWidth="1"/>
    <col min="1539" max="1539" width="11.7109375" style="185" customWidth="1"/>
    <col min="1540" max="1540" width="44.85546875" style="185" customWidth="1"/>
    <col min="1541" max="1541" width="54.7109375" style="185" customWidth="1"/>
    <col min="1542" max="1542" width="15.28515625" style="185" customWidth="1"/>
    <col min="1543" max="1544" width="19.28515625" style="185" customWidth="1"/>
    <col min="1545" max="1545" width="13.85546875" style="185" customWidth="1"/>
    <col min="1546" max="1546" width="25.28515625" style="185" customWidth="1"/>
    <col min="1547" max="1547" width="16.28515625" style="185" customWidth="1"/>
    <col min="1548" max="1792" width="9.28515625" style="185"/>
    <col min="1793" max="1793" width="15" style="185" customWidth="1"/>
    <col min="1794" max="1794" width="12.7109375" style="185" customWidth="1"/>
    <col min="1795" max="1795" width="11.7109375" style="185" customWidth="1"/>
    <col min="1796" max="1796" width="44.85546875" style="185" customWidth="1"/>
    <col min="1797" max="1797" width="54.7109375" style="185" customWidth="1"/>
    <col min="1798" max="1798" width="15.28515625" style="185" customWidth="1"/>
    <col min="1799" max="1800" width="19.28515625" style="185" customWidth="1"/>
    <col min="1801" max="1801" width="13.85546875" style="185" customWidth="1"/>
    <col min="1802" max="1802" width="25.28515625" style="185" customWidth="1"/>
    <col min="1803" max="1803" width="16.28515625" style="185" customWidth="1"/>
    <col min="1804" max="2048" width="9.28515625" style="185"/>
    <col min="2049" max="2049" width="15" style="185" customWidth="1"/>
    <col min="2050" max="2050" width="12.7109375" style="185" customWidth="1"/>
    <col min="2051" max="2051" width="11.7109375" style="185" customWidth="1"/>
    <col min="2052" max="2052" width="44.85546875" style="185" customWidth="1"/>
    <col min="2053" max="2053" width="54.7109375" style="185" customWidth="1"/>
    <col min="2054" max="2054" width="15.28515625" style="185" customWidth="1"/>
    <col min="2055" max="2056" width="19.28515625" style="185" customWidth="1"/>
    <col min="2057" max="2057" width="13.85546875" style="185" customWidth="1"/>
    <col min="2058" max="2058" width="25.28515625" style="185" customWidth="1"/>
    <col min="2059" max="2059" width="16.28515625" style="185" customWidth="1"/>
    <col min="2060" max="2304" width="9.28515625" style="185"/>
    <col min="2305" max="2305" width="15" style="185" customWidth="1"/>
    <col min="2306" max="2306" width="12.7109375" style="185" customWidth="1"/>
    <col min="2307" max="2307" width="11.7109375" style="185" customWidth="1"/>
    <col min="2308" max="2308" width="44.85546875" style="185" customWidth="1"/>
    <col min="2309" max="2309" width="54.7109375" style="185" customWidth="1"/>
    <col min="2310" max="2310" width="15.28515625" style="185" customWidth="1"/>
    <col min="2311" max="2312" width="19.28515625" style="185" customWidth="1"/>
    <col min="2313" max="2313" width="13.85546875" style="185" customWidth="1"/>
    <col min="2314" max="2314" width="25.28515625" style="185" customWidth="1"/>
    <col min="2315" max="2315" width="16.28515625" style="185" customWidth="1"/>
    <col min="2316" max="2560" width="9.28515625" style="185"/>
    <col min="2561" max="2561" width="15" style="185" customWidth="1"/>
    <col min="2562" max="2562" width="12.7109375" style="185" customWidth="1"/>
    <col min="2563" max="2563" width="11.7109375" style="185" customWidth="1"/>
    <col min="2564" max="2564" width="44.85546875" style="185" customWidth="1"/>
    <col min="2565" max="2565" width="54.7109375" style="185" customWidth="1"/>
    <col min="2566" max="2566" width="15.28515625" style="185" customWidth="1"/>
    <col min="2567" max="2568" width="19.28515625" style="185" customWidth="1"/>
    <col min="2569" max="2569" width="13.85546875" style="185" customWidth="1"/>
    <col min="2570" max="2570" width="25.28515625" style="185" customWidth="1"/>
    <col min="2571" max="2571" width="16.28515625" style="185" customWidth="1"/>
    <col min="2572" max="2816" width="9.28515625" style="185"/>
    <col min="2817" max="2817" width="15" style="185" customWidth="1"/>
    <col min="2818" max="2818" width="12.7109375" style="185" customWidth="1"/>
    <col min="2819" max="2819" width="11.7109375" style="185" customWidth="1"/>
    <col min="2820" max="2820" width="44.85546875" style="185" customWidth="1"/>
    <col min="2821" max="2821" width="54.7109375" style="185" customWidth="1"/>
    <col min="2822" max="2822" width="15.28515625" style="185" customWidth="1"/>
    <col min="2823" max="2824" width="19.28515625" style="185" customWidth="1"/>
    <col min="2825" max="2825" width="13.85546875" style="185" customWidth="1"/>
    <col min="2826" max="2826" width="25.28515625" style="185" customWidth="1"/>
    <col min="2827" max="2827" width="16.28515625" style="185" customWidth="1"/>
    <col min="2828" max="3072" width="9.28515625" style="185"/>
    <col min="3073" max="3073" width="15" style="185" customWidth="1"/>
    <col min="3074" max="3074" width="12.7109375" style="185" customWidth="1"/>
    <col min="3075" max="3075" width="11.7109375" style="185" customWidth="1"/>
    <col min="3076" max="3076" width="44.85546875" style="185" customWidth="1"/>
    <col min="3077" max="3077" width="54.7109375" style="185" customWidth="1"/>
    <col min="3078" max="3078" width="15.28515625" style="185" customWidth="1"/>
    <col min="3079" max="3080" width="19.28515625" style="185" customWidth="1"/>
    <col min="3081" max="3081" width="13.85546875" style="185" customWidth="1"/>
    <col min="3082" max="3082" width="25.28515625" style="185" customWidth="1"/>
    <col min="3083" max="3083" width="16.28515625" style="185" customWidth="1"/>
    <col min="3084" max="3328" width="9.28515625" style="185"/>
    <col min="3329" max="3329" width="15" style="185" customWidth="1"/>
    <col min="3330" max="3330" width="12.7109375" style="185" customWidth="1"/>
    <col min="3331" max="3331" width="11.7109375" style="185" customWidth="1"/>
    <col min="3332" max="3332" width="44.85546875" style="185" customWidth="1"/>
    <col min="3333" max="3333" width="54.7109375" style="185" customWidth="1"/>
    <col min="3334" max="3334" width="15.28515625" style="185" customWidth="1"/>
    <col min="3335" max="3336" width="19.28515625" style="185" customWidth="1"/>
    <col min="3337" max="3337" width="13.85546875" style="185" customWidth="1"/>
    <col min="3338" max="3338" width="25.28515625" style="185" customWidth="1"/>
    <col min="3339" max="3339" width="16.28515625" style="185" customWidth="1"/>
    <col min="3340" max="3584" width="9.28515625" style="185"/>
    <col min="3585" max="3585" width="15" style="185" customWidth="1"/>
    <col min="3586" max="3586" width="12.7109375" style="185" customWidth="1"/>
    <col min="3587" max="3587" width="11.7109375" style="185" customWidth="1"/>
    <col min="3588" max="3588" width="44.85546875" style="185" customWidth="1"/>
    <col min="3589" max="3589" width="54.7109375" style="185" customWidth="1"/>
    <col min="3590" max="3590" width="15.28515625" style="185" customWidth="1"/>
    <col min="3591" max="3592" width="19.28515625" style="185" customWidth="1"/>
    <col min="3593" max="3593" width="13.85546875" style="185" customWidth="1"/>
    <col min="3594" max="3594" width="25.28515625" style="185" customWidth="1"/>
    <col min="3595" max="3595" width="16.28515625" style="185" customWidth="1"/>
    <col min="3596" max="3840" width="9.28515625" style="185"/>
    <col min="3841" max="3841" width="15" style="185" customWidth="1"/>
    <col min="3842" max="3842" width="12.7109375" style="185" customWidth="1"/>
    <col min="3843" max="3843" width="11.7109375" style="185" customWidth="1"/>
    <col min="3844" max="3844" width="44.85546875" style="185" customWidth="1"/>
    <col min="3845" max="3845" width="54.7109375" style="185" customWidth="1"/>
    <col min="3846" max="3846" width="15.28515625" style="185" customWidth="1"/>
    <col min="3847" max="3848" width="19.28515625" style="185" customWidth="1"/>
    <col min="3849" max="3849" width="13.85546875" style="185" customWidth="1"/>
    <col min="3850" max="3850" width="25.28515625" style="185" customWidth="1"/>
    <col min="3851" max="3851" width="16.28515625" style="185" customWidth="1"/>
    <col min="3852" max="4096" width="9.28515625" style="185"/>
    <col min="4097" max="4097" width="15" style="185" customWidth="1"/>
    <col min="4098" max="4098" width="12.7109375" style="185" customWidth="1"/>
    <col min="4099" max="4099" width="11.7109375" style="185" customWidth="1"/>
    <col min="4100" max="4100" width="44.85546875" style="185" customWidth="1"/>
    <col min="4101" max="4101" width="54.7109375" style="185" customWidth="1"/>
    <col min="4102" max="4102" width="15.28515625" style="185" customWidth="1"/>
    <col min="4103" max="4104" width="19.28515625" style="185" customWidth="1"/>
    <col min="4105" max="4105" width="13.85546875" style="185" customWidth="1"/>
    <col min="4106" max="4106" width="25.28515625" style="185" customWidth="1"/>
    <col min="4107" max="4107" width="16.28515625" style="185" customWidth="1"/>
    <col min="4108" max="4352" width="9.28515625" style="185"/>
    <col min="4353" max="4353" width="15" style="185" customWidth="1"/>
    <col min="4354" max="4354" width="12.7109375" style="185" customWidth="1"/>
    <col min="4355" max="4355" width="11.7109375" style="185" customWidth="1"/>
    <col min="4356" max="4356" width="44.85546875" style="185" customWidth="1"/>
    <col min="4357" max="4357" width="54.7109375" style="185" customWidth="1"/>
    <col min="4358" max="4358" width="15.28515625" style="185" customWidth="1"/>
    <col min="4359" max="4360" width="19.28515625" style="185" customWidth="1"/>
    <col min="4361" max="4361" width="13.85546875" style="185" customWidth="1"/>
    <col min="4362" max="4362" width="25.28515625" style="185" customWidth="1"/>
    <col min="4363" max="4363" width="16.28515625" style="185" customWidth="1"/>
    <col min="4364" max="4608" width="9.28515625" style="185"/>
    <col min="4609" max="4609" width="15" style="185" customWidth="1"/>
    <col min="4610" max="4610" width="12.7109375" style="185" customWidth="1"/>
    <col min="4611" max="4611" width="11.7109375" style="185" customWidth="1"/>
    <col min="4612" max="4612" width="44.85546875" style="185" customWidth="1"/>
    <col min="4613" max="4613" width="54.7109375" style="185" customWidth="1"/>
    <col min="4614" max="4614" width="15.28515625" style="185" customWidth="1"/>
    <col min="4615" max="4616" width="19.28515625" style="185" customWidth="1"/>
    <col min="4617" max="4617" width="13.85546875" style="185" customWidth="1"/>
    <col min="4618" max="4618" width="25.28515625" style="185" customWidth="1"/>
    <col min="4619" max="4619" width="16.28515625" style="185" customWidth="1"/>
    <col min="4620" max="4864" width="9.28515625" style="185"/>
    <col min="4865" max="4865" width="15" style="185" customWidth="1"/>
    <col min="4866" max="4866" width="12.7109375" style="185" customWidth="1"/>
    <col min="4867" max="4867" width="11.7109375" style="185" customWidth="1"/>
    <col min="4868" max="4868" width="44.85546875" style="185" customWidth="1"/>
    <col min="4869" max="4869" width="54.7109375" style="185" customWidth="1"/>
    <col min="4870" max="4870" width="15.28515625" style="185" customWidth="1"/>
    <col min="4871" max="4872" width="19.28515625" style="185" customWidth="1"/>
    <col min="4873" max="4873" width="13.85546875" style="185" customWidth="1"/>
    <col min="4874" max="4874" width="25.28515625" style="185" customWidth="1"/>
    <col min="4875" max="4875" width="16.28515625" style="185" customWidth="1"/>
    <col min="4876" max="5120" width="9.28515625" style="185"/>
    <col min="5121" max="5121" width="15" style="185" customWidth="1"/>
    <col min="5122" max="5122" width="12.7109375" style="185" customWidth="1"/>
    <col min="5123" max="5123" width="11.7109375" style="185" customWidth="1"/>
    <col min="5124" max="5124" width="44.85546875" style="185" customWidth="1"/>
    <col min="5125" max="5125" width="54.7109375" style="185" customWidth="1"/>
    <col min="5126" max="5126" width="15.28515625" style="185" customWidth="1"/>
    <col min="5127" max="5128" width="19.28515625" style="185" customWidth="1"/>
    <col min="5129" max="5129" width="13.85546875" style="185" customWidth="1"/>
    <col min="5130" max="5130" width="25.28515625" style="185" customWidth="1"/>
    <col min="5131" max="5131" width="16.28515625" style="185" customWidth="1"/>
    <col min="5132" max="5376" width="9.28515625" style="185"/>
    <col min="5377" max="5377" width="15" style="185" customWidth="1"/>
    <col min="5378" max="5378" width="12.7109375" style="185" customWidth="1"/>
    <col min="5379" max="5379" width="11.7109375" style="185" customWidth="1"/>
    <col min="5380" max="5380" width="44.85546875" style="185" customWidth="1"/>
    <col min="5381" max="5381" width="54.7109375" style="185" customWidth="1"/>
    <col min="5382" max="5382" width="15.28515625" style="185" customWidth="1"/>
    <col min="5383" max="5384" width="19.28515625" style="185" customWidth="1"/>
    <col min="5385" max="5385" width="13.85546875" style="185" customWidth="1"/>
    <col min="5386" max="5386" width="25.28515625" style="185" customWidth="1"/>
    <col min="5387" max="5387" width="16.28515625" style="185" customWidth="1"/>
    <col min="5388" max="5632" width="9.28515625" style="185"/>
    <col min="5633" max="5633" width="15" style="185" customWidth="1"/>
    <col min="5634" max="5634" width="12.7109375" style="185" customWidth="1"/>
    <col min="5635" max="5635" width="11.7109375" style="185" customWidth="1"/>
    <col min="5636" max="5636" width="44.85546875" style="185" customWidth="1"/>
    <col min="5637" max="5637" width="54.7109375" style="185" customWidth="1"/>
    <col min="5638" max="5638" width="15.28515625" style="185" customWidth="1"/>
    <col min="5639" max="5640" width="19.28515625" style="185" customWidth="1"/>
    <col min="5641" max="5641" width="13.85546875" style="185" customWidth="1"/>
    <col min="5642" max="5642" width="25.28515625" style="185" customWidth="1"/>
    <col min="5643" max="5643" width="16.28515625" style="185" customWidth="1"/>
    <col min="5644" max="5888" width="9.28515625" style="185"/>
    <col min="5889" max="5889" width="15" style="185" customWidth="1"/>
    <col min="5890" max="5890" width="12.7109375" style="185" customWidth="1"/>
    <col min="5891" max="5891" width="11.7109375" style="185" customWidth="1"/>
    <col min="5892" max="5892" width="44.85546875" style="185" customWidth="1"/>
    <col min="5893" max="5893" width="54.7109375" style="185" customWidth="1"/>
    <col min="5894" max="5894" width="15.28515625" style="185" customWidth="1"/>
    <col min="5895" max="5896" width="19.28515625" style="185" customWidth="1"/>
    <col min="5897" max="5897" width="13.85546875" style="185" customWidth="1"/>
    <col min="5898" max="5898" width="25.28515625" style="185" customWidth="1"/>
    <col min="5899" max="5899" width="16.28515625" style="185" customWidth="1"/>
    <col min="5900" max="6144" width="9.28515625" style="185"/>
    <col min="6145" max="6145" width="15" style="185" customWidth="1"/>
    <col min="6146" max="6146" width="12.7109375" style="185" customWidth="1"/>
    <col min="6147" max="6147" width="11.7109375" style="185" customWidth="1"/>
    <col min="6148" max="6148" width="44.85546875" style="185" customWidth="1"/>
    <col min="6149" max="6149" width="54.7109375" style="185" customWidth="1"/>
    <col min="6150" max="6150" width="15.28515625" style="185" customWidth="1"/>
    <col min="6151" max="6152" width="19.28515625" style="185" customWidth="1"/>
    <col min="6153" max="6153" width="13.85546875" style="185" customWidth="1"/>
    <col min="6154" max="6154" width="25.28515625" style="185" customWidth="1"/>
    <col min="6155" max="6155" width="16.28515625" style="185" customWidth="1"/>
    <col min="6156" max="6400" width="9.28515625" style="185"/>
    <col min="6401" max="6401" width="15" style="185" customWidth="1"/>
    <col min="6402" max="6402" width="12.7109375" style="185" customWidth="1"/>
    <col min="6403" max="6403" width="11.7109375" style="185" customWidth="1"/>
    <col min="6404" max="6404" width="44.85546875" style="185" customWidth="1"/>
    <col min="6405" max="6405" width="54.7109375" style="185" customWidth="1"/>
    <col min="6406" max="6406" width="15.28515625" style="185" customWidth="1"/>
    <col min="6407" max="6408" width="19.28515625" style="185" customWidth="1"/>
    <col min="6409" max="6409" width="13.85546875" style="185" customWidth="1"/>
    <col min="6410" max="6410" width="25.28515625" style="185" customWidth="1"/>
    <col min="6411" max="6411" width="16.28515625" style="185" customWidth="1"/>
    <col min="6412" max="6656" width="9.28515625" style="185"/>
    <col min="6657" max="6657" width="15" style="185" customWidth="1"/>
    <col min="6658" max="6658" width="12.7109375" style="185" customWidth="1"/>
    <col min="6659" max="6659" width="11.7109375" style="185" customWidth="1"/>
    <col min="6660" max="6660" width="44.85546875" style="185" customWidth="1"/>
    <col min="6661" max="6661" width="54.7109375" style="185" customWidth="1"/>
    <col min="6662" max="6662" width="15.28515625" style="185" customWidth="1"/>
    <col min="6663" max="6664" width="19.28515625" style="185" customWidth="1"/>
    <col min="6665" max="6665" width="13.85546875" style="185" customWidth="1"/>
    <col min="6666" max="6666" width="25.28515625" style="185" customWidth="1"/>
    <col min="6667" max="6667" width="16.28515625" style="185" customWidth="1"/>
    <col min="6668" max="6912" width="9.28515625" style="185"/>
    <col min="6913" max="6913" width="15" style="185" customWidth="1"/>
    <col min="6914" max="6914" width="12.7109375" style="185" customWidth="1"/>
    <col min="6915" max="6915" width="11.7109375" style="185" customWidth="1"/>
    <col min="6916" max="6916" width="44.85546875" style="185" customWidth="1"/>
    <col min="6917" max="6917" width="54.7109375" style="185" customWidth="1"/>
    <col min="6918" max="6918" width="15.28515625" style="185" customWidth="1"/>
    <col min="6919" max="6920" width="19.28515625" style="185" customWidth="1"/>
    <col min="6921" max="6921" width="13.85546875" style="185" customWidth="1"/>
    <col min="6922" max="6922" width="25.28515625" style="185" customWidth="1"/>
    <col min="6923" max="6923" width="16.28515625" style="185" customWidth="1"/>
    <col min="6924" max="7168" width="9.28515625" style="185"/>
    <col min="7169" max="7169" width="15" style="185" customWidth="1"/>
    <col min="7170" max="7170" width="12.7109375" style="185" customWidth="1"/>
    <col min="7171" max="7171" width="11.7109375" style="185" customWidth="1"/>
    <col min="7172" max="7172" width="44.85546875" style="185" customWidth="1"/>
    <col min="7173" max="7173" width="54.7109375" style="185" customWidth="1"/>
    <col min="7174" max="7174" width="15.28515625" style="185" customWidth="1"/>
    <col min="7175" max="7176" width="19.28515625" style="185" customWidth="1"/>
    <col min="7177" max="7177" width="13.85546875" style="185" customWidth="1"/>
    <col min="7178" max="7178" width="25.28515625" style="185" customWidth="1"/>
    <col min="7179" max="7179" width="16.28515625" style="185" customWidth="1"/>
    <col min="7180" max="7424" width="9.28515625" style="185"/>
    <col min="7425" max="7425" width="15" style="185" customWidth="1"/>
    <col min="7426" max="7426" width="12.7109375" style="185" customWidth="1"/>
    <col min="7427" max="7427" width="11.7109375" style="185" customWidth="1"/>
    <col min="7428" max="7428" width="44.85546875" style="185" customWidth="1"/>
    <col min="7429" max="7429" width="54.7109375" style="185" customWidth="1"/>
    <col min="7430" max="7430" width="15.28515625" style="185" customWidth="1"/>
    <col min="7431" max="7432" width="19.28515625" style="185" customWidth="1"/>
    <col min="7433" max="7433" width="13.85546875" style="185" customWidth="1"/>
    <col min="7434" max="7434" width="25.28515625" style="185" customWidth="1"/>
    <col min="7435" max="7435" width="16.28515625" style="185" customWidth="1"/>
    <col min="7436" max="7680" width="9.28515625" style="185"/>
    <col min="7681" max="7681" width="15" style="185" customWidth="1"/>
    <col min="7682" max="7682" width="12.7109375" style="185" customWidth="1"/>
    <col min="7683" max="7683" width="11.7109375" style="185" customWidth="1"/>
    <col min="7684" max="7684" width="44.85546875" style="185" customWidth="1"/>
    <col min="7685" max="7685" width="54.7109375" style="185" customWidth="1"/>
    <col min="7686" max="7686" width="15.28515625" style="185" customWidth="1"/>
    <col min="7687" max="7688" width="19.28515625" style="185" customWidth="1"/>
    <col min="7689" max="7689" width="13.85546875" style="185" customWidth="1"/>
    <col min="7690" max="7690" width="25.28515625" style="185" customWidth="1"/>
    <col min="7691" max="7691" width="16.28515625" style="185" customWidth="1"/>
    <col min="7692" max="7936" width="9.28515625" style="185"/>
    <col min="7937" max="7937" width="15" style="185" customWidth="1"/>
    <col min="7938" max="7938" width="12.7109375" style="185" customWidth="1"/>
    <col min="7939" max="7939" width="11.7109375" style="185" customWidth="1"/>
    <col min="7940" max="7940" width="44.85546875" style="185" customWidth="1"/>
    <col min="7941" max="7941" width="54.7109375" style="185" customWidth="1"/>
    <col min="7942" max="7942" width="15.28515625" style="185" customWidth="1"/>
    <col min="7943" max="7944" width="19.28515625" style="185" customWidth="1"/>
    <col min="7945" max="7945" width="13.85546875" style="185" customWidth="1"/>
    <col min="7946" max="7946" width="25.28515625" style="185" customWidth="1"/>
    <col min="7947" max="7947" width="16.28515625" style="185" customWidth="1"/>
    <col min="7948" max="8192" width="9.28515625" style="185"/>
    <col min="8193" max="8193" width="15" style="185" customWidth="1"/>
    <col min="8194" max="8194" width="12.7109375" style="185" customWidth="1"/>
    <col min="8195" max="8195" width="11.7109375" style="185" customWidth="1"/>
    <col min="8196" max="8196" width="44.85546875" style="185" customWidth="1"/>
    <col min="8197" max="8197" width="54.7109375" style="185" customWidth="1"/>
    <col min="8198" max="8198" width="15.28515625" style="185" customWidth="1"/>
    <col min="8199" max="8200" width="19.28515625" style="185" customWidth="1"/>
    <col min="8201" max="8201" width="13.85546875" style="185" customWidth="1"/>
    <col min="8202" max="8202" width="25.28515625" style="185" customWidth="1"/>
    <col min="8203" max="8203" width="16.28515625" style="185" customWidth="1"/>
    <col min="8204" max="8448" width="9.28515625" style="185"/>
    <col min="8449" max="8449" width="15" style="185" customWidth="1"/>
    <col min="8450" max="8450" width="12.7109375" style="185" customWidth="1"/>
    <col min="8451" max="8451" width="11.7109375" style="185" customWidth="1"/>
    <col min="8452" max="8452" width="44.85546875" style="185" customWidth="1"/>
    <col min="8453" max="8453" width="54.7109375" style="185" customWidth="1"/>
    <col min="8454" max="8454" width="15.28515625" style="185" customWidth="1"/>
    <col min="8455" max="8456" width="19.28515625" style="185" customWidth="1"/>
    <col min="8457" max="8457" width="13.85546875" style="185" customWidth="1"/>
    <col min="8458" max="8458" width="25.28515625" style="185" customWidth="1"/>
    <col min="8459" max="8459" width="16.28515625" style="185" customWidth="1"/>
    <col min="8460" max="8704" width="9.28515625" style="185"/>
    <col min="8705" max="8705" width="15" style="185" customWidth="1"/>
    <col min="8706" max="8706" width="12.7109375" style="185" customWidth="1"/>
    <col min="8707" max="8707" width="11.7109375" style="185" customWidth="1"/>
    <col min="8708" max="8708" width="44.85546875" style="185" customWidth="1"/>
    <col min="8709" max="8709" width="54.7109375" style="185" customWidth="1"/>
    <col min="8710" max="8710" width="15.28515625" style="185" customWidth="1"/>
    <col min="8711" max="8712" width="19.28515625" style="185" customWidth="1"/>
    <col min="8713" max="8713" width="13.85546875" style="185" customWidth="1"/>
    <col min="8714" max="8714" width="25.28515625" style="185" customWidth="1"/>
    <col min="8715" max="8715" width="16.28515625" style="185" customWidth="1"/>
    <col min="8716" max="8960" width="9.28515625" style="185"/>
    <col min="8961" max="8961" width="15" style="185" customWidth="1"/>
    <col min="8962" max="8962" width="12.7109375" style="185" customWidth="1"/>
    <col min="8963" max="8963" width="11.7109375" style="185" customWidth="1"/>
    <col min="8964" max="8964" width="44.85546875" style="185" customWidth="1"/>
    <col min="8965" max="8965" width="54.7109375" style="185" customWidth="1"/>
    <col min="8966" max="8966" width="15.28515625" style="185" customWidth="1"/>
    <col min="8967" max="8968" width="19.28515625" style="185" customWidth="1"/>
    <col min="8969" max="8969" width="13.85546875" style="185" customWidth="1"/>
    <col min="8970" max="8970" width="25.28515625" style="185" customWidth="1"/>
    <col min="8971" max="8971" width="16.28515625" style="185" customWidth="1"/>
    <col min="8972" max="9216" width="9.28515625" style="185"/>
    <col min="9217" max="9217" width="15" style="185" customWidth="1"/>
    <col min="9218" max="9218" width="12.7109375" style="185" customWidth="1"/>
    <col min="9219" max="9219" width="11.7109375" style="185" customWidth="1"/>
    <col min="9220" max="9220" width="44.85546875" style="185" customWidth="1"/>
    <col min="9221" max="9221" width="54.7109375" style="185" customWidth="1"/>
    <col min="9222" max="9222" width="15.28515625" style="185" customWidth="1"/>
    <col min="9223" max="9224" width="19.28515625" style="185" customWidth="1"/>
    <col min="9225" max="9225" width="13.85546875" style="185" customWidth="1"/>
    <col min="9226" max="9226" width="25.28515625" style="185" customWidth="1"/>
    <col min="9227" max="9227" width="16.28515625" style="185" customWidth="1"/>
    <col min="9228" max="9472" width="9.28515625" style="185"/>
    <col min="9473" max="9473" width="15" style="185" customWidth="1"/>
    <col min="9474" max="9474" width="12.7109375" style="185" customWidth="1"/>
    <col min="9475" max="9475" width="11.7109375" style="185" customWidth="1"/>
    <col min="9476" max="9476" width="44.85546875" style="185" customWidth="1"/>
    <col min="9477" max="9477" width="54.7109375" style="185" customWidth="1"/>
    <col min="9478" max="9478" width="15.28515625" style="185" customWidth="1"/>
    <col min="9479" max="9480" width="19.28515625" style="185" customWidth="1"/>
    <col min="9481" max="9481" width="13.85546875" style="185" customWidth="1"/>
    <col min="9482" max="9482" width="25.28515625" style="185" customWidth="1"/>
    <col min="9483" max="9483" width="16.28515625" style="185" customWidth="1"/>
    <col min="9484" max="9728" width="9.28515625" style="185"/>
    <col min="9729" max="9729" width="15" style="185" customWidth="1"/>
    <col min="9730" max="9730" width="12.7109375" style="185" customWidth="1"/>
    <col min="9731" max="9731" width="11.7109375" style="185" customWidth="1"/>
    <col min="9732" max="9732" width="44.85546875" style="185" customWidth="1"/>
    <col min="9733" max="9733" width="54.7109375" style="185" customWidth="1"/>
    <col min="9734" max="9734" width="15.28515625" style="185" customWidth="1"/>
    <col min="9735" max="9736" width="19.28515625" style="185" customWidth="1"/>
    <col min="9737" max="9737" width="13.85546875" style="185" customWidth="1"/>
    <col min="9738" max="9738" width="25.28515625" style="185" customWidth="1"/>
    <col min="9739" max="9739" width="16.28515625" style="185" customWidth="1"/>
    <col min="9740" max="9984" width="9.28515625" style="185"/>
    <col min="9985" max="9985" width="15" style="185" customWidth="1"/>
    <col min="9986" max="9986" width="12.7109375" style="185" customWidth="1"/>
    <col min="9987" max="9987" width="11.7109375" style="185" customWidth="1"/>
    <col min="9988" max="9988" width="44.85546875" style="185" customWidth="1"/>
    <col min="9989" max="9989" width="54.7109375" style="185" customWidth="1"/>
    <col min="9990" max="9990" width="15.28515625" style="185" customWidth="1"/>
    <col min="9991" max="9992" width="19.28515625" style="185" customWidth="1"/>
    <col min="9993" max="9993" width="13.85546875" style="185" customWidth="1"/>
    <col min="9994" max="9994" width="25.28515625" style="185" customWidth="1"/>
    <col min="9995" max="9995" width="16.28515625" style="185" customWidth="1"/>
    <col min="9996" max="10240" width="9.28515625" style="185"/>
    <col min="10241" max="10241" width="15" style="185" customWidth="1"/>
    <col min="10242" max="10242" width="12.7109375" style="185" customWidth="1"/>
    <col min="10243" max="10243" width="11.7109375" style="185" customWidth="1"/>
    <col min="10244" max="10244" width="44.85546875" style="185" customWidth="1"/>
    <col min="10245" max="10245" width="54.7109375" style="185" customWidth="1"/>
    <col min="10246" max="10246" width="15.28515625" style="185" customWidth="1"/>
    <col min="10247" max="10248" width="19.28515625" style="185" customWidth="1"/>
    <col min="10249" max="10249" width="13.85546875" style="185" customWidth="1"/>
    <col min="10250" max="10250" width="25.28515625" style="185" customWidth="1"/>
    <col min="10251" max="10251" width="16.28515625" style="185" customWidth="1"/>
    <col min="10252" max="10496" width="9.28515625" style="185"/>
    <col min="10497" max="10497" width="15" style="185" customWidth="1"/>
    <col min="10498" max="10498" width="12.7109375" style="185" customWidth="1"/>
    <col min="10499" max="10499" width="11.7109375" style="185" customWidth="1"/>
    <col min="10500" max="10500" width="44.85546875" style="185" customWidth="1"/>
    <col min="10501" max="10501" width="54.7109375" style="185" customWidth="1"/>
    <col min="10502" max="10502" width="15.28515625" style="185" customWidth="1"/>
    <col min="10503" max="10504" width="19.28515625" style="185" customWidth="1"/>
    <col min="10505" max="10505" width="13.85546875" style="185" customWidth="1"/>
    <col min="10506" max="10506" width="25.28515625" style="185" customWidth="1"/>
    <col min="10507" max="10507" width="16.28515625" style="185" customWidth="1"/>
    <col min="10508" max="10752" width="9.28515625" style="185"/>
    <col min="10753" max="10753" width="15" style="185" customWidth="1"/>
    <col min="10754" max="10754" width="12.7109375" style="185" customWidth="1"/>
    <col min="10755" max="10755" width="11.7109375" style="185" customWidth="1"/>
    <col min="10756" max="10756" width="44.85546875" style="185" customWidth="1"/>
    <col min="10757" max="10757" width="54.7109375" style="185" customWidth="1"/>
    <col min="10758" max="10758" width="15.28515625" style="185" customWidth="1"/>
    <col min="10759" max="10760" width="19.28515625" style="185" customWidth="1"/>
    <col min="10761" max="10761" width="13.85546875" style="185" customWidth="1"/>
    <col min="10762" max="10762" width="25.28515625" style="185" customWidth="1"/>
    <col min="10763" max="10763" width="16.28515625" style="185" customWidth="1"/>
    <col min="10764" max="11008" width="9.28515625" style="185"/>
    <col min="11009" max="11009" width="15" style="185" customWidth="1"/>
    <col min="11010" max="11010" width="12.7109375" style="185" customWidth="1"/>
    <col min="11011" max="11011" width="11.7109375" style="185" customWidth="1"/>
    <col min="11012" max="11012" width="44.85546875" style="185" customWidth="1"/>
    <col min="11013" max="11013" width="54.7109375" style="185" customWidth="1"/>
    <col min="11014" max="11014" width="15.28515625" style="185" customWidth="1"/>
    <col min="11015" max="11016" width="19.28515625" style="185" customWidth="1"/>
    <col min="11017" max="11017" width="13.85546875" style="185" customWidth="1"/>
    <col min="11018" max="11018" width="25.28515625" style="185" customWidth="1"/>
    <col min="11019" max="11019" width="16.28515625" style="185" customWidth="1"/>
    <col min="11020" max="11264" width="9.28515625" style="185"/>
    <col min="11265" max="11265" width="15" style="185" customWidth="1"/>
    <col min="11266" max="11266" width="12.7109375" style="185" customWidth="1"/>
    <col min="11267" max="11267" width="11.7109375" style="185" customWidth="1"/>
    <col min="11268" max="11268" width="44.85546875" style="185" customWidth="1"/>
    <col min="11269" max="11269" width="54.7109375" style="185" customWidth="1"/>
    <col min="11270" max="11270" width="15.28515625" style="185" customWidth="1"/>
    <col min="11271" max="11272" width="19.28515625" style="185" customWidth="1"/>
    <col min="11273" max="11273" width="13.85546875" style="185" customWidth="1"/>
    <col min="11274" max="11274" width="25.28515625" style="185" customWidth="1"/>
    <col min="11275" max="11275" width="16.28515625" style="185" customWidth="1"/>
    <col min="11276" max="11520" width="9.28515625" style="185"/>
    <col min="11521" max="11521" width="15" style="185" customWidth="1"/>
    <col min="11522" max="11522" width="12.7109375" style="185" customWidth="1"/>
    <col min="11523" max="11523" width="11.7109375" style="185" customWidth="1"/>
    <col min="11524" max="11524" width="44.85546875" style="185" customWidth="1"/>
    <col min="11525" max="11525" width="54.7109375" style="185" customWidth="1"/>
    <col min="11526" max="11526" width="15.28515625" style="185" customWidth="1"/>
    <col min="11527" max="11528" width="19.28515625" style="185" customWidth="1"/>
    <col min="11529" max="11529" width="13.85546875" style="185" customWidth="1"/>
    <col min="11530" max="11530" width="25.28515625" style="185" customWidth="1"/>
    <col min="11531" max="11531" width="16.28515625" style="185" customWidth="1"/>
    <col min="11532" max="11776" width="9.28515625" style="185"/>
    <col min="11777" max="11777" width="15" style="185" customWidth="1"/>
    <col min="11778" max="11778" width="12.7109375" style="185" customWidth="1"/>
    <col min="11779" max="11779" width="11.7109375" style="185" customWidth="1"/>
    <col min="11780" max="11780" width="44.85546875" style="185" customWidth="1"/>
    <col min="11781" max="11781" width="54.7109375" style="185" customWidth="1"/>
    <col min="11782" max="11782" width="15.28515625" style="185" customWidth="1"/>
    <col min="11783" max="11784" width="19.28515625" style="185" customWidth="1"/>
    <col min="11785" max="11785" width="13.85546875" style="185" customWidth="1"/>
    <col min="11786" max="11786" width="25.28515625" style="185" customWidth="1"/>
    <col min="11787" max="11787" width="16.28515625" style="185" customWidth="1"/>
    <col min="11788" max="12032" width="9.28515625" style="185"/>
    <col min="12033" max="12033" width="15" style="185" customWidth="1"/>
    <col min="12034" max="12034" width="12.7109375" style="185" customWidth="1"/>
    <col min="12035" max="12035" width="11.7109375" style="185" customWidth="1"/>
    <col min="12036" max="12036" width="44.85546875" style="185" customWidth="1"/>
    <col min="12037" max="12037" width="54.7109375" style="185" customWidth="1"/>
    <col min="12038" max="12038" width="15.28515625" style="185" customWidth="1"/>
    <col min="12039" max="12040" width="19.28515625" style="185" customWidth="1"/>
    <col min="12041" max="12041" width="13.85546875" style="185" customWidth="1"/>
    <col min="12042" max="12042" width="25.28515625" style="185" customWidth="1"/>
    <col min="12043" max="12043" width="16.28515625" style="185" customWidth="1"/>
    <col min="12044" max="12288" width="9.28515625" style="185"/>
    <col min="12289" max="12289" width="15" style="185" customWidth="1"/>
    <col min="12290" max="12290" width="12.7109375" style="185" customWidth="1"/>
    <col min="12291" max="12291" width="11.7109375" style="185" customWidth="1"/>
    <col min="12292" max="12292" width="44.85546875" style="185" customWidth="1"/>
    <col min="12293" max="12293" width="54.7109375" style="185" customWidth="1"/>
    <col min="12294" max="12294" width="15.28515625" style="185" customWidth="1"/>
    <col min="12295" max="12296" width="19.28515625" style="185" customWidth="1"/>
    <col min="12297" max="12297" width="13.85546875" style="185" customWidth="1"/>
    <col min="12298" max="12298" width="25.28515625" style="185" customWidth="1"/>
    <col min="12299" max="12299" width="16.28515625" style="185" customWidth="1"/>
    <col min="12300" max="12544" width="9.28515625" style="185"/>
    <col min="12545" max="12545" width="15" style="185" customWidth="1"/>
    <col min="12546" max="12546" width="12.7109375" style="185" customWidth="1"/>
    <col min="12547" max="12547" width="11.7109375" style="185" customWidth="1"/>
    <col min="12548" max="12548" width="44.85546875" style="185" customWidth="1"/>
    <col min="12549" max="12549" width="54.7109375" style="185" customWidth="1"/>
    <col min="12550" max="12550" width="15.28515625" style="185" customWidth="1"/>
    <col min="12551" max="12552" width="19.28515625" style="185" customWidth="1"/>
    <col min="12553" max="12553" width="13.85546875" style="185" customWidth="1"/>
    <col min="12554" max="12554" width="25.28515625" style="185" customWidth="1"/>
    <col min="12555" max="12555" width="16.28515625" style="185" customWidth="1"/>
    <col min="12556" max="12800" width="9.28515625" style="185"/>
    <col min="12801" max="12801" width="15" style="185" customWidth="1"/>
    <col min="12802" max="12802" width="12.7109375" style="185" customWidth="1"/>
    <col min="12803" max="12803" width="11.7109375" style="185" customWidth="1"/>
    <col min="12804" max="12804" width="44.85546875" style="185" customWidth="1"/>
    <col min="12805" max="12805" width="54.7109375" style="185" customWidth="1"/>
    <col min="12806" max="12806" width="15.28515625" style="185" customWidth="1"/>
    <col min="12807" max="12808" width="19.28515625" style="185" customWidth="1"/>
    <col min="12809" max="12809" width="13.85546875" style="185" customWidth="1"/>
    <col min="12810" max="12810" width="25.28515625" style="185" customWidth="1"/>
    <col min="12811" max="12811" width="16.28515625" style="185" customWidth="1"/>
    <col min="12812" max="13056" width="9.28515625" style="185"/>
    <col min="13057" max="13057" width="15" style="185" customWidth="1"/>
    <col min="13058" max="13058" width="12.7109375" style="185" customWidth="1"/>
    <col min="13059" max="13059" width="11.7109375" style="185" customWidth="1"/>
    <col min="13060" max="13060" width="44.85546875" style="185" customWidth="1"/>
    <col min="13061" max="13061" width="54.7109375" style="185" customWidth="1"/>
    <col min="13062" max="13062" width="15.28515625" style="185" customWidth="1"/>
    <col min="13063" max="13064" width="19.28515625" style="185" customWidth="1"/>
    <col min="13065" max="13065" width="13.85546875" style="185" customWidth="1"/>
    <col min="13066" max="13066" width="25.28515625" style="185" customWidth="1"/>
    <col min="13067" max="13067" width="16.28515625" style="185" customWidth="1"/>
    <col min="13068" max="13312" width="9.28515625" style="185"/>
    <col min="13313" max="13313" width="15" style="185" customWidth="1"/>
    <col min="13314" max="13314" width="12.7109375" style="185" customWidth="1"/>
    <col min="13315" max="13315" width="11.7109375" style="185" customWidth="1"/>
    <col min="13316" max="13316" width="44.85546875" style="185" customWidth="1"/>
    <col min="13317" max="13317" width="54.7109375" style="185" customWidth="1"/>
    <col min="13318" max="13318" width="15.28515625" style="185" customWidth="1"/>
    <col min="13319" max="13320" width="19.28515625" style="185" customWidth="1"/>
    <col min="13321" max="13321" width="13.85546875" style="185" customWidth="1"/>
    <col min="13322" max="13322" width="25.28515625" style="185" customWidth="1"/>
    <col min="13323" max="13323" width="16.28515625" style="185" customWidth="1"/>
    <col min="13324" max="13568" width="9.28515625" style="185"/>
    <col min="13569" max="13569" width="15" style="185" customWidth="1"/>
    <col min="13570" max="13570" width="12.7109375" style="185" customWidth="1"/>
    <col min="13571" max="13571" width="11.7109375" style="185" customWidth="1"/>
    <col min="13572" max="13572" width="44.85546875" style="185" customWidth="1"/>
    <col min="13573" max="13573" width="54.7109375" style="185" customWidth="1"/>
    <col min="13574" max="13574" width="15.28515625" style="185" customWidth="1"/>
    <col min="13575" max="13576" width="19.28515625" style="185" customWidth="1"/>
    <col min="13577" max="13577" width="13.85546875" style="185" customWidth="1"/>
    <col min="13578" max="13578" width="25.28515625" style="185" customWidth="1"/>
    <col min="13579" max="13579" width="16.28515625" style="185" customWidth="1"/>
    <col min="13580" max="13824" width="9.28515625" style="185"/>
    <col min="13825" max="13825" width="15" style="185" customWidth="1"/>
    <col min="13826" max="13826" width="12.7109375" style="185" customWidth="1"/>
    <col min="13827" max="13827" width="11.7109375" style="185" customWidth="1"/>
    <col min="13828" max="13828" width="44.85546875" style="185" customWidth="1"/>
    <col min="13829" max="13829" width="54.7109375" style="185" customWidth="1"/>
    <col min="13830" max="13830" width="15.28515625" style="185" customWidth="1"/>
    <col min="13831" max="13832" width="19.28515625" style="185" customWidth="1"/>
    <col min="13833" max="13833" width="13.85546875" style="185" customWidth="1"/>
    <col min="13834" max="13834" width="25.28515625" style="185" customWidth="1"/>
    <col min="13835" max="13835" width="16.28515625" style="185" customWidth="1"/>
    <col min="13836" max="14080" width="9.28515625" style="185"/>
    <col min="14081" max="14081" width="15" style="185" customWidth="1"/>
    <col min="14082" max="14082" width="12.7109375" style="185" customWidth="1"/>
    <col min="14083" max="14083" width="11.7109375" style="185" customWidth="1"/>
    <col min="14084" max="14084" width="44.85546875" style="185" customWidth="1"/>
    <col min="14085" max="14085" width="54.7109375" style="185" customWidth="1"/>
    <col min="14086" max="14086" width="15.28515625" style="185" customWidth="1"/>
    <col min="14087" max="14088" width="19.28515625" style="185" customWidth="1"/>
    <col min="14089" max="14089" width="13.85546875" style="185" customWidth="1"/>
    <col min="14090" max="14090" width="25.28515625" style="185" customWidth="1"/>
    <col min="14091" max="14091" width="16.28515625" style="185" customWidth="1"/>
    <col min="14092" max="14336" width="9.28515625" style="185"/>
    <col min="14337" max="14337" width="15" style="185" customWidth="1"/>
    <col min="14338" max="14338" width="12.7109375" style="185" customWidth="1"/>
    <col min="14339" max="14339" width="11.7109375" style="185" customWidth="1"/>
    <col min="14340" max="14340" width="44.85546875" style="185" customWidth="1"/>
    <col min="14341" max="14341" width="54.7109375" style="185" customWidth="1"/>
    <col min="14342" max="14342" width="15.28515625" style="185" customWidth="1"/>
    <col min="14343" max="14344" width="19.28515625" style="185" customWidth="1"/>
    <col min="14345" max="14345" width="13.85546875" style="185" customWidth="1"/>
    <col min="14346" max="14346" width="25.28515625" style="185" customWidth="1"/>
    <col min="14347" max="14347" width="16.28515625" style="185" customWidth="1"/>
    <col min="14348" max="14592" width="9.28515625" style="185"/>
    <col min="14593" max="14593" width="15" style="185" customWidth="1"/>
    <col min="14594" max="14594" width="12.7109375" style="185" customWidth="1"/>
    <col min="14595" max="14595" width="11.7109375" style="185" customWidth="1"/>
    <col min="14596" max="14596" width="44.85546875" style="185" customWidth="1"/>
    <col min="14597" max="14597" width="54.7109375" style="185" customWidth="1"/>
    <col min="14598" max="14598" width="15.28515625" style="185" customWidth="1"/>
    <col min="14599" max="14600" width="19.28515625" style="185" customWidth="1"/>
    <col min="14601" max="14601" width="13.85546875" style="185" customWidth="1"/>
    <col min="14602" max="14602" width="25.28515625" style="185" customWidth="1"/>
    <col min="14603" max="14603" width="16.28515625" style="185" customWidth="1"/>
    <col min="14604" max="14848" width="9.28515625" style="185"/>
    <col min="14849" max="14849" width="15" style="185" customWidth="1"/>
    <col min="14850" max="14850" width="12.7109375" style="185" customWidth="1"/>
    <col min="14851" max="14851" width="11.7109375" style="185" customWidth="1"/>
    <col min="14852" max="14852" width="44.85546875" style="185" customWidth="1"/>
    <col min="14853" max="14853" width="54.7109375" style="185" customWidth="1"/>
    <col min="14854" max="14854" width="15.28515625" style="185" customWidth="1"/>
    <col min="14855" max="14856" width="19.28515625" style="185" customWidth="1"/>
    <col min="14857" max="14857" width="13.85546875" style="185" customWidth="1"/>
    <col min="14858" max="14858" width="25.28515625" style="185" customWidth="1"/>
    <col min="14859" max="14859" width="16.28515625" style="185" customWidth="1"/>
    <col min="14860" max="15104" width="9.28515625" style="185"/>
    <col min="15105" max="15105" width="15" style="185" customWidth="1"/>
    <col min="15106" max="15106" width="12.7109375" style="185" customWidth="1"/>
    <col min="15107" max="15107" width="11.7109375" style="185" customWidth="1"/>
    <col min="15108" max="15108" width="44.85546875" style="185" customWidth="1"/>
    <col min="15109" max="15109" width="54.7109375" style="185" customWidth="1"/>
    <col min="15110" max="15110" width="15.28515625" style="185" customWidth="1"/>
    <col min="15111" max="15112" width="19.28515625" style="185" customWidth="1"/>
    <col min="15113" max="15113" width="13.85546875" style="185" customWidth="1"/>
    <col min="15114" max="15114" width="25.28515625" style="185" customWidth="1"/>
    <col min="15115" max="15115" width="16.28515625" style="185" customWidth="1"/>
    <col min="15116" max="15360" width="9.28515625" style="185"/>
    <col min="15361" max="15361" width="15" style="185" customWidth="1"/>
    <col min="15362" max="15362" width="12.7109375" style="185" customWidth="1"/>
    <col min="15363" max="15363" width="11.7109375" style="185" customWidth="1"/>
    <col min="15364" max="15364" width="44.85546875" style="185" customWidth="1"/>
    <col min="15365" max="15365" width="54.7109375" style="185" customWidth="1"/>
    <col min="15366" max="15366" width="15.28515625" style="185" customWidth="1"/>
    <col min="15367" max="15368" width="19.28515625" style="185" customWidth="1"/>
    <col min="15369" max="15369" width="13.85546875" style="185" customWidth="1"/>
    <col min="15370" max="15370" width="25.28515625" style="185" customWidth="1"/>
    <col min="15371" max="15371" width="16.28515625" style="185" customWidth="1"/>
    <col min="15372" max="15616" width="9.28515625" style="185"/>
    <col min="15617" max="15617" width="15" style="185" customWidth="1"/>
    <col min="15618" max="15618" width="12.7109375" style="185" customWidth="1"/>
    <col min="15619" max="15619" width="11.7109375" style="185" customWidth="1"/>
    <col min="15620" max="15620" width="44.85546875" style="185" customWidth="1"/>
    <col min="15621" max="15621" width="54.7109375" style="185" customWidth="1"/>
    <col min="15622" max="15622" width="15.28515625" style="185" customWidth="1"/>
    <col min="15623" max="15624" width="19.28515625" style="185" customWidth="1"/>
    <col min="15625" max="15625" width="13.85546875" style="185" customWidth="1"/>
    <col min="15626" max="15626" width="25.28515625" style="185" customWidth="1"/>
    <col min="15627" max="15627" width="16.28515625" style="185" customWidth="1"/>
    <col min="15628" max="15872" width="9.28515625" style="185"/>
    <col min="15873" max="15873" width="15" style="185" customWidth="1"/>
    <col min="15874" max="15874" width="12.7109375" style="185" customWidth="1"/>
    <col min="15875" max="15875" width="11.7109375" style="185" customWidth="1"/>
    <col min="15876" max="15876" width="44.85546875" style="185" customWidth="1"/>
    <col min="15877" max="15877" width="54.7109375" style="185" customWidth="1"/>
    <col min="15878" max="15878" width="15.28515625" style="185" customWidth="1"/>
    <col min="15879" max="15880" width="19.28515625" style="185" customWidth="1"/>
    <col min="15881" max="15881" width="13.85546875" style="185" customWidth="1"/>
    <col min="15882" max="15882" width="25.28515625" style="185" customWidth="1"/>
    <col min="15883" max="15883" width="16.28515625" style="185" customWidth="1"/>
    <col min="15884" max="16128" width="9.28515625" style="185"/>
    <col min="16129" max="16129" width="15" style="185" customWidth="1"/>
    <col min="16130" max="16130" width="12.7109375" style="185" customWidth="1"/>
    <col min="16131" max="16131" width="11.7109375" style="185" customWidth="1"/>
    <col min="16132" max="16132" width="44.85546875" style="185" customWidth="1"/>
    <col min="16133" max="16133" width="54.7109375" style="185" customWidth="1"/>
    <col min="16134" max="16134" width="15.28515625" style="185" customWidth="1"/>
    <col min="16135" max="16136" width="19.28515625" style="185" customWidth="1"/>
    <col min="16137" max="16137" width="13.85546875" style="185" customWidth="1"/>
    <col min="16138" max="16138" width="25.28515625" style="185" customWidth="1"/>
    <col min="16139" max="16139" width="16.28515625" style="185" customWidth="1"/>
    <col min="16140" max="16384" width="9.28515625" style="185"/>
  </cols>
  <sheetData>
    <row r="1" spans="7:11" ht="22.9" customHeight="1" x14ac:dyDescent="0.25">
      <c r="I1" s="551" t="s">
        <v>630</v>
      </c>
      <c r="J1" s="573"/>
    </row>
    <row r="2" spans="7:11" s="10" customFormat="1" ht="15.75" x14ac:dyDescent="0.25">
      <c r="I2" s="551" t="s">
        <v>386</v>
      </c>
      <c r="J2" s="573"/>
    </row>
    <row r="3" spans="7:11" s="10" customFormat="1" ht="15.75" x14ac:dyDescent="0.25">
      <c r="I3" s="552" t="s">
        <v>686</v>
      </c>
      <c r="J3" s="574"/>
    </row>
    <row r="4" spans="7:11" s="10" customFormat="1" ht="15.75" x14ac:dyDescent="0.25">
      <c r="I4" s="554" t="s">
        <v>687</v>
      </c>
      <c r="J4" s="575"/>
    </row>
    <row r="5" spans="7:11" s="10" customFormat="1" ht="15.75" x14ac:dyDescent="0.25">
      <c r="I5" s="899" t="s">
        <v>444</v>
      </c>
      <c r="J5" s="899"/>
    </row>
    <row r="6" spans="7:11" s="10" customFormat="1" x14ac:dyDescent="0.25"/>
    <row r="7" spans="7:11" ht="15.75" x14ac:dyDescent="0.25">
      <c r="I7" s="558" t="s">
        <v>500</v>
      </c>
      <c r="J7" s="4"/>
    </row>
    <row r="8" spans="7:11" ht="15.75" x14ac:dyDescent="0.25">
      <c r="I8" s="558" t="s">
        <v>387</v>
      </c>
      <c r="J8" s="4"/>
    </row>
    <row r="9" spans="7:11" ht="15.75" x14ac:dyDescent="0.25">
      <c r="I9" s="801" t="s">
        <v>8</v>
      </c>
      <c r="J9" s="801"/>
      <c r="K9" s="801"/>
    </row>
    <row r="10" spans="7:11" ht="15.75" x14ac:dyDescent="0.25">
      <c r="I10" s="801" t="s">
        <v>323</v>
      </c>
      <c r="J10" s="801"/>
      <c r="K10" s="801"/>
    </row>
    <row r="11" spans="7:11" ht="15.75" x14ac:dyDescent="0.25">
      <c r="I11" s="431" t="s">
        <v>502</v>
      </c>
      <c r="J11" s="7"/>
    </row>
    <row r="12" spans="7:11" ht="15.75" x14ac:dyDescent="0.25">
      <c r="I12" s="6" t="s">
        <v>405</v>
      </c>
      <c r="J12" s="432"/>
    </row>
    <row r="13" spans="7:11" ht="15.75" x14ac:dyDescent="0.25">
      <c r="I13" s="776" t="s">
        <v>501</v>
      </c>
      <c r="J13" s="776"/>
    </row>
    <row r="14" spans="7:11" ht="14.1" customHeight="1" x14ac:dyDescent="0.25">
      <c r="G14" s="189"/>
      <c r="H14" s="189"/>
      <c r="I14" s="55"/>
      <c r="K14" s="185"/>
    </row>
    <row r="15" spans="7:11" ht="18.600000000000001" customHeight="1" x14ac:dyDescent="0.25">
      <c r="G15" s="189"/>
      <c r="H15" s="189"/>
      <c r="I15" s="55"/>
      <c r="K15" s="185"/>
    </row>
    <row r="16" spans="7:11" ht="15.75" x14ac:dyDescent="0.25">
      <c r="G16" s="189"/>
      <c r="H16" s="189"/>
      <c r="I16" s="433"/>
      <c r="K16" s="185"/>
    </row>
    <row r="17" spans="1:11" ht="27" customHeight="1" x14ac:dyDescent="0.25">
      <c r="A17" s="900" t="s">
        <v>352</v>
      </c>
      <c r="B17" s="900"/>
      <c r="C17" s="900"/>
      <c r="D17" s="900"/>
      <c r="E17" s="900"/>
      <c r="F17" s="900"/>
      <c r="G17" s="900"/>
      <c r="H17" s="900"/>
      <c r="I17" s="900"/>
      <c r="J17" s="900"/>
      <c r="K17" s="900"/>
    </row>
    <row r="18" spans="1:11" ht="28.35" customHeight="1" x14ac:dyDescent="0.25">
      <c r="A18" s="901">
        <v>1559100000</v>
      </c>
      <c r="B18" s="901"/>
      <c r="C18" s="901"/>
      <c r="D18" s="902"/>
      <c r="E18" s="902"/>
      <c r="F18" s="902"/>
      <c r="G18" s="902"/>
      <c r="H18" s="902"/>
      <c r="I18" s="902"/>
      <c r="J18" s="902"/>
      <c r="K18" s="902"/>
    </row>
    <row r="19" spans="1:11" ht="22.15" customHeight="1" thickBot="1" x14ac:dyDescent="0.3">
      <c r="A19" s="876" t="s">
        <v>0</v>
      </c>
      <c r="B19" s="876"/>
      <c r="C19" s="876"/>
      <c r="D19" s="182"/>
      <c r="E19" s="182"/>
      <c r="F19" s="192"/>
      <c r="G19" s="182"/>
      <c r="H19" s="182"/>
      <c r="I19" s="182"/>
      <c r="J19" s="182"/>
      <c r="K19" s="193" t="s">
        <v>1</v>
      </c>
    </row>
    <row r="20" spans="1:11" s="55" customFormat="1" ht="77.25" customHeight="1" x14ac:dyDescent="0.25">
      <c r="A20" s="903" t="s">
        <v>10</v>
      </c>
      <c r="B20" s="905" t="s">
        <v>11</v>
      </c>
      <c r="C20" s="907" t="s">
        <v>168</v>
      </c>
      <c r="D20" s="905" t="s">
        <v>169</v>
      </c>
      <c r="E20" s="907" t="s">
        <v>463</v>
      </c>
      <c r="F20" s="905" t="s">
        <v>170</v>
      </c>
      <c r="G20" s="907" t="s">
        <v>171</v>
      </c>
      <c r="H20" s="909" t="s">
        <v>172</v>
      </c>
      <c r="I20" s="905" t="s">
        <v>173</v>
      </c>
      <c r="J20" s="909" t="s">
        <v>174</v>
      </c>
      <c r="K20" s="877" t="s">
        <v>175</v>
      </c>
    </row>
    <row r="21" spans="1:11" s="55" customFormat="1" ht="157.9" customHeight="1" thickBot="1" x14ac:dyDescent="0.3">
      <c r="A21" s="904"/>
      <c r="B21" s="906"/>
      <c r="C21" s="908"/>
      <c r="D21" s="906"/>
      <c r="E21" s="908"/>
      <c r="F21" s="906"/>
      <c r="G21" s="908"/>
      <c r="H21" s="910"/>
      <c r="I21" s="906"/>
      <c r="J21" s="910"/>
      <c r="K21" s="878"/>
    </row>
    <row r="22" spans="1:11" s="198" customFormat="1" ht="24" customHeight="1" thickBot="1" x14ac:dyDescent="0.3">
      <c r="A22" s="194" t="s">
        <v>176</v>
      </c>
      <c r="B22" s="183" t="s">
        <v>177</v>
      </c>
      <c r="C22" s="195" t="s">
        <v>178</v>
      </c>
      <c r="D22" s="183" t="s">
        <v>211</v>
      </c>
      <c r="E22" s="183" t="s">
        <v>179</v>
      </c>
      <c r="F22" s="183" t="s">
        <v>180</v>
      </c>
      <c r="G22" s="183" t="s">
        <v>181</v>
      </c>
      <c r="H22" s="195" t="s">
        <v>182</v>
      </c>
      <c r="I22" s="195" t="s">
        <v>183</v>
      </c>
      <c r="J22" s="196">
        <v>10</v>
      </c>
      <c r="K22" s="197">
        <v>11</v>
      </c>
    </row>
    <row r="23" spans="1:11" s="198" customFormat="1" ht="64.150000000000006" customHeight="1" thickBot="1" x14ac:dyDescent="0.3">
      <c r="A23" s="98" t="s">
        <v>15</v>
      </c>
      <c r="B23" s="199"/>
      <c r="C23" s="200"/>
      <c r="D23" s="507" t="s">
        <v>395</v>
      </c>
      <c r="E23" s="99"/>
      <c r="F23" s="100"/>
      <c r="G23" s="101"/>
      <c r="H23" s="102"/>
      <c r="I23" s="102"/>
      <c r="J23" s="103">
        <f>J24</f>
        <v>20391257</v>
      </c>
      <c r="K23" s="104"/>
    </row>
    <row r="24" spans="1:11" s="198" customFormat="1" ht="60" customHeight="1" x14ac:dyDescent="0.25">
      <c r="A24" s="105" t="s">
        <v>17</v>
      </c>
      <c r="B24" s="201"/>
      <c r="C24" s="201"/>
      <c r="D24" s="434" t="s">
        <v>353</v>
      </c>
      <c r="E24" s="106"/>
      <c r="F24" s="107"/>
      <c r="G24" s="108"/>
      <c r="H24" s="109"/>
      <c r="I24" s="109"/>
      <c r="J24" s="110">
        <f>SUM(J25:J35)</f>
        <v>20391257</v>
      </c>
      <c r="K24" s="111"/>
    </row>
    <row r="25" spans="1:11" s="198" customFormat="1" ht="54" customHeight="1" x14ac:dyDescent="0.25">
      <c r="A25" s="506" t="s">
        <v>19</v>
      </c>
      <c r="B25" s="435" t="s">
        <v>20</v>
      </c>
      <c r="C25" s="435" t="s">
        <v>21</v>
      </c>
      <c r="D25" s="436" t="s">
        <v>22</v>
      </c>
      <c r="E25" s="437" t="s">
        <v>354</v>
      </c>
      <c r="F25" s="343"/>
      <c r="G25" s="215"/>
      <c r="H25" s="215"/>
      <c r="I25" s="215"/>
      <c r="J25" s="248">
        <v>1548687</v>
      </c>
      <c r="K25" s="370"/>
    </row>
    <row r="26" spans="1:11" s="198" customFormat="1" ht="71.45" customHeight="1" x14ac:dyDescent="0.25">
      <c r="A26" s="506" t="s">
        <v>23</v>
      </c>
      <c r="B26" s="435" t="s">
        <v>24</v>
      </c>
      <c r="C26" s="376" t="s">
        <v>25</v>
      </c>
      <c r="D26" s="438" t="s">
        <v>26</v>
      </c>
      <c r="E26" s="437" t="s">
        <v>354</v>
      </c>
      <c r="F26" s="343"/>
      <c r="G26" s="215"/>
      <c r="H26" s="215"/>
      <c r="I26" s="215"/>
      <c r="J26" s="248">
        <f>173298</f>
        <v>173298</v>
      </c>
      <c r="K26" s="370"/>
    </row>
    <row r="27" spans="1:11" s="198" customFormat="1" ht="64.150000000000006" customHeight="1" x14ac:dyDescent="0.25">
      <c r="A27" s="506" t="s">
        <v>30</v>
      </c>
      <c r="B27" s="435" t="s">
        <v>31</v>
      </c>
      <c r="C27" s="376" t="s">
        <v>32</v>
      </c>
      <c r="D27" s="438" t="s">
        <v>522</v>
      </c>
      <c r="E27" s="247" t="s">
        <v>184</v>
      </c>
      <c r="F27" s="343"/>
      <c r="G27" s="215"/>
      <c r="H27" s="215"/>
      <c r="I27" s="215"/>
      <c r="J27" s="248">
        <v>657194</v>
      </c>
      <c r="K27" s="370"/>
    </row>
    <row r="28" spans="1:11" s="198" customFormat="1" ht="71.25" customHeight="1" x14ac:dyDescent="0.25">
      <c r="A28" s="375" t="s">
        <v>295</v>
      </c>
      <c r="B28" s="376">
        <v>7650</v>
      </c>
      <c r="C28" s="376" t="s">
        <v>227</v>
      </c>
      <c r="D28" s="438" t="s">
        <v>296</v>
      </c>
      <c r="E28" s="437" t="s">
        <v>302</v>
      </c>
      <c r="F28" s="343"/>
      <c r="G28" s="215"/>
      <c r="H28" s="215"/>
      <c r="I28" s="215"/>
      <c r="J28" s="248">
        <v>57000</v>
      </c>
      <c r="K28" s="370"/>
    </row>
    <row r="29" spans="1:11" s="198" customFormat="1" ht="99.75" customHeight="1" x14ac:dyDescent="0.25">
      <c r="A29" s="375" t="s">
        <v>297</v>
      </c>
      <c r="B29" s="376" t="s">
        <v>298</v>
      </c>
      <c r="C29" s="376" t="s">
        <v>227</v>
      </c>
      <c r="D29" s="438" t="s">
        <v>299</v>
      </c>
      <c r="E29" s="437" t="s">
        <v>302</v>
      </c>
      <c r="F29" s="343"/>
      <c r="G29" s="215"/>
      <c r="H29" s="215"/>
      <c r="I29" s="215"/>
      <c r="J29" s="248">
        <v>15200</v>
      </c>
      <c r="K29" s="370"/>
    </row>
    <row r="30" spans="1:11" s="198" customFormat="1" ht="54" hidden="1" customHeight="1" x14ac:dyDescent="0.25">
      <c r="A30" s="375" t="s">
        <v>464</v>
      </c>
      <c r="B30" s="440"/>
      <c r="C30" s="376" t="s">
        <v>465</v>
      </c>
      <c r="D30" s="441" t="s">
        <v>355</v>
      </c>
      <c r="E30" s="442"/>
      <c r="F30" s="365"/>
      <c r="G30" s="443"/>
      <c r="H30" s="443"/>
      <c r="I30" s="443"/>
      <c r="J30" s="357">
        <f>J31</f>
        <v>0</v>
      </c>
      <c r="K30" s="444"/>
    </row>
    <row r="31" spans="1:11" s="198" customFormat="1" ht="43.5" hidden="1" customHeight="1" thickBot="1" x14ac:dyDescent="0.3">
      <c r="A31" s="375" t="s">
        <v>466</v>
      </c>
      <c r="B31" s="353" t="s">
        <v>16</v>
      </c>
      <c r="C31" s="376" t="s">
        <v>467</v>
      </c>
      <c r="D31" s="446" t="s">
        <v>355</v>
      </c>
      <c r="E31" s="204"/>
      <c r="F31" s="210"/>
      <c r="G31" s="447"/>
      <c r="H31" s="447"/>
      <c r="I31" s="447"/>
      <c r="J31" s="358">
        <f>J32+J33</f>
        <v>0</v>
      </c>
      <c r="K31" s="448"/>
    </row>
    <row r="32" spans="1:11" s="198" customFormat="1" ht="45.75" hidden="1" customHeight="1" x14ac:dyDescent="0.25">
      <c r="A32" s="375" t="s">
        <v>468</v>
      </c>
      <c r="B32" s="376" t="s">
        <v>45</v>
      </c>
      <c r="C32" s="376" t="s">
        <v>469</v>
      </c>
      <c r="D32" s="449" t="s">
        <v>47</v>
      </c>
      <c r="E32" s="247" t="s">
        <v>184</v>
      </c>
      <c r="F32" s="450"/>
      <c r="G32" s="451"/>
      <c r="H32" s="451"/>
      <c r="I32" s="451"/>
      <c r="J32" s="248"/>
      <c r="K32" s="452"/>
    </row>
    <row r="33" spans="1:11" s="198" customFormat="1" ht="102" hidden="1" customHeight="1" x14ac:dyDescent="0.25">
      <c r="A33" s="667" t="s">
        <v>470</v>
      </c>
      <c r="B33" s="561" t="s">
        <v>356</v>
      </c>
      <c r="C33" s="668" t="s">
        <v>471</v>
      </c>
      <c r="D33" s="453" t="s">
        <v>357</v>
      </c>
      <c r="E33" s="356" t="s">
        <v>184</v>
      </c>
      <c r="F33" s="454"/>
      <c r="G33" s="455"/>
      <c r="H33" s="455"/>
      <c r="I33" s="455"/>
      <c r="J33" s="363"/>
      <c r="K33" s="456"/>
    </row>
    <row r="34" spans="1:11" s="198" customFormat="1" ht="81.599999999999994" customHeight="1" x14ac:dyDescent="0.25">
      <c r="A34" s="376" t="s">
        <v>429</v>
      </c>
      <c r="B34" s="376" t="s">
        <v>472</v>
      </c>
      <c r="C34" s="376" t="s">
        <v>36</v>
      </c>
      <c r="D34" s="438" t="s">
        <v>430</v>
      </c>
      <c r="E34" s="247" t="s">
        <v>184</v>
      </c>
      <c r="F34" s="343"/>
      <c r="G34" s="215"/>
      <c r="H34" s="215"/>
      <c r="I34" s="215"/>
      <c r="J34" s="248">
        <f>400444-216846</f>
        <v>183598</v>
      </c>
      <c r="K34" s="586"/>
    </row>
    <row r="35" spans="1:11" s="198" customFormat="1" ht="79.900000000000006" customHeight="1" thickBot="1" x14ac:dyDescent="0.3">
      <c r="A35" s="684" t="s">
        <v>513</v>
      </c>
      <c r="B35" s="562" t="s">
        <v>523</v>
      </c>
      <c r="C35" s="454" t="s">
        <v>274</v>
      </c>
      <c r="D35" s="438" t="s">
        <v>514</v>
      </c>
      <c r="E35" s="582" t="s">
        <v>524</v>
      </c>
      <c r="F35" s="339"/>
      <c r="G35" s="340"/>
      <c r="H35" s="340"/>
      <c r="I35" s="340"/>
      <c r="J35" s="468">
        <f>4560280+13196000</f>
        <v>17756280</v>
      </c>
      <c r="K35" s="342"/>
    </row>
    <row r="36" spans="1:11" s="648" customFormat="1" ht="61.9" customHeight="1" thickBot="1" x14ac:dyDescent="0.3">
      <c r="A36" s="112" t="s">
        <v>41</v>
      </c>
      <c r="B36" s="583"/>
      <c r="C36" s="583"/>
      <c r="D36" s="683" t="s">
        <v>473</v>
      </c>
      <c r="E36" s="348"/>
      <c r="F36" s="349"/>
      <c r="G36" s="350"/>
      <c r="H36" s="350"/>
      <c r="I36" s="350"/>
      <c r="J36" s="357">
        <f>J37</f>
        <v>4697031</v>
      </c>
      <c r="K36" s="351"/>
    </row>
    <row r="37" spans="1:11" s="649" customFormat="1" ht="48" customHeight="1" x14ac:dyDescent="0.25">
      <c r="A37" s="203" t="s">
        <v>41</v>
      </c>
      <c r="B37" s="584"/>
      <c r="C37" s="584"/>
      <c r="D37" s="685" t="s">
        <v>473</v>
      </c>
      <c r="E37" s="359"/>
      <c r="F37" s="208"/>
      <c r="G37" s="360"/>
      <c r="H37" s="360"/>
      <c r="I37" s="360"/>
      <c r="J37" s="358">
        <f>J38+J40+J41+J42+J39</f>
        <v>4697031</v>
      </c>
      <c r="K37" s="585"/>
    </row>
    <row r="38" spans="1:11" s="649" customFormat="1" ht="48" customHeight="1" x14ac:dyDescent="0.25">
      <c r="A38" s="337" t="s">
        <v>44</v>
      </c>
      <c r="B38" s="338" t="s">
        <v>45</v>
      </c>
      <c r="C38" s="338" t="s">
        <v>46</v>
      </c>
      <c r="D38" s="733" t="s">
        <v>47</v>
      </c>
      <c r="E38" s="686" t="s">
        <v>184</v>
      </c>
      <c r="F38" s="208"/>
      <c r="G38" s="360"/>
      <c r="H38" s="360"/>
      <c r="I38" s="360"/>
      <c r="J38" s="358">
        <v>61425</v>
      </c>
      <c r="K38" s="585"/>
    </row>
    <row r="39" spans="1:11" s="649" customFormat="1" ht="70.900000000000006" customHeight="1" x14ac:dyDescent="0.25">
      <c r="A39" s="376" t="s">
        <v>48</v>
      </c>
      <c r="B39" s="338">
        <v>1021</v>
      </c>
      <c r="C39" s="338">
        <v>921</v>
      </c>
      <c r="D39" s="754" t="s">
        <v>436</v>
      </c>
      <c r="E39" s="686" t="s">
        <v>184</v>
      </c>
      <c r="F39" s="208"/>
      <c r="G39" s="360"/>
      <c r="H39" s="360"/>
      <c r="I39" s="360"/>
      <c r="J39" s="358">
        <v>703463</v>
      </c>
      <c r="K39" s="585"/>
    </row>
    <row r="40" spans="1:11" s="648" customFormat="1" ht="138" customHeight="1" x14ac:dyDescent="0.25">
      <c r="A40" s="376" t="s">
        <v>431</v>
      </c>
      <c r="B40" s="376" t="s">
        <v>474</v>
      </c>
      <c r="C40" s="376" t="s">
        <v>56</v>
      </c>
      <c r="D40" s="686" t="s">
        <v>433</v>
      </c>
      <c r="E40" s="686" t="s">
        <v>184</v>
      </c>
      <c r="F40" s="343"/>
      <c r="G40" s="215"/>
      <c r="H40" s="215"/>
      <c r="I40" s="215"/>
      <c r="J40" s="248">
        <v>579643</v>
      </c>
      <c r="K40" s="586"/>
    </row>
    <row r="41" spans="1:11" s="648" customFormat="1" ht="133.9" customHeight="1" x14ac:dyDescent="0.25">
      <c r="A41" s="376" t="s">
        <v>432</v>
      </c>
      <c r="B41" s="376" t="s">
        <v>475</v>
      </c>
      <c r="C41" s="376" t="s">
        <v>56</v>
      </c>
      <c r="D41" s="686" t="s">
        <v>434</v>
      </c>
      <c r="E41" s="686" t="s">
        <v>184</v>
      </c>
      <c r="F41" s="343"/>
      <c r="G41" s="215"/>
      <c r="H41" s="215"/>
      <c r="I41" s="215"/>
      <c r="J41" s="248">
        <v>1352500</v>
      </c>
      <c r="K41" s="586"/>
    </row>
    <row r="42" spans="1:11" s="648" customFormat="1" ht="75" customHeight="1" thickBot="1" x14ac:dyDescent="0.3">
      <c r="A42" s="728" t="s">
        <v>624</v>
      </c>
      <c r="B42" s="486">
        <v>9750</v>
      </c>
      <c r="C42" s="454" t="s">
        <v>274</v>
      </c>
      <c r="D42" s="727" t="s">
        <v>625</v>
      </c>
      <c r="E42" s="582" t="s">
        <v>524</v>
      </c>
      <c r="F42" s="339"/>
      <c r="G42" s="340"/>
      <c r="H42" s="340"/>
      <c r="I42" s="340"/>
      <c r="J42" s="341">
        <v>2000000</v>
      </c>
      <c r="K42" s="726"/>
    </row>
    <row r="43" spans="1:11" s="198" customFormat="1" ht="66" customHeight="1" thickBot="1" x14ac:dyDescent="0.3">
      <c r="A43" s="344" t="s">
        <v>67</v>
      </c>
      <c r="B43" s="345" t="s">
        <v>16</v>
      </c>
      <c r="C43" s="345" t="s">
        <v>16</v>
      </c>
      <c r="D43" s="457" t="s">
        <v>358</v>
      </c>
      <c r="E43" s="348"/>
      <c r="F43" s="349"/>
      <c r="G43" s="350"/>
      <c r="H43" s="350"/>
      <c r="I43" s="350"/>
      <c r="J43" s="357">
        <f>J44</f>
        <v>392800</v>
      </c>
      <c r="K43" s="351"/>
    </row>
    <row r="44" spans="1:11" s="198" customFormat="1" ht="56.25" x14ac:dyDescent="0.25">
      <c r="A44" s="352" t="s">
        <v>68</v>
      </c>
      <c r="B44" s="353" t="s">
        <v>16</v>
      </c>
      <c r="C44" s="353" t="s">
        <v>16</v>
      </c>
      <c r="D44" s="446" t="s">
        <v>358</v>
      </c>
      <c r="E44" s="346"/>
      <c r="F44" s="207"/>
      <c r="G44" s="347"/>
      <c r="H44" s="347"/>
      <c r="I44" s="347"/>
      <c r="J44" s="358">
        <f>J46+J47</f>
        <v>392800</v>
      </c>
      <c r="K44" s="371"/>
    </row>
    <row r="45" spans="1:11" s="198" customFormat="1" ht="66" hidden="1" customHeight="1" x14ac:dyDescent="0.25">
      <c r="A45" s="337" t="s">
        <v>237</v>
      </c>
      <c r="B45" s="338" t="s">
        <v>43</v>
      </c>
      <c r="C45" s="338" t="s">
        <v>18</v>
      </c>
      <c r="D45" s="438" t="s">
        <v>231</v>
      </c>
      <c r="E45" s="247" t="s">
        <v>184</v>
      </c>
      <c r="F45" s="343"/>
      <c r="G45" s="215"/>
      <c r="H45" s="215"/>
      <c r="I45" s="215"/>
      <c r="J45" s="248"/>
      <c r="K45" s="370"/>
    </row>
    <row r="46" spans="1:11" s="198" customFormat="1" ht="56.25" customHeight="1" x14ac:dyDescent="0.25">
      <c r="A46" s="354" t="s">
        <v>238</v>
      </c>
      <c r="B46" s="355" t="s">
        <v>239</v>
      </c>
      <c r="C46" s="355" t="s">
        <v>45</v>
      </c>
      <c r="D46" s="458" t="s">
        <v>240</v>
      </c>
      <c r="E46" s="459" t="s">
        <v>184</v>
      </c>
      <c r="F46" s="339"/>
      <c r="G46" s="340"/>
      <c r="H46" s="340"/>
      <c r="I46" s="340"/>
      <c r="J46" s="341">
        <f>58000+254000</f>
        <v>312000</v>
      </c>
      <c r="K46" s="342"/>
    </row>
    <row r="47" spans="1:11" s="198" customFormat="1" ht="99" customHeight="1" thickBot="1" x14ac:dyDescent="0.3">
      <c r="A47" s="560" t="s">
        <v>244</v>
      </c>
      <c r="B47" s="355">
        <v>3241</v>
      </c>
      <c r="C47" s="355">
        <v>1090</v>
      </c>
      <c r="D47" s="458" t="s">
        <v>411</v>
      </c>
      <c r="E47" s="459" t="s">
        <v>184</v>
      </c>
      <c r="F47" s="454"/>
      <c r="G47" s="455"/>
      <c r="H47" s="455"/>
      <c r="I47" s="455"/>
      <c r="J47" s="363">
        <f>34800+46000</f>
        <v>80800</v>
      </c>
      <c r="K47" s="456"/>
    </row>
    <row r="48" spans="1:11" s="198" customFormat="1" ht="66" customHeight="1" thickBot="1" x14ac:dyDescent="0.3">
      <c r="A48" s="439" t="s">
        <v>77</v>
      </c>
      <c r="B48" s="345" t="s">
        <v>16</v>
      </c>
      <c r="C48" s="345" t="s">
        <v>16</v>
      </c>
      <c r="D48" s="457" t="s">
        <v>503</v>
      </c>
      <c r="E48" s="348"/>
      <c r="F48" s="349"/>
      <c r="G48" s="350"/>
      <c r="H48" s="350"/>
      <c r="I48" s="350"/>
      <c r="J48" s="357">
        <f>J49</f>
        <v>23000</v>
      </c>
      <c r="K48" s="351"/>
    </row>
    <row r="49" spans="1:11" s="198" customFormat="1" ht="56.25" x14ac:dyDescent="0.25">
      <c r="A49" s="445" t="s">
        <v>79</v>
      </c>
      <c r="B49" s="353" t="s">
        <v>16</v>
      </c>
      <c r="C49" s="353" t="s">
        <v>16</v>
      </c>
      <c r="D49" s="446" t="s">
        <v>503</v>
      </c>
      <c r="E49" s="346"/>
      <c r="F49" s="207"/>
      <c r="G49" s="347"/>
      <c r="H49" s="347"/>
      <c r="I49" s="347"/>
      <c r="J49" s="358">
        <f>J51</f>
        <v>23000</v>
      </c>
      <c r="K49" s="371"/>
    </row>
    <row r="50" spans="1:11" s="198" customFormat="1" ht="66" hidden="1" customHeight="1" x14ac:dyDescent="0.25">
      <c r="A50" s="375" t="s">
        <v>237</v>
      </c>
      <c r="B50" s="338" t="s">
        <v>43</v>
      </c>
      <c r="C50" s="338" t="s">
        <v>18</v>
      </c>
      <c r="D50" s="438" t="s">
        <v>231</v>
      </c>
      <c r="E50" s="247" t="s">
        <v>184</v>
      </c>
      <c r="F50" s="343"/>
      <c r="G50" s="215"/>
      <c r="H50" s="215"/>
      <c r="I50" s="215"/>
      <c r="J50" s="248"/>
      <c r="K50" s="370"/>
    </row>
    <row r="51" spans="1:11" s="198" customFormat="1" ht="56.25" customHeight="1" thickBot="1" x14ac:dyDescent="0.3">
      <c r="A51" s="375" t="s">
        <v>246</v>
      </c>
      <c r="B51" s="376" t="s">
        <v>43</v>
      </c>
      <c r="C51" s="376" t="s">
        <v>18</v>
      </c>
      <c r="D51" s="438" t="s">
        <v>231</v>
      </c>
      <c r="E51" s="437" t="s">
        <v>184</v>
      </c>
      <c r="F51" s="343"/>
      <c r="G51" s="215"/>
      <c r="H51" s="215"/>
      <c r="I51" s="215"/>
      <c r="J51" s="248">
        <v>23000</v>
      </c>
      <c r="K51" s="370"/>
    </row>
    <row r="52" spans="1:11" s="198" customFormat="1" ht="72" customHeight="1" thickBot="1" x14ac:dyDescent="0.3">
      <c r="A52" s="344" t="s">
        <v>83</v>
      </c>
      <c r="B52" s="345" t="s">
        <v>16</v>
      </c>
      <c r="C52" s="345" t="s">
        <v>16</v>
      </c>
      <c r="D52" s="457" t="s">
        <v>512</v>
      </c>
      <c r="E52" s="348"/>
      <c r="F52" s="349"/>
      <c r="G52" s="350"/>
      <c r="H52" s="350"/>
      <c r="I52" s="350"/>
      <c r="J52" s="357">
        <f>J53</f>
        <v>66262</v>
      </c>
      <c r="K52" s="351"/>
    </row>
    <row r="53" spans="1:11" s="198" customFormat="1" ht="75" x14ac:dyDescent="0.25">
      <c r="A53" s="352" t="s">
        <v>85</v>
      </c>
      <c r="B53" s="353" t="s">
        <v>16</v>
      </c>
      <c r="C53" s="353" t="s">
        <v>16</v>
      </c>
      <c r="D53" s="446" t="s">
        <v>512</v>
      </c>
      <c r="E53" s="359"/>
      <c r="F53" s="208"/>
      <c r="G53" s="360"/>
      <c r="H53" s="360"/>
      <c r="I53" s="360"/>
      <c r="J53" s="358">
        <f>J54+J55</f>
        <v>66262</v>
      </c>
      <c r="K53" s="372"/>
    </row>
    <row r="54" spans="1:11" s="198" customFormat="1" ht="52.9" customHeight="1" x14ac:dyDescent="0.25">
      <c r="A54" s="337" t="s">
        <v>92</v>
      </c>
      <c r="B54" s="338" t="s">
        <v>93</v>
      </c>
      <c r="C54" s="338" t="s">
        <v>94</v>
      </c>
      <c r="D54" s="438" t="s">
        <v>95</v>
      </c>
      <c r="E54" s="247" t="s">
        <v>184</v>
      </c>
      <c r="F54" s="361"/>
      <c r="G54" s="362"/>
      <c r="H54" s="362"/>
      <c r="I54" s="362"/>
      <c r="J54" s="248">
        <v>43262</v>
      </c>
      <c r="K54" s="373"/>
    </row>
    <row r="55" spans="1:11" s="198" customFormat="1" ht="49.9" customHeight="1" thickBot="1" x14ac:dyDescent="0.3">
      <c r="A55" s="337" t="s">
        <v>96</v>
      </c>
      <c r="B55" s="338" t="s">
        <v>97</v>
      </c>
      <c r="C55" s="338" t="s">
        <v>94</v>
      </c>
      <c r="D55" s="438" t="s">
        <v>98</v>
      </c>
      <c r="E55" s="247" t="s">
        <v>184</v>
      </c>
      <c r="F55" s="361"/>
      <c r="G55" s="362"/>
      <c r="H55" s="362"/>
      <c r="I55" s="362"/>
      <c r="J55" s="248">
        <v>23000</v>
      </c>
      <c r="K55" s="373"/>
    </row>
    <row r="56" spans="1:11" s="198" customFormat="1" ht="72.599999999999994" customHeight="1" thickBot="1" x14ac:dyDescent="0.3">
      <c r="A56" s="112" t="s">
        <v>119</v>
      </c>
      <c r="B56" s="199"/>
      <c r="C56" s="199"/>
      <c r="D56" s="508" t="s">
        <v>120</v>
      </c>
      <c r="E56" s="230"/>
      <c r="F56" s="100"/>
      <c r="G56" s="113"/>
      <c r="H56" s="113"/>
      <c r="I56" s="113"/>
      <c r="J56" s="114">
        <f>J57</f>
        <v>2296426</v>
      </c>
      <c r="K56" s="104"/>
    </row>
    <row r="57" spans="1:11" s="198" customFormat="1" ht="77.25" customHeight="1" x14ac:dyDescent="0.25">
      <c r="A57" s="202" t="s">
        <v>121</v>
      </c>
      <c r="B57" s="203"/>
      <c r="C57" s="203"/>
      <c r="D57" s="460" t="s">
        <v>476</v>
      </c>
      <c r="E57" s="204"/>
      <c r="F57" s="205"/>
      <c r="G57" s="206"/>
      <c r="H57" s="206"/>
      <c r="I57" s="206"/>
      <c r="J57" s="115">
        <f>SUM(J58:J59)</f>
        <v>2296426</v>
      </c>
      <c r="K57" s="116"/>
    </row>
    <row r="58" spans="1:11" s="198" customFormat="1" ht="60.75" customHeight="1" x14ac:dyDescent="0.25">
      <c r="A58" s="369" t="s">
        <v>359</v>
      </c>
      <c r="B58" s="435" t="s">
        <v>360</v>
      </c>
      <c r="C58" s="435" t="s">
        <v>28</v>
      </c>
      <c r="D58" s="436" t="s">
        <v>336</v>
      </c>
      <c r="E58" s="437" t="s">
        <v>354</v>
      </c>
      <c r="F58" s="461"/>
      <c r="G58" s="462"/>
      <c r="H58" s="462"/>
      <c r="I58" s="462"/>
      <c r="J58" s="248">
        <v>1835036</v>
      </c>
      <c r="K58" s="463"/>
    </row>
    <row r="59" spans="1:11" s="198" customFormat="1" ht="45" customHeight="1" thickBot="1" x14ac:dyDescent="0.3">
      <c r="A59" s="464" t="s">
        <v>130</v>
      </c>
      <c r="B59" s="465" t="s">
        <v>27</v>
      </c>
      <c r="C59" s="465" t="s">
        <v>28</v>
      </c>
      <c r="D59" s="436" t="s">
        <v>29</v>
      </c>
      <c r="E59" s="437" t="s">
        <v>354</v>
      </c>
      <c r="F59" s="466"/>
      <c r="G59" s="467"/>
      <c r="H59" s="467"/>
      <c r="I59" s="467"/>
      <c r="J59" s="468">
        <v>461390</v>
      </c>
      <c r="K59" s="469"/>
    </row>
    <row r="60" spans="1:11" s="476" customFormat="1" ht="64.5" customHeight="1" thickBot="1" x14ac:dyDescent="0.3">
      <c r="A60" s="470" t="s">
        <v>139</v>
      </c>
      <c r="B60" s="471"/>
      <c r="C60" s="471"/>
      <c r="D60" s="509" t="s">
        <v>435</v>
      </c>
      <c r="E60" s="472"/>
      <c r="F60" s="471"/>
      <c r="G60" s="473"/>
      <c r="H60" s="473"/>
      <c r="I60" s="473"/>
      <c r="J60" s="474">
        <f>J61</f>
        <v>55034036</v>
      </c>
      <c r="K60" s="475"/>
    </row>
    <row r="61" spans="1:11" s="198" customFormat="1" ht="57.75" customHeight="1" x14ac:dyDescent="0.25">
      <c r="A61" s="202" t="s">
        <v>140</v>
      </c>
      <c r="B61" s="207"/>
      <c r="C61" s="208"/>
      <c r="D61" s="477" t="s">
        <v>361</v>
      </c>
      <c r="E61" s="209"/>
      <c r="F61" s="210"/>
      <c r="G61" s="211"/>
      <c r="H61" s="211"/>
      <c r="I61" s="211"/>
      <c r="J61" s="211">
        <f>J62+J63+J65+J67+J68+J69+J71+J73+J75+J76+J80+J82+J84+J90+J95+J91+J96+J97+J100+J101+J99</f>
        <v>55034036</v>
      </c>
      <c r="K61" s="212"/>
    </row>
    <row r="62" spans="1:11" s="198" customFormat="1" ht="215.25" customHeight="1" x14ac:dyDescent="0.25">
      <c r="A62" s="746" t="s">
        <v>650</v>
      </c>
      <c r="B62" s="339" t="s">
        <v>223</v>
      </c>
      <c r="C62" s="339" t="s">
        <v>18</v>
      </c>
      <c r="D62" s="747" t="s">
        <v>224</v>
      </c>
      <c r="E62" s="635" t="s">
        <v>649</v>
      </c>
      <c r="F62" s="339" t="s">
        <v>483</v>
      </c>
      <c r="G62" s="764">
        <v>650000</v>
      </c>
      <c r="H62" s="748">
        <v>0</v>
      </c>
      <c r="I62" s="766">
        <v>0</v>
      </c>
      <c r="J62" s="748">
        <v>250000</v>
      </c>
      <c r="K62" s="749">
        <f>J62/G62</f>
        <v>0.38461538461538464</v>
      </c>
    </row>
    <row r="63" spans="1:11" s="198" customFormat="1" ht="302.45" customHeight="1" x14ac:dyDescent="0.25">
      <c r="A63" s="858" t="s">
        <v>477</v>
      </c>
      <c r="B63" s="865" t="s">
        <v>49</v>
      </c>
      <c r="C63" s="865" t="s">
        <v>50</v>
      </c>
      <c r="D63" s="875" t="s">
        <v>436</v>
      </c>
      <c r="E63" s="587" t="s">
        <v>478</v>
      </c>
      <c r="F63" s="875" t="s">
        <v>479</v>
      </c>
      <c r="G63" s="588">
        <v>3702670</v>
      </c>
      <c r="H63" s="589">
        <f>'[1]2024'!$I$15+'[1]2024'!$I$18</f>
        <v>1070190.22</v>
      </c>
      <c r="I63" s="590">
        <f>H63/G63</f>
        <v>0.28903202823908153</v>
      </c>
      <c r="J63" s="589">
        <f>2450256+43034+10265</f>
        <v>2503555</v>
      </c>
      <c r="K63" s="590">
        <v>1</v>
      </c>
    </row>
    <row r="64" spans="1:11" s="198" customFormat="1" ht="37.9" customHeight="1" x14ac:dyDescent="0.25">
      <c r="A64" s="859"/>
      <c r="B64" s="867"/>
      <c r="C64" s="867"/>
      <c r="D64" s="874"/>
      <c r="E64" s="591" t="s">
        <v>363</v>
      </c>
      <c r="F64" s="874"/>
      <c r="G64" s="592">
        <v>264411</v>
      </c>
      <c r="H64" s="593">
        <f>234332.96</f>
        <v>234332.96</v>
      </c>
      <c r="I64" s="594">
        <v>1</v>
      </c>
      <c r="J64" s="595"/>
      <c r="K64" s="594">
        <v>1</v>
      </c>
    </row>
    <row r="65" spans="1:24" s="650" customFormat="1" ht="220.15" customHeight="1" x14ac:dyDescent="0.25">
      <c r="A65" s="858" t="s">
        <v>477</v>
      </c>
      <c r="B65" s="865" t="s">
        <v>49</v>
      </c>
      <c r="C65" s="865" t="s">
        <v>50</v>
      </c>
      <c r="D65" s="875" t="s">
        <v>436</v>
      </c>
      <c r="E65" s="596" t="s">
        <v>480</v>
      </c>
      <c r="F65" s="875" t="s">
        <v>481</v>
      </c>
      <c r="G65" s="597">
        <v>23825333</v>
      </c>
      <c r="H65" s="589">
        <f>'[1]2024'!$I$11+'[1]2024'!$I$13+H66</f>
        <v>6575752.0599999996</v>
      </c>
      <c r="I65" s="590">
        <f>H65/G65</f>
        <v>0.27599832749452019</v>
      </c>
      <c r="J65" s="589">
        <f>15048608+194696+62711-2300000-2400000</f>
        <v>10606015</v>
      </c>
      <c r="K65" s="590">
        <f>(J65+H65)/G65</f>
        <v>0.72115537944422425</v>
      </c>
      <c r="L65" s="198"/>
      <c r="M65" s="198"/>
    </row>
    <row r="66" spans="1:24" s="650" customFormat="1" ht="36.75" customHeight="1" x14ac:dyDescent="0.25">
      <c r="A66" s="859"/>
      <c r="B66" s="867"/>
      <c r="C66" s="867"/>
      <c r="D66" s="874"/>
      <c r="E66" s="598" t="s">
        <v>303</v>
      </c>
      <c r="F66" s="874"/>
      <c r="G66" s="599">
        <v>1675846</v>
      </c>
      <c r="H66" s="593">
        <f>274112.37+1201312.3</f>
        <v>1475424.67</v>
      </c>
      <c r="I66" s="594">
        <v>1</v>
      </c>
      <c r="J66" s="600"/>
      <c r="K66" s="594">
        <v>1</v>
      </c>
      <c r="L66" s="198"/>
      <c r="M66" s="198"/>
    </row>
    <row r="67" spans="1:24" s="650" customFormat="1" ht="243.75" customHeight="1" x14ac:dyDescent="0.25">
      <c r="A67" s="604" t="s">
        <v>477</v>
      </c>
      <c r="B67" s="605" t="s">
        <v>49</v>
      </c>
      <c r="C67" s="605" t="s">
        <v>50</v>
      </c>
      <c r="D67" s="600" t="s">
        <v>436</v>
      </c>
      <c r="E67" s="606" t="s">
        <v>632</v>
      </c>
      <c r="F67" s="600" t="s">
        <v>483</v>
      </c>
      <c r="G67" s="593">
        <v>5500000</v>
      </c>
      <c r="H67" s="593">
        <v>0</v>
      </c>
      <c r="I67" s="594">
        <v>0</v>
      </c>
      <c r="J67" s="589">
        <f>2300000+2400000</f>
        <v>4700000</v>
      </c>
      <c r="K67" s="594">
        <f>(J67+H67)/G67</f>
        <v>0.8545454545454545</v>
      </c>
      <c r="L67" s="198"/>
      <c r="M67" s="198"/>
    </row>
    <row r="68" spans="1:24" s="650" customFormat="1" ht="251.45" customHeight="1" x14ac:dyDescent="0.25">
      <c r="A68" s="601" t="s">
        <v>477</v>
      </c>
      <c r="B68" s="602" t="s">
        <v>49</v>
      </c>
      <c r="C68" s="602" t="s">
        <v>50</v>
      </c>
      <c r="D68" s="603" t="s">
        <v>436</v>
      </c>
      <c r="E68" s="734" t="s">
        <v>482</v>
      </c>
      <c r="F68" s="603" t="s">
        <v>483</v>
      </c>
      <c r="G68" s="735">
        <v>248082</v>
      </c>
      <c r="H68" s="736">
        <v>0</v>
      </c>
      <c r="I68" s="737">
        <v>0</v>
      </c>
      <c r="J68" s="736">
        <v>248082</v>
      </c>
      <c r="K68" s="737">
        <v>1</v>
      </c>
      <c r="L68" s="198"/>
      <c r="M68" s="198"/>
    </row>
    <row r="69" spans="1:24" s="650" customFormat="1" ht="235.9" customHeight="1" x14ac:dyDescent="0.25">
      <c r="A69" s="858" t="s">
        <v>477</v>
      </c>
      <c r="B69" s="865" t="s">
        <v>49</v>
      </c>
      <c r="C69" s="865" t="s">
        <v>50</v>
      </c>
      <c r="D69" s="875" t="s">
        <v>436</v>
      </c>
      <c r="E69" s="606" t="s">
        <v>685</v>
      </c>
      <c r="F69" s="600" t="s">
        <v>483</v>
      </c>
      <c r="G69" s="765">
        <v>50245705</v>
      </c>
      <c r="H69" s="589">
        <v>0</v>
      </c>
      <c r="I69" s="590">
        <v>0</v>
      </c>
      <c r="J69" s="589">
        <f>J70+6000000</f>
        <v>7486740</v>
      </c>
      <c r="K69" s="590">
        <f>J69/G69</f>
        <v>0.14900258639021982</v>
      </c>
      <c r="L69" s="198"/>
      <c r="M69" s="198"/>
    </row>
    <row r="70" spans="1:24" s="650" customFormat="1" ht="23.45" customHeight="1" x14ac:dyDescent="0.25">
      <c r="A70" s="859"/>
      <c r="B70" s="867"/>
      <c r="C70" s="867"/>
      <c r="D70" s="874"/>
      <c r="E70" s="729" t="s">
        <v>363</v>
      </c>
      <c r="F70" s="741"/>
      <c r="G70" s="622">
        <v>1486740</v>
      </c>
      <c r="H70" s="593">
        <v>0</v>
      </c>
      <c r="I70" s="594">
        <f>H70/G70</f>
        <v>0</v>
      </c>
      <c r="J70" s="593">
        <v>1486740</v>
      </c>
      <c r="K70" s="594">
        <v>1</v>
      </c>
      <c r="L70" s="198"/>
      <c r="M70" s="198"/>
    </row>
    <row r="71" spans="1:24" s="650" customFormat="1" ht="235.9" customHeight="1" x14ac:dyDescent="0.25">
      <c r="A71" s="858" t="s">
        <v>477</v>
      </c>
      <c r="B71" s="865" t="s">
        <v>49</v>
      </c>
      <c r="C71" s="865" t="s">
        <v>50</v>
      </c>
      <c r="D71" s="875" t="s">
        <v>436</v>
      </c>
      <c r="E71" s="596" t="s">
        <v>628</v>
      </c>
      <c r="F71" s="875">
        <v>2025</v>
      </c>
      <c r="G71" s="607">
        <v>583500</v>
      </c>
      <c r="H71" s="589">
        <v>0</v>
      </c>
      <c r="I71" s="590">
        <v>0</v>
      </c>
      <c r="J71" s="589">
        <v>583500</v>
      </c>
      <c r="K71" s="590">
        <v>1</v>
      </c>
      <c r="L71" s="198"/>
      <c r="M71" s="198"/>
    </row>
    <row r="72" spans="1:24" s="650" customFormat="1" ht="27" customHeight="1" x14ac:dyDescent="0.25">
      <c r="A72" s="859"/>
      <c r="B72" s="867"/>
      <c r="C72" s="867"/>
      <c r="D72" s="874"/>
      <c r="E72" s="729" t="s">
        <v>303</v>
      </c>
      <c r="F72" s="874"/>
      <c r="G72" s="607">
        <v>48500</v>
      </c>
      <c r="H72" s="589">
        <v>0</v>
      </c>
      <c r="I72" s="590">
        <v>0</v>
      </c>
      <c r="J72" s="589">
        <v>48500</v>
      </c>
      <c r="K72" s="590">
        <v>1</v>
      </c>
      <c r="L72" s="198"/>
      <c r="M72" s="198"/>
    </row>
    <row r="73" spans="1:24" s="650" customFormat="1" ht="138.6" customHeight="1" x14ac:dyDescent="0.25">
      <c r="A73" s="858" t="s">
        <v>651</v>
      </c>
      <c r="B73" s="865" t="s">
        <v>20</v>
      </c>
      <c r="C73" s="865" t="s">
        <v>21</v>
      </c>
      <c r="D73" s="860" t="s">
        <v>22</v>
      </c>
      <c r="E73" s="629" t="s">
        <v>652</v>
      </c>
      <c r="F73" s="853" t="s">
        <v>654</v>
      </c>
      <c r="G73" s="589">
        <v>10266433</v>
      </c>
      <c r="H73" s="589">
        <v>674544.04</v>
      </c>
      <c r="I73" s="590">
        <f>H73/G73</f>
        <v>6.5703836960704851E-2</v>
      </c>
      <c r="J73" s="589">
        <v>3000000</v>
      </c>
      <c r="K73" s="590">
        <f>(J73+H73)/G73</f>
        <v>0.35791827989331837</v>
      </c>
      <c r="L73" s="198"/>
      <c r="M73" s="198"/>
    </row>
    <row r="74" spans="1:24" s="650" customFormat="1" ht="24.6" customHeight="1" x14ac:dyDescent="0.25">
      <c r="A74" s="859"/>
      <c r="B74" s="867"/>
      <c r="C74" s="867"/>
      <c r="D74" s="861"/>
      <c r="E74" s="616" t="s">
        <v>653</v>
      </c>
      <c r="F74" s="853"/>
      <c r="G74" s="593">
        <v>766283</v>
      </c>
      <c r="H74" s="593">
        <v>674544.04</v>
      </c>
      <c r="I74" s="594">
        <v>1</v>
      </c>
      <c r="J74" s="593"/>
      <c r="K74" s="594">
        <v>1</v>
      </c>
      <c r="L74" s="198"/>
      <c r="M74" s="198"/>
    </row>
    <row r="75" spans="1:24" s="655" customFormat="1" ht="131.25" customHeight="1" x14ac:dyDescent="0.3">
      <c r="A75" s="608" t="s">
        <v>460</v>
      </c>
      <c r="B75" s="608" t="s">
        <v>461</v>
      </c>
      <c r="C75" s="608" t="s">
        <v>282</v>
      </c>
      <c r="D75" s="609" t="s">
        <v>484</v>
      </c>
      <c r="E75" s="610" t="s">
        <v>485</v>
      </c>
      <c r="F75" s="611" t="s">
        <v>483</v>
      </c>
      <c r="G75" s="589">
        <v>173444</v>
      </c>
      <c r="H75" s="589">
        <v>0</v>
      </c>
      <c r="I75" s="590">
        <v>0</v>
      </c>
      <c r="J75" s="612">
        <v>173444</v>
      </c>
      <c r="K75" s="590">
        <v>1</v>
      </c>
      <c r="L75" s="476"/>
      <c r="M75" s="651"/>
      <c r="N75" s="652"/>
      <c r="O75" s="652"/>
      <c r="P75" s="652"/>
      <c r="Q75" s="652"/>
      <c r="R75" s="652"/>
      <c r="S75" s="652"/>
      <c r="T75" s="653"/>
      <c r="U75" s="653"/>
      <c r="V75" s="654"/>
      <c r="W75" s="653"/>
      <c r="X75" s="653"/>
    </row>
    <row r="76" spans="1:24" s="650" customFormat="1" ht="177" customHeight="1" x14ac:dyDescent="0.25">
      <c r="A76" s="862">
        <v>1516012</v>
      </c>
      <c r="B76" s="862">
        <v>6012</v>
      </c>
      <c r="C76" s="865" t="s">
        <v>28</v>
      </c>
      <c r="D76" s="868" t="s">
        <v>287</v>
      </c>
      <c r="E76" s="613" t="s">
        <v>486</v>
      </c>
      <c r="F76" s="862" t="s">
        <v>487</v>
      </c>
      <c r="G76" s="612">
        <v>14745012</v>
      </c>
      <c r="H76" s="589">
        <v>14166274.949999999</v>
      </c>
      <c r="I76" s="590">
        <v>0.99</v>
      </c>
      <c r="J76" s="614">
        <v>45000</v>
      </c>
      <c r="K76" s="615">
        <v>1</v>
      </c>
      <c r="L76" s="476"/>
      <c r="M76" s="198"/>
      <c r="N76" s="198"/>
      <c r="O76" s="656"/>
      <c r="P76" s="656"/>
      <c r="Q76" s="656"/>
      <c r="R76" s="656"/>
      <c r="S76" s="656"/>
      <c r="T76" s="656"/>
      <c r="U76" s="656"/>
      <c r="V76" s="656"/>
    </row>
    <row r="77" spans="1:24" s="650" customFormat="1" ht="33" customHeight="1" x14ac:dyDescent="0.25">
      <c r="A77" s="863"/>
      <c r="B77" s="863"/>
      <c r="C77" s="866"/>
      <c r="D77" s="869"/>
      <c r="E77" s="591" t="s">
        <v>488</v>
      </c>
      <c r="F77" s="863"/>
      <c r="G77" s="616">
        <f>280375.62</f>
        <v>280375.62</v>
      </c>
      <c r="H77" s="616">
        <f>280375.62</f>
        <v>280375.62</v>
      </c>
      <c r="I77" s="594">
        <v>1</v>
      </c>
      <c r="J77" s="618"/>
      <c r="K77" s="619">
        <v>1</v>
      </c>
      <c r="L77" s="476"/>
      <c r="M77" s="499"/>
      <c r="N77" s="198"/>
      <c r="O77" s="656"/>
      <c r="P77" s="656"/>
      <c r="Q77" s="656"/>
      <c r="R77" s="656"/>
      <c r="S77" s="656"/>
      <c r="T77" s="656"/>
      <c r="U77" s="656"/>
      <c r="V77" s="656"/>
    </row>
    <row r="78" spans="1:24" s="650" customFormat="1" ht="33" customHeight="1" x14ac:dyDescent="0.25">
      <c r="A78" s="863"/>
      <c r="B78" s="863"/>
      <c r="C78" s="866"/>
      <c r="D78" s="869"/>
      <c r="E78" s="591" t="s">
        <v>489</v>
      </c>
      <c r="F78" s="863"/>
      <c r="G78" s="616">
        <v>269445</v>
      </c>
      <c r="H78" s="616">
        <v>269445</v>
      </c>
      <c r="I78" s="594">
        <v>1</v>
      </c>
      <c r="J78" s="618"/>
      <c r="K78" s="619">
        <v>1</v>
      </c>
      <c r="L78" s="185"/>
      <c r="M78" s="476"/>
      <c r="N78" s="198"/>
      <c r="O78" s="656"/>
      <c r="P78" s="656"/>
      <c r="Q78" s="656"/>
      <c r="R78" s="656"/>
      <c r="S78" s="656"/>
      <c r="T78" s="656"/>
      <c r="U78" s="656"/>
      <c r="V78" s="656"/>
    </row>
    <row r="79" spans="1:24" s="650" customFormat="1" ht="103.9" customHeight="1" x14ac:dyDescent="0.25">
      <c r="A79" s="864"/>
      <c r="B79" s="864"/>
      <c r="C79" s="867"/>
      <c r="D79" s="870"/>
      <c r="E79" s="591" t="s">
        <v>490</v>
      </c>
      <c r="F79" s="864"/>
      <c r="G79" s="616">
        <v>45000</v>
      </c>
      <c r="H79" s="616"/>
      <c r="I79" s="617"/>
      <c r="J79" s="618">
        <v>45000</v>
      </c>
      <c r="K79" s="619">
        <v>1</v>
      </c>
      <c r="L79" s="185"/>
      <c r="M79" s="476"/>
      <c r="N79" s="198"/>
      <c r="O79" s="656"/>
      <c r="P79" s="656"/>
      <c r="Q79" s="656"/>
      <c r="R79" s="656"/>
      <c r="S79" s="656"/>
      <c r="T79" s="656"/>
      <c r="U79" s="656"/>
      <c r="V79" s="656"/>
    </row>
    <row r="80" spans="1:24" s="650" customFormat="1" ht="90" customHeight="1" x14ac:dyDescent="0.25">
      <c r="A80" s="858" t="s">
        <v>300</v>
      </c>
      <c r="B80" s="865" t="s">
        <v>301</v>
      </c>
      <c r="C80" s="865" t="s">
        <v>28</v>
      </c>
      <c r="D80" s="873" t="s">
        <v>287</v>
      </c>
      <c r="E80" s="620" t="s">
        <v>491</v>
      </c>
      <c r="F80" s="875" t="s">
        <v>492</v>
      </c>
      <c r="G80" s="607">
        <v>2880888</v>
      </c>
      <c r="H80" s="589">
        <f>'[1]2024'!$I$42+'[1]2024'!$I$43+'[1]2024'!$I$44</f>
        <v>2463355.75</v>
      </c>
      <c r="I80" s="590">
        <f>H80/G80</f>
        <v>0.85506821160697677</v>
      </c>
      <c r="J80" s="589">
        <f>326029+8644+4370+42000</f>
        <v>381043</v>
      </c>
      <c r="K80" s="590">
        <v>1</v>
      </c>
      <c r="L80" s="123"/>
      <c r="M80" s="476"/>
      <c r="N80" s="198"/>
    </row>
    <row r="81" spans="1:24" s="650" customFormat="1" ht="32.25" customHeight="1" x14ac:dyDescent="0.25">
      <c r="A81" s="859"/>
      <c r="B81" s="867"/>
      <c r="C81" s="867"/>
      <c r="D81" s="874"/>
      <c r="E81" s="621" t="s">
        <v>363</v>
      </c>
      <c r="F81" s="874"/>
      <c r="G81" s="622">
        <v>60271</v>
      </c>
      <c r="H81" s="593">
        <v>49062.16</v>
      </c>
      <c r="I81" s="594">
        <v>1</v>
      </c>
      <c r="J81" s="595"/>
      <c r="K81" s="594">
        <v>1</v>
      </c>
      <c r="L81" s="185"/>
      <c r="M81" s="476"/>
      <c r="N81" s="476"/>
    </row>
    <row r="82" spans="1:24" s="650" customFormat="1" ht="210.75" customHeight="1" x14ac:dyDescent="0.25">
      <c r="A82" s="896" t="s">
        <v>300</v>
      </c>
      <c r="B82" s="865" t="s">
        <v>301</v>
      </c>
      <c r="C82" s="865" t="s">
        <v>28</v>
      </c>
      <c r="D82" s="875" t="s">
        <v>287</v>
      </c>
      <c r="E82" s="620" t="s">
        <v>629</v>
      </c>
      <c r="F82" s="875" t="s">
        <v>483</v>
      </c>
      <c r="G82" s="607">
        <v>5865565</v>
      </c>
      <c r="H82" s="593">
        <v>0</v>
      </c>
      <c r="I82" s="594">
        <v>0</v>
      </c>
      <c r="J82" s="589">
        <v>5865565</v>
      </c>
      <c r="K82" s="730">
        <v>1</v>
      </c>
      <c r="L82" s="185"/>
      <c r="M82" s="476"/>
      <c r="N82" s="476"/>
    </row>
    <row r="83" spans="1:24" s="650" customFormat="1" ht="32.25" customHeight="1" x14ac:dyDescent="0.25">
      <c r="A83" s="897"/>
      <c r="B83" s="867"/>
      <c r="C83" s="867"/>
      <c r="D83" s="874"/>
      <c r="E83" s="621" t="s">
        <v>363</v>
      </c>
      <c r="F83" s="874"/>
      <c r="G83" s="622">
        <v>183000</v>
      </c>
      <c r="H83" s="593">
        <v>0</v>
      </c>
      <c r="I83" s="594">
        <v>0</v>
      </c>
      <c r="J83" s="595">
        <v>183000</v>
      </c>
      <c r="K83" s="730">
        <v>1</v>
      </c>
      <c r="L83" s="185"/>
      <c r="M83" s="476"/>
      <c r="N83" s="476"/>
    </row>
    <row r="84" spans="1:24" s="198" customFormat="1" ht="120.6" customHeight="1" x14ac:dyDescent="0.3">
      <c r="A84" s="889">
        <v>1516012</v>
      </c>
      <c r="B84" s="891">
        <v>6012</v>
      </c>
      <c r="C84" s="885" t="s">
        <v>28</v>
      </c>
      <c r="D84" s="894" t="s">
        <v>287</v>
      </c>
      <c r="E84" s="213" t="s">
        <v>362</v>
      </c>
      <c r="F84" s="871" t="s">
        <v>479</v>
      </c>
      <c r="G84" s="214">
        <v>18595843</v>
      </c>
      <c r="H84" s="478">
        <f>1497526+4000000+10000000-15497526+3505666.5</f>
        <v>3505666.5</v>
      </c>
      <c r="I84" s="660">
        <f>H84/G84*100%</f>
        <v>0.1885188264925661</v>
      </c>
      <c r="J84" s="479">
        <f>3098317-1031901-2066416+10004392</f>
        <v>10004392</v>
      </c>
      <c r="K84" s="662">
        <f>(J84+H84)/G84</f>
        <v>0.72650960217291571</v>
      </c>
      <c r="L84" s="61"/>
      <c r="M84" s="476"/>
      <c r="N84" s="476"/>
    </row>
    <row r="85" spans="1:24" s="198" customFormat="1" ht="21" customHeight="1" x14ac:dyDescent="0.35">
      <c r="A85" s="890"/>
      <c r="B85" s="892"/>
      <c r="C85" s="893"/>
      <c r="D85" s="895"/>
      <c r="E85" s="366" t="s">
        <v>363</v>
      </c>
      <c r="F85" s="872"/>
      <c r="G85" s="379">
        <v>1497526</v>
      </c>
      <c r="H85" s="242">
        <f>1497526-1497526+1478212.98</f>
        <v>1478212.98</v>
      </c>
      <c r="I85" s="661">
        <v>1</v>
      </c>
      <c r="J85" s="480"/>
      <c r="K85" s="663">
        <v>1</v>
      </c>
      <c r="L85" s="129"/>
      <c r="M85" s="476"/>
      <c r="N85" s="476"/>
    </row>
    <row r="86" spans="1:24" s="198" customFormat="1" ht="22.5" customHeight="1" x14ac:dyDescent="0.3">
      <c r="A86" s="482" t="s">
        <v>364</v>
      </c>
      <c r="B86" s="483"/>
      <c r="C86" s="564"/>
      <c r="D86" s="484" t="s">
        <v>365</v>
      </c>
      <c r="E86" s="485"/>
      <c r="F86" s="486"/>
      <c r="G86" s="487"/>
      <c r="H86" s="488"/>
      <c r="I86" s="489"/>
      <c r="J86" s="480"/>
      <c r="K86" s="481"/>
      <c r="L86" s="225"/>
      <c r="M86" s="367"/>
      <c r="N86" s="476"/>
    </row>
    <row r="87" spans="1:24" s="198" customFormat="1" ht="34.5" customHeight="1" x14ac:dyDescent="0.25">
      <c r="A87" s="490"/>
      <c r="B87" s="377"/>
      <c r="C87" s="378"/>
      <c r="D87" s="491" t="s">
        <v>412</v>
      </c>
      <c r="E87" s="480"/>
      <c r="F87" s="429"/>
      <c r="G87" s="379"/>
      <c r="H87" s="242">
        <v>2002023.6</v>
      </c>
      <c r="I87" s="380"/>
      <c r="J87" s="242">
        <f>10000000-H87</f>
        <v>7997976.4000000004</v>
      </c>
      <c r="K87" s="481"/>
      <c r="L87" s="185"/>
      <c r="M87" s="185"/>
      <c r="N87" s="476"/>
    </row>
    <row r="88" spans="1:24" s="198" customFormat="1" ht="67.5" hidden="1" customHeight="1" x14ac:dyDescent="0.25">
      <c r="A88" s="492" t="s">
        <v>366</v>
      </c>
      <c r="B88" s="563" t="s">
        <v>367</v>
      </c>
      <c r="C88" s="563" t="s">
        <v>368</v>
      </c>
      <c r="D88" s="493" t="s">
        <v>369</v>
      </c>
      <c r="E88" s="461" t="s">
        <v>370</v>
      </c>
      <c r="F88" s="378" t="s">
        <v>371</v>
      </c>
      <c r="G88" s="494">
        <f>J88</f>
        <v>0</v>
      </c>
      <c r="H88" s="494">
        <v>0</v>
      </c>
      <c r="I88" s="495">
        <v>0</v>
      </c>
      <c r="J88" s="494">
        <v>0</v>
      </c>
      <c r="K88" s="496">
        <v>1</v>
      </c>
      <c r="L88" s="185"/>
      <c r="M88" s="559"/>
      <c r="N88" s="476"/>
    </row>
    <row r="89" spans="1:24" s="198" customFormat="1" ht="11.45" hidden="1" customHeight="1" x14ac:dyDescent="0.25">
      <c r="A89" s="375" t="s">
        <v>372</v>
      </c>
      <c r="B89" s="376" t="s">
        <v>373</v>
      </c>
      <c r="C89" s="376" t="s">
        <v>227</v>
      </c>
      <c r="D89" s="436" t="s">
        <v>329</v>
      </c>
      <c r="E89" s="497" t="s">
        <v>374</v>
      </c>
      <c r="F89" s="378" t="s">
        <v>371</v>
      </c>
      <c r="G89" s="494">
        <f t="shared" ref="G89" si="0">J89</f>
        <v>0</v>
      </c>
      <c r="H89" s="478">
        <v>0</v>
      </c>
      <c r="I89" s="495">
        <v>0</v>
      </c>
      <c r="J89" s="478">
        <v>0</v>
      </c>
      <c r="K89" s="498">
        <v>1</v>
      </c>
      <c r="L89" s="185"/>
      <c r="M89" s="185"/>
      <c r="N89" s="476"/>
    </row>
    <row r="90" spans="1:24" s="655" customFormat="1" ht="132.75" customHeight="1" x14ac:dyDescent="0.3">
      <c r="A90" s="623">
        <v>1516013</v>
      </c>
      <c r="B90" s="623">
        <v>6013</v>
      </c>
      <c r="C90" s="624" t="s">
        <v>28</v>
      </c>
      <c r="D90" s="625" t="s">
        <v>129</v>
      </c>
      <c r="E90" s="626" t="s">
        <v>493</v>
      </c>
      <c r="F90" s="625" t="s">
        <v>492</v>
      </c>
      <c r="G90" s="589">
        <v>226222</v>
      </c>
      <c r="H90" s="589">
        <v>0</v>
      </c>
      <c r="I90" s="590">
        <v>0</v>
      </c>
      <c r="J90" s="627">
        <v>198440</v>
      </c>
      <c r="K90" s="590">
        <v>1</v>
      </c>
      <c r="L90" s="651"/>
      <c r="M90" s="657"/>
      <c r="N90" s="658"/>
      <c r="O90" s="658"/>
      <c r="P90" s="658"/>
      <c r="Q90" s="658"/>
      <c r="R90" s="658"/>
      <c r="S90" s="653"/>
      <c r="T90" s="653"/>
      <c r="U90" s="654"/>
      <c r="V90" s="653"/>
      <c r="W90" s="653"/>
    </row>
    <row r="91" spans="1:24" s="655" customFormat="1" ht="97.5" customHeight="1" x14ac:dyDescent="0.3">
      <c r="A91" s="856">
        <v>1516030</v>
      </c>
      <c r="B91" s="856">
        <v>6030</v>
      </c>
      <c r="C91" s="858" t="s">
        <v>28</v>
      </c>
      <c r="D91" s="862" t="s">
        <v>29</v>
      </c>
      <c r="E91" s="620" t="s">
        <v>494</v>
      </c>
      <c r="F91" s="865" t="s">
        <v>495</v>
      </c>
      <c r="G91" s="628">
        <v>4741092</v>
      </c>
      <c r="H91" s="629">
        <v>3946243</v>
      </c>
      <c r="I91" s="615">
        <v>0.99</v>
      </c>
      <c r="J91" s="612">
        <v>45000</v>
      </c>
      <c r="K91" s="615">
        <v>1</v>
      </c>
      <c r="L91" s="659"/>
      <c r="M91" s="652"/>
      <c r="N91" s="652"/>
      <c r="O91" s="652"/>
      <c r="P91" s="652"/>
      <c r="Q91" s="652"/>
      <c r="R91" s="652"/>
      <c r="S91" s="652"/>
      <c r="T91" s="653"/>
      <c r="U91" s="653"/>
      <c r="V91" s="654"/>
      <c r="W91" s="653"/>
      <c r="X91" s="653"/>
    </row>
    <row r="92" spans="1:24" s="655" customFormat="1" ht="39" customHeight="1" x14ac:dyDescent="0.3">
      <c r="A92" s="887"/>
      <c r="B92" s="887"/>
      <c r="C92" s="888"/>
      <c r="D92" s="863"/>
      <c r="E92" s="621" t="s">
        <v>496</v>
      </c>
      <c r="F92" s="866"/>
      <c r="G92" s="618">
        <v>49800</v>
      </c>
      <c r="H92" s="616">
        <v>49763</v>
      </c>
      <c r="I92" s="619">
        <v>1</v>
      </c>
      <c r="J92" s="612"/>
      <c r="K92" s="619">
        <v>1</v>
      </c>
      <c r="L92" s="659"/>
      <c r="M92" s="652"/>
      <c r="N92" s="652"/>
      <c r="O92" s="652"/>
      <c r="P92" s="652"/>
      <c r="Q92" s="652"/>
      <c r="R92" s="652"/>
      <c r="S92" s="652"/>
      <c r="T92" s="653"/>
      <c r="U92" s="653"/>
      <c r="V92" s="654"/>
      <c r="W92" s="653"/>
      <c r="X92" s="653"/>
    </row>
    <row r="93" spans="1:24" s="655" customFormat="1" ht="48.75" customHeight="1" x14ac:dyDescent="0.3">
      <c r="A93" s="887"/>
      <c r="B93" s="887"/>
      <c r="C93" s="888"/>
      <c r="D93" s="863"/>
      <c r="E93" s="630" t="s">
        <v>378</v>
      </c>
      <c r="F93" s="866"/>
      <c r="G93" s="631">
        <v>140204</v>
      </c>
      <c r="H93" s="631">
        <v>123810.91</v>
      </c>
      <c r="I93" s="619">
        <v>1</v>
      </c>
      <c r="J93" s="631"/>
      <c r="K93" s="619">
        <v>1</v>
      </c>
      <c r="L93" s="659"/>
      <c r="M93" s="652"/>
      <c r="N93" s="652"/>
      <c r="O93" s="652"/>
      <c r="P93" s="652"/>
      <c r="Q93" s="652"/>
      <c r="R93" s="652"/>
      <c r="S93" s="652"/>
      <c r="T93" s="653"/>
      <c r="U93" s="653"/>
      <c r="V93" s="654"/>
      <c r="W93" s="653"/>
      <c r="X93" s="653"/>
    </row>
    <row r="94" spans="1:24" s="655" customFormat="1" ht="81" x14ac:dyDescent="0.3">
      <c r="A94" s="857"/>
      <c r="B94" s="857"/>
      <c r="C94" s="859"/>
      <c r="D94" s="864"/>
      <c r="E94" s="630" t="s">
        <v>490</v>
      </c>
      <c r="F94" s="867"/>
      <c r="G94" s="631">
        <v>45000</v>
      </c>
      <c r="H94" s="631"/>
      <c r="I94" s="632"/>
      <c r="J94" s="631">
        <v>45000</v>
      </c>
      <c r="K94" s="619">
        <v>1</v>
      </c>
      <c r="L94" s="652"/>
      <c r="M94" s="652"/>
      <c r="N94" s="652"/>
      <c r="O94" s="652"/>
      <c r="P94" s="652"/>
      <c r="Q94" s="652"/>
      <c r="R94" s="652"/>
      <c r="S94" s="653"/>
      <c r="T94" s="653"/>
      <c r="U94" s="654"/>
      <c r="V94" s="653"/>
      <c r="W94" s="653"/>
    </row>
    <row r="95" spans="1:24" s="655" customFormat="1" ht="180" customHeight="1" x14ac:dyDescent="0.3">
      <c r="A95" s="633">
        <v>1516030</v>
      </c>
      <c r="B95" s="633">
        <v>6030</v>
      </c>
      <c r="C95" s="604" t="s">
        <v>28</v>
      </c>
      <c r="D95" s="634" t="s">
        <v>29</v>
      </c>
      <c r="E95" s="635" t="s">
        <v>497</v>
      </c>
      <c r="F95" s="636" t="s">
        <v>492</v>
      </c>
      <c r="G95" s="589">
        <v>406558</v>
      </c>
      <c r="H95" s="589">
        <f>105518.95</f>
        <v>105518.95</v>
      </c>
      <c r="I95" s="590">
        <f>H95/G95</f>
        <v>0.2595421809434324</v>
      </c>
      <c r="J95" s="629">
        <v>251111</v>
      </c>
      <c r="K95" s="590">
        <v>1</v>
      </c>
      <c r="L95" s="651"/>
      <c r="M95" s="657"/>
      <c r="N95" s="658"/>
      <c r="O95" s="658"/>
      <c r="P95" s="658"/>
      <c r="Q95" s="658"/>
      <c r="R95" s="658"/>
      <c r="S95" s="653"/>
      <c r="T95" s="653"/>
      <c r="U95" s="654"/>
      <c r="V95" s="653"/>
      <c r="W95" s="653"/>
    </row>
    <row r="96" spans="1:24" s="655" customFormat="1" ht="135" customHeight="1" x14ac:dyDescent="0.3">
      <c r="A96" s="633">
        <v>1516030</v>
      </c>
      <c r="B96" s="633">
        <v>6030</v>
      </c>
      <c r="C96" s="604" t="s">
        <v>28</v>
      </c>
      <c r="D96" s="634" t="s">
        <v>29</v>
      </c>
      <c r="E96" s="635" t="s">
        <v>498</v>
      </c>
      <c r="F96" s="636" t="s">
        <v>483</v>
      </c>
      <c r="G96" s="589">
        <v>55031</v>
      </c>
      <c r="H96" s="589">
        <v>0</v>
      </c>
      <c r="I96" s="590">
        <v>0</v>
      </c>
      <c r="J96" s="629">
        <v>55031</v>
      </c>
      <c r="K96" s="590">
        <v>1</v>
      </c>
      <c r="L96" s="651"/>
      <c r="M96" s="657"/>
      <c r="N96" s="658"/>
      <c r="O96" s="658"/>
      <c r="P96" s="658"/>
      <c r="Q96" s="658"/>
      <c r="R96" s="658"/>
      <c r="S96" s="653"/>
      <c r="T96" s="653"/>
      <c r="U96" s="654"/>
      <c r="V96" s="653"/>
      <c r="W96" s="653"/>
    </row>
    <row r="97" spans="1:23" s="655" customFormat="1" ht="122.25" customHeight="1" x14ac:dyDescent="0.3">
      <c r="A97" s="854">
        <v>1516030</v>
      </c>
      <c r="B97" s="856">
        <v>6030</v>
      </c>
      <c r="C97" s="858" t="s">
        <v>28</v>
      </c>
      <c r="D97" s="860" t="s">
        <v>29</v>
      </c>
      <c r="E97" s="606" t="s">
        <v>655</v>
      </c>
      <c r="F97" s="605" t="s">
        <v>656</v>
      </c>
      <c r="G97" s="589">
        <v>3910004</v>
      </c>
      <c r="H97" s="589">
        <v>658537.76</v>
      </c>
      <c r="I97" s="590">
        <f>H97/G97</f>
        <v>0.16842380723907188</v>
      </c>
      <c r="J97" s="612">
        <v>1000000</v>
      </c>
      <c r="K97" s="590">
        <f>(H97+J97)/G97</f>
        <v>0.42417802130125698</v>
      </c>
      <c r="L97" s="651"/>
      <c r="M97" s="657"/>
      <c r="N97" s="658"/>
      <c r="O97" s="658"/>
      <c r="P97" s="658"/>
      <c r="Q97" s="658"/>
      <c r="R97" s="658"/>
      <c r="S97" s="653"/>
      <c r="T97" s="653"/>
      <c r="U97" s="654"/>
      <c r="V97" s="653"/>
      <c r="W97" s="653"/>
    </row>
    <row r="98" spans="1:23" s="655" customFormat="1" ht="27" customHeight="1" x14ac:dyDescent="0.3">
      <c r="A98" s="855"/>
      <c r="B98" s="857"/>
      <c r="C98" s="859"/>
      <c r="D98" s="861"/>
      <c r="E98" s="750" t="s">
        <v>303</v>
      </c>
      <c r="F98" s="751"/>
      <c r="G98" s="593">
        <v>174543</v>
      </c>
      <c r="H98" s="593">
        <v>154159.98000000001</v>
      </c>
      <c r="I98" s="594">
        <v>1</v>
      </c>
      <c r="J98" s="631"/>
      <c r="K98" s="752">
        <v>1</v>
      </c>
      <c r="L98" s="651"/>
      <c r="M98" s="657"/>
      <c r="N98" s="658"/>
      <c r="O98" s="658"/>
      <c r="P98" s="658"/>
      <c r="Q98" s="658"/>
      <c r="R98" s="658"/>
      <c r="S98" s="653"/>
      <c r="T98" s="653"/>
      <c r="U98" s="654"/>
      <c r="V98" s="653"/>
      <c r="W98" s="653"/>
    </row>
    <row r="99" spans="1:23" s="655" customFormat="1" ht="122.25" customHeight="1" x14ac:dyDescent="0.3">
      <c r="A99" s="637">
        <v>1516030</v>
      </c>
      <c r="B99" s="637">
        <v>6030</v>
      </c>
      <c r="C99" s="638" t="s">
        <v>28</v>
      </c>
      <c r="D99" s="639" t="s">
        <v>29</v>
      </c>
      <c r="E99" s="640" t="s">
        <v>499</v>
      </c>
      <c r="F99" s="641" t="s">
        <v>483</v>
      </c>
      <c r="G99" s="588">
        <v>49800</v>
      </c>
      <c r="H99" s="588">
        <v>0</v>
      </c>
      <c r="I99" s="642">
        <v>0</v>
      </c>
      <c r="J99" s="643">
        <v>49800</v>
      </c>
      <c r="K99" s="642">
        <v>1</v>
      </c>
      <c r="L99" s="651"/>
      <c r="M99" s="657"/>
      <c r="N99" s="658"/>
      <c r="O99" s="658"/>
      <c r="P99" s="658"/>
      <c r="Q99" s="658"/>
      <c r="R99" s="658"/>
      <c r="S99" s="653"/>
      <c r="T99" s="653"/>
      <c r="U99" s="654"/>
      <c r="V99" s="653"/>
      <c r="W99" s="653"/>
    </row>
    <row r="100" spans="1:23" s="655" customFormat="1" ht="209.45" customHeight="1" x14ac:dyDescent="0.3">
      <c r="A100" s="633">
        <v>1516030</v>
      </c>
      <c r="B100" s="633">
        <v>6030</v>
      </c>
      <c r="C100" s="604" t="s">
        <v>28</v>
      </c>
      <c r="D100" s="634" t="s">
        <v>29</v>
      </c>
      <c r="E100" s="635" t="s">
        <v>657</v>
      </c>
      <c r="F100" s="740" t="s">
        <v>483</v>
      </c>
      <c r="G100" s="589">
        <v>100539</v>
      </c>
      <c r="H100" s="589">
        <v>0</v>
      </c>
      <c r="I100" s="590">
        <v>0</v>
      </c>
      <c r="J100" s="612">
        <v>100539</v>
      </c>
      <c r="K100" s="753">
        <f>J100/G100</f>
        <v>1</v>
      </c>
      <c r="L100" s="651"/>
      <c r="M100" s="657"/>
      <c r="N100" s="658"/>
      <c r="O100" s="658"/>
      <c r="P100" s="658"/>
      <c r="Q100" s="658"/>
      <c r="R100" s="658"/>
      <c r="S100" s="653"/>
      <c r="T100" s="653"/>
      <c r="U100" s="654"/>
      <c r="V100" s="653"/>
      <c r="W100" s="653"/>
    </row>
    <row r="101" spans="1:23" s="476" customFormat="1" ht="109.9" customHeight="1" x14ac:dyDescent="0.3">
      <c r="A101" s="879" t="s">
        <v>375</v>
      </c>
      <c r="B101" s="881" t="s">
        <v>132</v>
      </c>
      <c r="C101" s="881" t="s">
        <v>133</v>
      </c>
      <c r="D101" s="883" t="s">
        <v>134</v>
      </c>
      <c r="E101" s="437" t="s">
        <v>376</v>
      </c>
      <c r="F101" s="885" t="s">
        <v>377</v>
      </c>
      <c r="G101" s="494">
        <f>45050824-45050824+41614646</f>
        <v>41614646</v>
      </c>
      <c r="H101" s="478">
        <f>2753824+7531097-2799508-7485413+2902210</f>
        <v>2902210</v>
      </c>
      <c r="I101" s="644">
        <f>H101/G101*100%</f>
        <v>6.9740110248685039E-2</v>
      </c>
      <c r="J101" s="478">
        <f>2799508-2799508+4991926+490356+1007036+997461</f>
        <v>7486779</v>
      </c>
      <c r="K101" s="645">
        <f>(J101+H101)/G101</f>
        <v>0.24964741980503691</v>
      </c>
      <c r="L101" s="185"/>
      <c r="M101" s="61"/>
      <c r="N101" s="185"/>
    </row>
    <row r="102" spans="1:23" s="476" customFormat="1" ht="111" customHeight="1" thickBot="1" x14ac:dyDescent="0.3">
      <c r="A102" s="880"/>
      <c r="B102" s="882"/>
      <c r="C102" s="882"/>
      <c r="D102" s="884"/>
      <c r="E102" s="502" t="s">
        <v>379</v>
      </c>
      <c r="F102" s="886"/>
      <c r="G102" s="500">
        <f>10458431-10458431+10463759</f>
        <v>10463759</v>
      </c>
      <c r="H102" s="501">
        <f>7531097-2799508-4731589+2902210</f>
        <v>2902210</v>
      </c>
      <c r="I102" s="646">
        <f>H102/G102*100%</f>
        <v>0.27735826102264016</v>
      </c>
      <c r="J102" s="501">
        <f>2799508-2799508+4991926+490356+1007036+997461</f>
        <v>7486779</v>
      </c>
      <c r="K102" s="647">
        <v>0.99</v>
      </c>
      <c r="L102" s="185"/>
      <c r="M102" s="185"/>
      <c r="N102" s="185"/>
    </row>
    <row r="103" spans="1:23" s="476" customFormat="1" ht="97.5" customHeight="1" thickBot="1" x14ac:dyDescent="0.35">
      <c r="A103" s="528" t="s">
        <v>254</v>
      </c>
      <c r="B103" s="529" t="s">
        <v>16</v>
      </c>
      <c r="C103" s="529" t="s">
        <v>16</v>
      </c>
      <c r="D103" s="530" t="s">
        <v>255</v>
      </c>
      <c r="E103" s="531"/>
      <c r="F103" s="532"/>
      <c r="G103" s="533"/>
      <c r="H103" s="534"/>
      <c r="I103" s="535"/>
      <c r="J103" s="548">
        <f>J104</f>
        <v>9099316</v>
      </c>
      <c r="K103" s="536"/>
      <c r="L103" s="185"/>
      <c r="M103" s="185"/>
      <c r="N103" s="61"/>
    </row>
    <row r="104" spans="1:23" s="476" customFormat="1" ht="111" customHeight="1" x14ac:dyDescent="0.35">
      <c r="A104" s="524" t="s">
        <v>256</v>
      </c>
      <c r="B104" s="525" t="s">
        <v>16</v>
      </c>
      <c r="C104" s="525" t="s">
        <v>16</v>
      </c>
      <c r="D104" s="526" t="s">
        <v>255</v>
      </c>
      <c r="E104" s="527"/>
      <c r="F104" s="541"/>
      <c r="G104" s="542"/>
      <c r="H104" s="543"/>
      <c r="I104" s="544"/>
      <c r="J104" s="545">
        <f>J105</f>
        <v>9099316</v>
      </c>
      <c r="K104" s="546"/>
      <c r="L104" s="185"/>
      <c r="M104" s="185"/>
      <c r="N104" s="129"/>
    </row>
    <row r="105" spans="1:23" s="476" customFormat="1" ht="111" customHeight="1" thickBot="1" x14ac:dyDescent="0.35">
      <c r="A105" s="537" t="s">
        <v>383</v>
      </c>
      <c r="B105" s="538" t="s">
        <v>384</v>
      </c>
      <c r="C105" s="538" t="s">
        <v>368</v>
      </c>
      <c r="D105" s="539" t="s">
        <v>382</v>
      </c>
      <c r="E105" s="540" t="s">
        <v>385</v>
      </c>
      <c r="F105" s="564"/>
      <c r="G105" s="520"/>
      <c r="H105" s="521"/>
      <c r="I105" s="522"/>
      <c r="J105" s="547">
        <f>1031901+206381+2798176+5062858</f>
        <v>9099316</v>
      </c>
      <c r="K105" s="523"/>
      <c r="L105" s="185"/>
      <c r="M105" s="185"/>
      <c r="N105" s="225"/>
    </row>
    <row r="106" spans="1:23" ht="21" thickBot="1" x14ac:dyDescent="0.3">
      <c r="A106" s="216" t="s">
        <v>185</v>
      </c>
      <c r="B106" s="100" t="s">
        <v>185</v>
      </c>
      <c r="C106" s="100" t="s">
        <v>185</v>
      </c>
      <c r="D106" s="99" t="s">
        <v>141</v>
      </c>
      <c r="E106" s="117" t="s">
        <v>185</v>
      </c>
      <c r="F106" s="118" t="s">
        <v>185</v>
      </c>
      <c r="G106" s="119" t="s">
        <v>185</v>
      </c>
      <c r="H106" s="119" t="s">
        <v>185</v>
      </c>
      <c r="I106" s="119" t="s">
        <v>185</v>
      </c>
      <c r="J106" s="503">
        <f>J23+J43+J52+J56+J60+J30+J48+J103+J36</f>
        <v>92000128</v>
      </c>
      <c r="K106" s="120" t="s">
        <v>185</v>
      </c>
    </row>
    <row r="107" spans="1:23" ht="20.25" x14ac:dyDescent="0.25">
      <c r="A107" s="217"/>
      <c r="B107" s="218"/>
      <c r="C107" s="218"/>
      <c r="D107" s="219"/>
      <c r="E107" s="220"/>
      <c r="F107" s="221"/>
      <c r="G107" s="222"/>
      <c r="H107" s="222"/>
      <c r="I107" s="222"/>
      <c r="J107" s="121"/>
      <c r="K107" s="223"/>
    </row>
    <row r="108" spans="1:23" s="126" customFormat="1" ht="49.9" customHeight="1" x14ac:dyDescent="0.3">
      <c r="A108" s="898" t="s">
        <v>392</v>
      </c>
      <c r="B108" s="898"/>
      <c r="C108" s="898"/>
      <c r="D108" s="898"/>
      <c r="E108" s="898"/>
      <c r="F108" s="898"/>
      <c r="G108" s="898"/>
      <c r="H108" s="898"/>
      <c r="I108" s="898"/>
      <c r="J108" s="898"/>
      <c r="K108" s="559"/>
      <c r="L108" s="185"/>
      <c r="M108" s="185"/>
      <c r="N108" s="185"/>
      <c r="O108" s="124"/>
      <c r="P108" s="125"/>
    </row>
    <row r="109" spans="1:23" s="126" customFormat="1" ht="49.9" customHeight="1" x14ac:dyDescent="0.3">
      <c r="A109" s="898"/>
      <c r="B109" s="898"/>
      <c r="C109" s="898"/>
      <c r="D109" s="898"/>
      <c r="E109" s="898"/>
      <c r="F109" s="898"/>
      <c r="G109" s="898"/>
      <c r="H109" s="898"/>
      <c r="I109" s="898"/>
      <c r="J109" s="898"/>
      <c r="K109" s="559"/>
      <c r="L109" s="185"/>
      <c r="M109" s="185"/>
      <c r="N109" s="185"/>
      <c r="O109" s="124"/>
      <c r="P109" s="125"/>
    </row>
    <row r="110" spans="1:23" ht="63" customHeight="1" x14ac:dyDescent="0.25">
      <c r="J110" s="755"/>
    </row>
    <row r="111" spans="1:23" s="61" customFormat="1" ht="20.25" x14ac:dyDescent="0.3">
      <c r="A111" s="127"/>
      <c r="B111" s="127"/>
      <c r="G111" s="224"/>
      <c r="J111" s="364"/>
      <c r="L111" s="185"/>
      <c r="M111" s="185"/>
      <c r="N111" s="185"/>
    </row>
    <row r="112" spans="1:23" s="129" customFormat="1" ht="21" x14ac:dyDescent="0.35">
      <c r="A112" s="128"/>
      <c r="B112" s="128"/>
      <c r="L112" s="185"/>
      <c r="M112" s="185"/>
      <c r="N112" s="185"/>
    </row>
    <row r="113" spans="2:14" s="225" customFormat="1" ht="20.25" x14ac:dyDescent="0.3">
      <c r="B113" s="226"/>
      <c r="C113" s="227"/>
      <c r="E113" s="228"/>
      <c r="F113" s="227"/>
      <c r="G113" s="224"/>
      <c r="H113" s="224"/>
      <c r="I113" s="224"/>
      <c r="J113" s="504"/>
      <c r="K113" s="229"/>
      <c r="L113" s="185"/>
      <c r="M113" s="185"/>
      <c r="N113" s="185"/>
    </row>
    <row r="114" spans="2:14" x14ac:dyDescent="0.25">
      <c r="B114" s="185"/>
      <c r="C114" s="185"/>
      <c r="D114" s="185"/>
      <c r="E114" s="185"/>
      <c r="F114" s="185"/>
      <c r="G114" s="185"/>
      <c r="H114" s="185"/>
      <c r="I114" s="185"/>
      <c r="J114" s="185"/>
      <c r="K114" s="185"/>
    </row>
    <row r="115" spans="2:14" x14ac:dyDescent="0.25">
      <c r="B115" s="185"/>
      <c r="C115" s="185"/>
      <c r="D115" s="185"/>
      <c r="E115" s="185"/>
      <c r="F115" s="185"/>
      <c r="G115" s="185"/>
      <c r="H115" s="185"/>
      <c r="I115" s="185"/>
      <c r="J115" s="185"/>
      <c r="K115" s="185"/>
    </row>
  </sheetData>
  <mergeCells count="79">
    <mergeCell ref="A108:J108"/>
    <mergeCell ref="I5:J5"/>
    <mergeCell ref="A109:J109"/>
    <mergeCell ref="A17:K17"/>
    <mergeCell ref="A18:C18"/>
    <mergeCell ref="D18:K18"/>
    <mergeCell ref="A20:A21"/>
    <mergeCell ref="B20:B21"/>
    <mergeCell ref="C20:C21"/>
    <mergeCell ref="D20:D21"/>
    <mergeCell ref="E20:E21"/>
    <mergeCell ref="F20:F21"/>
    <mergeCell ref="G20:G21"/>
    <mergeCell ref="H20:H21"/>
    <mergeCell ref="I20:I21"/>
    <mergeCell ref="J20:J21"/>
    <mergeCell ref="F82:F83"/>
    <mergeCell ref="A101:A102"/>
    <mergeCell ref="B101:B102"/>
    <mergeCell ref="C101:C102"/>
    <mergeCell ref="D101:D102"/>
    <mergeCell ref="F101:F102"/>
    <mergeCell ref="A91:A94"/>
    <mergeCell ref="B91:B94"/>
    <mergeCell ref="C91:C94"/>
    <mergeCell ref="D91:D94"/>
    <mergeCell ref="F91:F94"/>
    <mergeCell ref="A84:A85"/>
    <mergeCell ref="B84:B85"/>
    <mergeCell ref="C84:C85"/>
    <mergeCell ref="D84:D85"/>
    <mergeCell ref="A82:A83"/>
    <mergeCell ref="B82:B83"/>
    <mergeCell ref="C82:C83"/>
    <mergeCell ref="D82:D83"/>
    <mergeCell ref="A63:A64"/>
    <mergeCell ref="A65:A66"/>
    <mergeCell ref="B65:B66"/>
    <mergeCell ref="C65:C66"/>
    <mergeCell ref="D65:D66"/>
    <mergeCell ref="A69:A70"/>
    <mergeCell ref="A73:A74"/>
    <mergeCell ref="B73:B74"/>
    <mergeCell ref="C73:C74"/>
    <mergeCell ref="D73:D74"/>
    <mergeCell ref="A71:A72"/>
    <mergeCell ref="I9:K9"/>
    <mergeCell ref="I10:K10"/>
    <mergeCell ref="A19:C19"/>
    <mergeCell ref="I13:J13"/>
    <mergeCell ref="K20:K21"/>
    <mergeCell ref="F71:F72"/>
    <mergeCell ref="B63:B64"/>
    <mergeCell ref="C63:C64"/>
    <mergeCell ref="D63:D64"/>
    <mergeCell ref="F63:F64"/>
    <mergeCell ref="F65:F66"/>
    <mergeCell ref="B69:B70"/>
    <mergeCell ref="C69:C70"/>
    <mergeCell ref="D69:D70"/>
    <mergeCell ref="B71:B72"/>
    <mergeCell ref="C71:C72"/>
    <mergeCell ref="D71:D72"/>
    <mergeCell ref="F73:F74"/>
    <mergeCell ref="A97:A98"/>
    <mergeCell ref="B97:B98"/>
    <mergeCell ref="C97:C98"/>
    <mergeCell ref="D97:D98"/>
    <mergeCell ref="A76:A79"/>
    <mergeCell ref="B76:B79"/>
    <mergeCell ref="C76:C79"/>
    <mergeCell ref="D76:D79"/>
    <mergeCell ref="F76:F79"/>
    <mergeCell ref="F84:F85"/>
    <mergeCell ref="A80:A81"/>
    <mergeCell ref="B80:B81"/>
    <mergeCell ref="C80:C81"/>
    <mergeCell ref="D80:D81"/>
    <mergeCell ref="F80:F81"/>
  </mergeCells>
  <hyperlinks>
    <hyperlink ref="D40" r:id="rId1" location="n8" display="https://zakon.rada.gov.ua/rada/show/988-2016-%D1%80 - n8" xr:uid="{00000000-0004-0000-0500-000000000000}"/>
    <hyperlink ref="D41" r:id="rId2" location="n8" display="https://zakon.rada.gov.ua/rada/show/988-2016-%D1%80 - n8" xr:uid="{00000000-0004-0000-0500-000001000000}"/>
  </hyperlinks>
  <pageMargins left="0.78740157480314965" right="0.78740157480314965" top="1.1811023622047245" bottom="0.39370078740157483" header="0.31496062992125984" footer="0.31496062992125984"/>
  <pageSetup paperSize="9" scale="54"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11</vt:i4>
      </vt:variant>
    </vt:vector>
  </HeadingPairs>
  <TitlesOfParts>
    <vt:vector size="17" baseType="lpstr">
      <vt:lpstr>дод 1 Доходи</vt:lpstr>
      <vt:lpstr>дод 2 Джерела</vt:lpstr>
      <vt:lpstr>дод 3 Видатки</vt:lpstr>
      <vt:lpstr>дод 4 Трансферти</vt:lpstr>
      <vt:lpstr>дод 5 Програми</vt:lpstr>
      <vt:lpstr>дод 6 Бюдж розвитку</vt:lpstr>
      <vt:lpstr>'дод 5 Програми'!_Hlk120021892</vt:lpstr>
      <vt:lpstr>'дод 5 Програми'!_Hlk125474567</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2025-07-21T12:36:52Z</cp:lastPrinted>
  <dcterms:created xsi:type="dcterms:W3CDTF">2021-12-17T13:26:15Z</dcterms:created>
  <dcterms:modified xsi:type="dcterms:W3CDTF">2025-07-21T12:42:09Z</dcterms:modified>
</cp:coreProperties>
</file>