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B-1-FIN-OTDEL\share\БЮДЖЕТ 2025 рік\Рішення про бюджет 2025\6. Рішення №        -VIII від     .10.2025р\Рішення від                2025 р №        -VIII\На публікацію\Звіт\"/>
    </mc:Choice>
  </mc:AlternateContent>
  <xr:revisionPtr revIDLastSave="0" documentId="13_ncr:1_{E79F5BC8-0C4E-4DC3-92D9-218A6B58E27A}" xr6:coauthVersionLast="47" xr6:coauthVersionMax="47" xr10:uidLastSave="{00000000-0000-0000-0000-000000000000}"/>
  <bookViews>
    <workbookView xWindow="-120" yWindow="-120" windowWidth="29040" windowHeight="15720" firstSheet="3" activeTab="8" xr2:uid="{00000000-000D-0000-FFFF-FFFF00000000}"/>
  </bookViews>
  <sheets>
    <sheet name="дод 1 Доходи" sheetId="22" r:id="rId1"/>
    <sheet name="дод 2 Джерела" sheetId="23" r:id="rId2"/>
    <sheet name="дод 3 Видатки" sheetId="19" r:id="rId3"/>
    <sheet name="дод 4 Кредитування" sheetId="28" r:id="rId4"/>
    <sheet name="дод 5 Трансферти" sheetId="25" r:id="rId5"/>
    <sheet name="дод 6 Капітальні вкладення" sheetId="29" r:id="rId6"/>
    <sheet name="дод 7 Програми" sheetId="27" r:id="rId7"/>
    <sheet name="дод 8 Бюджет розвитку" sheetId="30" r:id="rId8"/>
    <sheet name="дод 9 ФОНС " sheetId="26" r:id="rId9"/>
  </sheets>
  <externalReferences>
    <externalReference r:id="rId10"/>
  </externalReferences>
  <definedNames>
    <definedName name="_xlnm.Print_Titles" localSheetId="0">'дод 1 Доходи'!$11:$14</definedName>
    <definedName name="_xlnm.Print_Titles" localSheetId="2">'дод 3 Видатки'!$12:$16</definedName>
    <definedName name="_xlnm.Print_Titles" localSheetId="5">'дод 6 Капітальні вкладення'!$16:$18</definedName>
    <definedName name="_xlnm.Print_Titles" localSheetId="7">'дод 8 Бюджет розвитку'!$12:$14</definedName>
    <definedName name="_xlnm.Print_Area" localSheetId="0">'дод 1 Доходи'!$A$1:$K$93</definedName>
    <definedName name="_xlnm.Print_Area" localSheetId="1">'дод 2 Джерела'!$A$1:$J$32</definedName>
    <definedName name="_xlnm.Print_Area" localSheetId="2">'дод 3 Видатки'!$A$1:$M$332</definedName>
    <definedName name="_xlnm.Print_Area" localSheetId="4">'дод 5 Трансферти'!$A$1:$F$74</definedName>
    <definedName name="_xlnm.Print_Area" localSheetId="5">'дод 6 Капітальні вкладення'!$A$1:$K$25</definedName>
    <definedName name="_xlnm.Print_Area" localSheetId="6">'дод 7 Програми'!$A$1:$O$123</definedName>
    <definedName name="_xlnm.Print_Area" localSheetId="8">'дод 9 ФОНС '!$A$1:$H$24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26" i="23" l="1"/>
  <c r="J19" i="23"/>
  <c r="C58" i="22"/>
  <c r="F49" i="25"/>
  <c r="F47" i="25"/>
  <c r="E48" i="25"/>
  <c r="D48" i="25"/>
  <c r="D46" i="25"/>
  <c r="D52" i="25" s="1"/>
  <c r="F43" i="25"/>
  <c r="E42" i="25"/>
  <c r="D42" i="25"/>
  <c r="E40" i="25"/>
  <c r="F41" i="25"/>
  <c r="F39" i="25"/>
  <c r="F37" i="25"/>
  <c r="F35" i="25"/>
  <c r="F33" i="25"/>
  <c r="D40" i="25"/>
  <c r="F48" i="25" l="1"/>
  <c r="F42" i="25"/>
  <c r="F40" i="25"/>
  <c r="E88" i="22"/>
  <c r="D88" i="22"/>
  <c r="C88" i="22"/>
  <c r="J87" i="22"/>
  <c r="D87" i="22"/>
  <c r="H86" i="22"/>
  <c r="D86" i="22"/>
  <c r="C86" i="22"/>
  <c r="H85" i="22"/>
  <c r="E85" i="22" s="1"/>
  <c r="D85" i="22"/>
  <c r="C85" i="22"/>
  <c r="H84" i="22"/>
  <c r="D84" i="22"/>
  <c r="E84" i="22" s="1"/>
  <c r="C84" i="22"/>
  <c r="H83" i="22"/>
  <c r="D83" i="22"/>
  <c r="C83" i="22"/>
  <c r="H82" i="22"/>
  <c r="D82" i="22"/>
  <c r="C82" i="22"/>
  <c r="H81" i="22"/>
  <c r="D81" i="22"/>
  <c r="C81" i="22"/>
  <c r="D80" i="22"/>
  <c r="H79" i="22"/>
  <c r="D79" i="22"/>
  <c r="C79" i="22"/>
  <c r="G78" i="22"/>
  <c r="F78" i="22"/>
  <c r="C78" i="22" s="1"/>
  <c r="E77" i="22"/>
  <c r="D77" i="22"/>
  <c r="C77" i="22"/>
  <c r="H76" i="22"/>
  <c r="E76" i="22" s="1"/>
  <c r="G76" i="22"/>
  <c r="D76" i="22" s="1"/>
  <c r="F76" i="22"/>
  <c r="C76" i="22"/>
  <c r="K75" i="22"/>
  <c r="D75" i="22"/>
  <c r="E75" i="22" s="1"/>
  <c r="C75" i="22"/>
  <c r="H74" i="22"/>
  <c r="D74" i="22"/>
  <c r="E74" i="22" s="1"/>
  <c r="C74" i="22"/>
  <c r="H73" i="22"/>
  <c r="D73" i="22"/>
  <c r="C73" i="22"/>
  <c r="H72" i="22"/>
  <c r="D72" i="22"/>
  <c r="C72" i="22"/>
  <c r="K71" i="22"/>
  <c r="H71" i="22"/>
  <c r="D71" i="22"/>
  <c r="C71" i="22"/>
  <c r="J70" i="22"/>
  <c r="J67" i="22" s="1"/>
  <c r="I70" i="22"/>
  <c r="I67" i="22" s="1"/>
  <c r="I66" i="22" s="1"/>
  <c r="G70" i="22"/>
  <c r="F70" i="22"/>
  <c r="G68" i="22"/>
  <c r="H68" i="22" s="1"/>
  <c r="F68" i="22"/>
  <c r="C68" i="22" s="1"/>
  <c r="K64" i="22"/>
  <c r="D64" i="22"/>
  <c r="C64" i="22"/>
  <c r="C63" i="22" s="1"/>
  <c r="J63" i="22"/>
  <c r="D63" i="22" s="1"/>
  <c r="I63" i="22"/>
  <c r="D62" i="22"/>
  <c r="K61" i="22"/>
  <c r="D61" i="22"/>
  <c r="C61" i="22"/>
  <c r="J60" i="22"/>
  <c r="I60" i="22"/>
  <c r="C60" i="22" s="1"/>
  <c r="E58" i="22"/>
  <c r="D58" i="22"/>
  <c r="D57" i="22"/>
  <c r="C57" i="22"/>
  <c r="E56" i="22"/>
  <c r="D56" i="22"/>
  <c r="C56" i="22"/>
  <c r="J55" i="22"/>
  <c r="I55" i="22"/>
  <c r="G55" i="22"/>
  <c r="F55" i="22"/>
  <c r="H54" i="22"/>
  <c r="D54" i="22"/>
  <c r="C54" i="22"/>
  <c r="H53" i="22"/>
  <c r="D53" i="22"/>
  <c r="E53" i="22" s="1"/>
  <c r="C53" i="22"/>
  <c r="D52" i="22"/>
  <c r="C52" i="22"/>
  <c r="H51" i="22"/>
  <c r="D51" i="22"/>
  <c r="C51" i="22"/>
  <c r="H50" i="22"/>
  <c r="D50" i="22"/>
  <c r="C50" i="22"/>
  <c r="H49" i="22"/>
  <c r="D49" i="22"/>
  <c r="C49" i="22"/>
  <c r="G48" i="22"/>
  <c r="D48" i="22" s="1"/>
  <c r="F48" i="22"/>
  <c r="C48" i="22" s="1"/>
  <c r="H47" i="22"/>
  <c r="D47" i="22"/>
  <c r="E47" i="22" s="1"/>
  <c r="C47" i="22"/>
  <c r="D46" i="22"/>
  <c r="C46" i="22"/>
  <c r="H45" i="22"/>
  <c r="D45" i="22"/>
  <c r="C45" i="22"/>
  <c r="H44" i="22"/>
  <c r="D44" i="22"/>
  <c r="C44" i="22"/>
  <c r="G43" i="22"/>
  <c r="D43" i="22" s="1"/>
  <c r="F43" i="22"/>
  <c r="C43" i="22" s="1"/>
  <c r="K41" i="22"/>
  <c r="D41" i="22"/>
  <c r="C41" i="22"/>
  <c r="J40" i="22"/>
  <c r="D40" i="22" s="1"/>
  <c r="I40" i="22"/>
  <c r="K40" i="22" s="1"/>
  <c r="H39" i="22"/>
  <c r="D39" i="22"/>
  <c r="C39" i="22"/>
  <c r="H38" i="22"/>
  <c r="D38" i="22"/>
  <c r="C38" i="22"/>
  <c r="H37" i="22"/>
  <c r="E37" i="22" s="1"/>
  <c r="D37" i="22"/>
  <c r="C37" i="22"/>
  <c r="H36" i="22"/>
  <c r="D36" i="22"/>
  <c r="C36" i="22"/>
  <c r="H35" i="22"/>
  <c r="D35" i="22"/>
  <c r="C35" i="22"/>
  <c r="H34" i="22"/>
  <c r="D34" i="22"/>
  <c r="C34" i="22"/>
  <c r="H33" i="22"/>
  <c r="D33" i="22"/>
  <c r="C33" i="22"/>
  <c r="G32" i="22"/>
  <c r="F32" i="22"/>
  <c r="C32" i="22" s="1"/>
  <c r="H31" i="22"/>
  <c r="D31" i="22"/>
  <c r="C31" i="22"/>
  <c r="H30" i="22"/>
  <c r="D30" i="22"/>
  <c r="C30" i="22"/>
  <c r="H29" i="22"/>
  <c r="D29" i="22"/>
  <c r="C29" i="22"/>
  <c r="H28" i="22"/>
  <c r="D28" i="22"/>
  <c r="C28" i="22"/>
  <c r="G27" i="22"/>
  <c r="F27" i="22"/>
  <c r="C27" i="22" s="1"/>
  <c r="H24" i="22"/>
  <c r="D24" i="22"/>
  <c r="C24" i="22"/>
  <c r="H23" i="22"/>
  <c r="D23" i="22"/>
  <c r="C23" i="22"/>
  <c r="H22" i="22"/>
  <c r="D22" i="22"/>
  <c r="C22" i="22"/>
  <c r="G21" i="22"/>
  <c r="D21" i="22" s="1"/>
  <c r="F21" i="22"/>
  <c r="D20" i="22"/>
  <c r="G19" i="22"/>
  <c r="D19" i="22" s="1"/>
  <c r="H18" i="22"/>
  <c r="D18" i="22"/>
  <c r="E18" i="22" s="1"/>
  <c r="C18" i="22"/>
  <c r="H17" i="22"/>
  <c r="D17" i="22"/>
  <c r="C17" i="22"/>
  <c r="G16" i="22"/>
  <c r="F16" i="22"/>
  <c r="C16" i="22" s="1"/>
  <c r="E45" i="22" l="1"/>
  <c r="E54" i="22"/>
  <c r="J15" i="22"/>
  <c r="E36" i="22"/>
  <c r="I15" i="22"/>
  <c r="E23" i="22"/>
  <c r="E17" i="22"/>
  <c r="E22" i="22"/>
  <c r="F26" i="22"/>
  <c r="C26" i="22" s="1"/>
  <c r="H32" i="22"/>
  <c r="E35" i="22"/>
  <c r="E50" i="22"/>
  <c r="K60" i="22"/>
  <c r="E64" i="22"/>
  <c r="H70" i="22"/>
  <c r="C70" i="22"/>
  <c r="E31" i="22"/>
  <c r="E43" i="22"/>
  <c r="E49" i="22"/>
  <c r="I42" i="22"/>
  <c r="E28" i="22"/>
  <c r="G42" i="22"/>
  <c r="G26" i="22"/>
  <c r="D26" i="22" s="1"/>
  <c r="E26" i="22" s="1"/>
  <c r="J42" i="22"/>
  <c r="K42" i="22" s="1"/>
  <c r="E63" i="22"/>
  <c r="H27" i="22"/>
  <c r="E30" i="22"/>
  <c r="E34" i="22"/>
  <c r="E41" i="22"/>
  <c r="K15" i="22"/>
  <c r="E24" i="22"/>
  <c r="D27" i="22"/>
  <c r="E27" i="22" s="1"/>
  <c r="E29" i="22"/>
  <c r="E33" i="22"/>
  <c r="E38" i="22"/>
  <c r="H48" i="22"/>
  <c r="E51" i="22"/>
  <c r="C55" i="22"/>
  <c r="D68" i="22"/>
  <c r="E68" i="22" s="1"/>
  <c r="E71" i="22"/>
  <c r="E72" i="22"/>
  <c r="E82" i="22"/>
  <c r="E86" i="22"/>
  <c r="E39" i="22"/>
  <c r="E44" i="22"/>
  <c r="E48" i="22"/>
  <c r="E61" i="22"/>
  <c r="E73" i="22"/>
  <c r="H78" i="22"/>
  <c r="E83" i="22"/>
  <c r="C40" i="22"/>
  <c r="E40" i="22" s="1"/>
  <c r="F42" i="22"/>
  <c r="C42" i="22" s="1"/>
  <c r="D55" i="22"/>
  <c r="E79" i="22"/>
  <c r="E81" i="22"/>
  <c r="K67" i="22"/>
  <c r="J66" i="22"/>
  <c r="K66" i="22" s="1"/>
  <c r="H21" i="22"/>
  <c r="E21" i="22" s="1"/>
  <c r="F25" i="22"/>
  <c r="C25" i="22" s="1"/>
  <c r="D32" i="22"/>
  <c r="E32" i="22" s="1"/>
  <c r="D60" i="22"/>
  <c r="E60" i="22" s="1"/>
  <c r="F67" i="22"/>
  <c r="K70" i="22"/>
  <c r="D78" i="22"/>
  <c r="E78" i="22" s="1"/>
  <c r="H43" i="22"/>
  <c r="G67" i="22"/>
  <c r="D70" i="22"/>
  <c r="H16" i="22"/>
  <c r="C21" i="22"/>
  <c r="D16" i="22"/>
  <c r="E16" i="22" s="1"/>
  <c r="L90" i="27"/>
  <c r="I85" i="27"/>
  <c r="K42" i="27"/>
  <c r="K20" i="27"/>
  <c r="K99" i="27"/>
  <c r="I99" i="27"/>
  <c r="N102" i="27"/>
  <c r="M102" i="27"/>
  <c r="L102" i="27"/>
  <c r="J102" i="27"/>
  <c r="N100" i="27"/>
  <c r="M100" i="27"/>
  <c r="M101" i="27"/>
  <c r="L100" i="27"/>
  <c r="J65" i="22" l="1"/>
  <c r="I65" i="22"/>
  <c r="I89" i="22" s="1"/>
  <c r="D42" i="22"/>
  <c r="E42" i="22" s="1"/>
  <c r="G25" i="22"/>
  <c r="G15" i="22" s="1"/>
  <c r="D15" i="22" s="1"/>
  <c r="O102" i="27"/>
  <c r="H26" i="22"/>
  <c r="H42" i="22"/>
  <c r="E70" i="22"/>
  <c r="D67" i="22"/>
  <c r="H67" i="22"/>
  <c r="G66" i="22"/>
  <c r="F15" i="22"/>
  <c r="J89" i="22"/>
  <c r="K89" i="22" s="1"/>
  <c r="C67" i="22"/>
  <c r="F66" i="22"/>
  <c r="C66" i="22" s="1"/>
  <c r="O100" i="27"/>
  <c r="H85" i="27"/>
  <c r="K85" i="27"/>
  <c r="L85" i="27"/>
  <c r="G85" i="27"/>
  <c r="N96" i="27"/>
  <c r="M96" i="27"/>
  <c r="H58" i="27"/>
  <c r="N62" i="27"/>
  <c r="M62" i="27"/>
  <c r="H42" i="27"/>
  <c r="N42" i="27" s="1"/>
  <c r="G42" i="27"/>
  <c r="M52" i="27"/>
  <c r="M53" i="27"/>
  <c r="N52" i="27"/>
  <c r="N53" i="27"/>
  <c r="G65" i="22" l="1"/>
  <c r="D25" i="22"/>
  <c r="E25" i="22" s="1"/>
  <c r="H25" i="22"/>
  <c r="K65" i="22"/>
  <c r="E67" i="22"/>
  <c r="D65" i="22"/>
  <c r="G89" i="22"/>
  <c r="D66" i="22"/>
  <c r="E66" i="22" s="1"/>
  <c r="H66" i="22"/>
  <c r="F65" i="22"/>
  <c r="C15" i="22"/>
  <c r="E15" i="22" s="1"/>
  <c r="H15" i="22"/>
  <c r="O96" i="27"/>
  <c r="O62" i="27"/>
  <c r="O53" i="27"/>
  <c r="O52" i="27"/>
  <c r="L39" i="27"/>
  <c r="L40" i="27"/>
  <c r="J39" i="27"/>
  <c r="J40" i="27"/>
  <c r="L38" i="27"/>
  <c r="J38" i="27"/>
  <c r="L37" i="27"/>
  <c r="J37" i="27"/>
  <c r="L36" i="27"/>
  <c r="J36" i="27"/>
  <c r="C65" i="22" l="1"/>
  <c r="E65" i="22" s="1"/>
  <c r="F89" i="22"/>
  <c r="C89" i="22" s="1"/>
  <c r="H65" i="22"/>
  <c r="D89" i="22"/>
  <c r="L27" i="27"/>
  <c r="N30" i="27"/>
  <c r="M30" i="27"/>
  <c r="H20" i="27"/>
  <c r="G20" i="27"/>
  <c r="N37" i="27"/>
  <c r="N38" i="27"/>
  <c r="N39" i="27"/>
  <c r="N40" i="27"/>
  <c r="M37" i="27"/>
  <c r="M38" i="27"/>
  <c r="M39" i="27"/>
  <c r="M40" i="27"/>
  <c r="E89" i="22" l="1"/>
  <c r="H89" i="22"/>
  <c r="O37" i="27"/>
  <c r="O30" i="27"/>
  <c r="O40" i="27"/>
  <c r="O39" i="27"/>
  <c r="O38" i="27"/>
  <c r="L272" i="19" l="1"/>
  <c r="L273" i="19"/>
  <c r="K273" i="19"/>
  <c r="K272" i="19"/>
  <c r="J272" i="19"/>
  <c r="J273" i="19"/>
  <c r="I271" i="19"/>
  <c r="L271" i="19" s="1"/>
  <c r="H271" i="19"/>
  <c r="K271" i="19" s="1"/>
  <c r="L267" i="19"/>
  <c r="L266" i="19"/>
  <c r="K266" i="19"/>
  <c r="J266" i="19"/>
  <c r="J267" i="19"/>
  <c r="L265" i="19"/>
  <c r="K265" i="19"/>
  <c r="J265" i="19"/>
  <c r="M273" i="19" l="1"/>
  <c r="M272" i="19"/>
  <c r="M265" i="19"/>
  <c r="M271" i="19"/>
  <c r="M266" i="19"/>
  <c r="J271" i="19"/>
  <c r="F22" i="23"/>
  <c r="E22" i="23"/>
  <c r="F20" i="23"/>
  <c r="E20" i="23"/>
  <c r="C20" i="23" s="1"/>
  <c r="L127" i="19" l="1"/>
  <c r="K127" i="19"/>
  <c r="I126" i="19"/>
  <c r="H126" i="19"/>
  <c r="K126" i="19" s="1"/>
  <c r="J127" i="19"/>
  <c r="L120" i="19"/>
  <c r="K119" i="19"/>
  <c r="K120" i="19"/>
  <c r="I119" i="19"/>
  <c r="L119" i="19" s="1"/>
  <c r="H119" i="19"/>
  <c r="J80" i="19"/>
  <c r="L79" i="19"/>
  <c r="L80" i="19"/>
  <c r="K80" i="19"/>
  <c r="H69" i="19"/>
  <c r="I29" i="19"/>
  <c r="L206" i="19"/>
  <c r="L205" i="19"/>
  <c r="L201" i="19"/>
  <c r="L199" i="19"/>
  <c r="L197" i="19"/>
  <c r="L196" i="19"/>
  <c r="L195" i="19"/>
  <c r="L194" i="19"/>
  <c r="L193" i="19"/>
  <c r="L188" i="19"/>
  <c r="F318" i="19"/>
  <c r="F304" i="19"/>
  <c r="E304" i="19"/>
  <c r="G305" i="19"/>
  <c r="L305" i="19"/>
  <c r="K305" i="19"/>
  <c r="F291" i="19"/>
  <c r="L255" i="19"/>
  <c r="K255" i="19"/>
  <c r="G255" i="19"/>
  <c r="F254" i="19"/>
  <c r="L254" i="19" s="1"/>
  <c r="E254" i="19"/>
  <c r="K254" i="19" s="1"/>
  <c r="F248" i="19"/>
  <c r="G238" i="19"/>
  <c r="F221" i="19"/>
  <c r="F153" i="19"/>
  <c r="E153" i="19"/>
  <c r="F123" i="19"/>
  <c r="G118" i="19"/>
  <c r="L118" i="19"/>
  <c r="K118" i="19"/>
  <c r="G117" i="19"/>
  <c r="L117" i="19"/>
  <c r="K117" i="19"/>
  <c r="L116" i="19"/>
  <c r="K116" i="19"/>
  <c r="G116" i="19"/>
  <c r="F115" i="19"/>
  <c r="L115" i="19" s="1"/>
  <c r="E115" i="19"/>
  <c r="K115" i="19" s="1"/>
  <c r="G254" i="19" l="1"/>
  <c r="M255" i="19"/>
  <c r="J126" i="19"/>
  <c r="M120" i="19"/>
  <c r="M127" i="19"/>
  <c r="L126" i="19"/>
  <c r="M126" i="19" s="1"/>
  <c r="G115" i="19"/>
  <c r="M254" i="19"/>
  <c r="M119" i="19"/>
  <c r="M305" i="19"/>
  <c r="M80" i="19"/>
  <c r="M118" i="19"/>
  <c r="M117" i="19"/>
  <c r="M115" i="19"/>
  <c r="M116" i="19"/>
  <c r="G60" i="19"/>
  <c r="K48" i="19"/>
  <c r="G48" i="19"/>
  <c r="L48" i="19"/>
  <c r="K47" i="19"/>
  <c r="G47" i="19"/>
  <c r="L47" i="19"/>
  <c r="M48" i="19" l="1"/>
  <c r="M47" i="19"/>
  <c r="J93" i="30"/>
  <c r="J92" i="30" s="1"/>
  <c r="J91" i="30" s="1"/>
  <c r="K92" i="30"/>
  <c r="K91" i="30" s="1"/>
  <c r="J90" i="30"/>
  <c r="H90" i="30"/>
  <c r="G90" i="30"/>
  <c r="K89" i="30"/>
  <c r="J89" i="30"/>
  <c r="H89" i="30"/>
  <c r="G89" i="30"/>
  <c r="L85" i="30"/>
  <c r="I85" i="30"/>
  <c r="H83" i="30"/>
  <c r="I83" i="30" s="1"/>
  <c r="G77" i="30"/>
  <c r="G76" i="30"/>
  <c r="J75" i="30"/>
  <c r="H73" i="30"/>
  <c r="J72" i="30"/>
  <c r="H72" i="30"/>
  <c r="L72" i="30" s="1"/>
  <c r="K70" i="30"/>
  <c r="L70" i="30" s="1"/>
  <c r="J68" i="30"/>
  <c r="H68" i="30"/>
  <c r="I68" i="30" s="1"/>
  <c r="H65" i="30"/>
  <c r="G65" i="30"/>
  <c r="I61" i="30"/>
  <c r="K59" i="30"/>
  <c r="L59" i="30" s="1"/>
  <c r="I58" i="30"/>
  <c r="K57" i="30"/>
  <c r="L57" i="30" s="1"/>
  <c r="J57" i="30"/>
  <c r="K55" i="30"/>
  <c r="J55" i="30"/>
  <c r="H54" i="30"/>
  <c r="H53" i="30" s="1"/>
  <c r="I53" i="30" s="1"/>
  <c r="J53" i="30"/>
  <c r="H52" i="30"/>
  <c r="J51" i="30"/>
  <c r="H51" i="30"/>
  <c r="I51" i="30" s="1"/>
  <c r="K45" i="30"/>
  <c r="K44" i="30" s="1"/>
  <c r="J45" i="30"/>
  <c r="J44" i="30" s="1"/>
  <c r="K41" i="30"/>
  <c r="K40" i="30" s="1"/>
  <c r="J41" i="30"/>
  <c r="J40" i="30" s="1"/>
  <c r="K37" i="30"/>
  <c r="K36" i="30" s="1"/>
  <c r="J37" i="30"/>
  <c r="J36" i="30" s="1"/>
  <c r="J35" i="30"/>
  <c r="J34" i="30"/>
  <c r="K32" i="30"/>
  <c r="K31" i="30"/>
  <c r="K25" i="30"/>
  <c r="K24" i="30" s="1"/>
  <c r="J25" i="30"/>
  <c r="J24" i="30" s="1"/>
  <c r="K23" i="30"/>
  <c r="K16" i="30" s="1"/>
  <c r="K15" i="30" s="1"/>
  <c r="J23" i="30"/>
  <c r="J22" i="30"/>
  <c r="J18" i="30"/>
  <c r="J32" i="30" l="1"/>
  <c r="J31" i="30" s="1"/>
  <c r="K49" i="30"/>
  <c r="K48" i="30" s="1"/>
  <c r="K94" i="30" s="1"/>
  <c r="J49" i="30"/>
  <c r="J48" i="30" s="1"/>
  <c r="L51" i="30"/>
  <c r="I90" i="30"/>
  <c r="I72" i="30"/>
  <c r="J16" i="30"/>
  <c r="J15" i="30" s="1"/>
  <c r="L90" i="30"/>
  <c r="L89" i="30"/>
  <c r="L53" i="30"/>
  <c r="L68" i="30"/>
  <c r="I89" i="30"/>
  <c r="L55" i="30"/>
  <c r="H20" i="26"/>
  <c r="F19" i="26"/>
  <c r="H19" i="26" s="1"/>
  <c r="H18" i="26"/>
  <c r="G17" i="26"/>
  <c r="G16" i="26" s="1"/>
  <c r="F17" i="26"/>
  <c r="F16" i="26" s="1"/>
  <c r="G21" i="26" l="1"/>
  <c r="F15" i="26"/>
  <c r="F14" i="26" s="1"/>
  <c r="F21" i="26" s="1"/>
  <c r="H21" i="26" s="1"/>
  <c r="J94" i="30"/>
  <c r="H16" i="26"/>
  <c r="G15" i="26"/>
  <c r="H17" i="26"/>
  <c r="D64" i="25"/>
  <c r="F67" i="25"/>
  <c r="F65" i="25"/>
  <c r="E66" i="25"/>
  <c r="D66" i="25"/>
  <c r="E64" i="25"/>
  <c r="E70" i="25" s="1"/>
  <c r="D70" i="25" l="1"/>
  <c r="G14" i="26"/>
  <c r="H14" i="26" s="1"/>
  <c r="H15" i="26"/>
  <c r="F70" i="25"/>
  <c r="F66" i="25"/>
  <c r="F64" i="25"/>
  <c r="F60" i="25" l="1"/>
  <c r="E59" i="25"/>
  <c r="D59" i="25"/>
  <c r="E58" i="25"/>
  <c r="D58" i="25"/>
  <c r="F59" i="25" l="1"/>
  <c r="E57" i="25"/>
  <c r="H75" i="19" l="1"/>
  <c r="N120" i="27" l="1"/>
  <c r="M120" i="27"/>
  <c r="L120" i="27"/>
  <c r="N119" i="27"/>
  <c r="M119" i="27"/>
  <c r="L119" i="27"/>
  <c r="N118" i="27"/>
  <c r="M118" i="27"/>
  <c r="L118" i="27"/>
  <c r="K117" i="27"/>
  <c r="K116" i="27" s="1"/>
  <c r="J117" i="27"/>
  <c r="J116" i="27" s="1"/>
  <c r="I117" i="27"/>
  <c r="I116" i="27" s="1"/>
  <c r="H117" i="27"/>
  <c r="G117" i="27"/>
  <c r="G116" i="27" s="1"/>
  <c r="H116" i="27"/>
  <c r="N115" i="27"/>
  <c r="M115" i="27"/>
  <c r="L115" i="27"/>
  <c r="N114" i="27"/>
  <c r="M114" i="27"/>
  <c r="L114" i="27"/>
  <c r="J114" i="27"/>
  <c r="J113" i="27" s="1"/>
  <c r="J112" i="27" s="1"/>
  <c r="K113" i="27"/>
  <c r="K112" i="27" s="1"/>
  <c r="L112" i="27" s="1"/>
  <c r="I113" i="27"/>
  <c r="I112" i="27" s="1"/>
  <c r="H113" i="27"/>
  <c r="H112" i="27" s="1"/>
  <c r="G113" i="27"/>
  <c r="N111" i="27"/>
  <c r="M111" i="27"/>
  <c r="L111" i="27"/>
  <c r="L110" i="27" s="1"/>
  <c r="L109" i="27" s="1"/>
  <c r="J111" i="27"/>
  <c r="J110" i="27" s="1"/>
  <c r="J109" i="27" s="1"/>
  <c r="K110" i="27"/>
  <c r="I110" i="27"/>
  <c r="I109" i="27" s="1"/>
  <c r="H110" i="27"/>
  <c r="H109" i="27" s="1"/>
  <c r="G110" i="27"/>
  <c r="G109" i="27" s="1"/>
  <c r="N108" i="27"/>
  <c r="M108" i="27"/>
  <c r="L108" i="27"/>
  <c r="J108" i="27"/>
  <c r="N107" i="27"/>
  <c r="M107" i="27"/>
  <c r="J107" i="27"/>
  <c r="N106" i="27"/>
  <c r="M106" i="27"/>
  <c r="L106" i="27"/>
  <c r="J106" i="27"/>
  <c r="N105" i="27"/>
  <c r="M105" i="27"/>
  <c r="L105" i="27"/>
  <c r="J105" i="27"/>
  <c r="N104" i="27"/>
  <c r="M104" i="27"/>
  <c r="L104" i="27"/>
  <c r="J104" i="27"/>
  <c r="N103" i="27"/>
  <c r="M103" i="27"/>
  <c r="L103" i="27"/>
  <c r="J103" i="27"/>
  <c r="N101" i="27"/>
  <c r="L101" i="27"/>
  <c r="J101" i="27"/>
  <c r="N99" i="27"/>
  <c r="I98" i="27"/>
  <c r="M98" i="27" s="1"/>
  <c r="N97" i="27"/>
  <c r="M97" i="27"/>
  <c r="N95" i="27"/>
  <c r="M95" i="27"/>
  <c r="J95" i="27"/>
  <c r="N94" i="27"/>
  <c r="M94" i="27"/>
  <c r="J94" i="27"/>
  <c r="N93" i="27"/>
  <c r="M93" i="27"/>
  <c r="J93" i="27"/>
  <c r="N92" i="27"/>
  <c r="M92" i="27"/>
  <c r="J92" i="27"/>
  <c r="N91" i="27"/>
  <c r="M91" i="27"/>
  <c r="J91" i="27"/>
  <c r="N90" i="27"/>
  <c r="M90" i="27"/>
  <c r="J90" i="27"/>
  <c r="N89" i="27"/>
  <c r="M89" i="27"/>
  <c r="J89" i="27"/>
  <c r="N88" i="27"/>
  <c r="M88" i="27"/>
  <c r="J88" i="27"/>
  <c r="N87" i="27"/>
  <c r="M87" i="27"/>
  <c r="N86" i="27"/>
  <c r="M86" i="27"/>
  <c r="J86" i="27"/>
  <c r="L84" i="27"/>
  <c r="K84" i="27"/>
  <c r="I84" i="27"/>
  <c r="N85" i="27"/>
  <c r="G84" i="27"/>
  <c r="N83" i="27"/>
  <c r="M83" i="27"/>
  <c r="N82" i="27"/>
  <c r="M82" i="27"/>
  <c r="N81" i="27"/>
  <c r="M81" i="27"/>
  <c r="N80" i="27"/>
  <c r="M80" i="27"/>
  <c r="N79" i="27"/>
  <c r="M79" i="27"/>
  <c r="N78" i="27"/>
  <c r="M78" i="27"/>
  <c r="N77" i="27"/>
  <c r="M77" i="27"/>
  <c r="N76" i="27"/>
  <c r="M76" i="27"/>
  <c r="N75" i="27"/>
  <c r="M75" i="27"/>
  <c r="N74" i="27"/>
  <c r="M74" i="27"/>
  <c r="N73" i="27"/>
  <c r="M73" i="27"/>
  <c r="N72" i="27"/>
  <c r="M72" i="27"/>
  <c r="L71" i="27"/>
  <c r="L70" i="27" s="1"/>
  <c r="K71" i="27"/>
  <c r="K70" i="27" s="1"/>
  <c r="J71" i="27"/>
  <c r="J70" i="27" s="1"/>
  <c r="I71" i="27"/>
  <c r="I70" i="27" s="1"/>
  <c r="H71" i="27"/>
  <c r="H70" i="27" s="1"/>
  <c r="G71" i="27"/>
  <c r="G70" i="27" s="1"/>
  <c r="N69" i="27"/>
  <c r="M69" i="27"/>
  <c r="L68" i="27"/>
  <c r="L67" i="27" s="1"/>
  <c r="K68" i="27"/>
  <c r="K67" i="27" s="1"/>
  <c r="J68" i="27"/>
  <c r="J67" i="27" s="1"/>
  <c r="I68" i="27"/>
  <c r="H68" i="27"/>
  <c r="H67" i="27" s="1"/>
  <c r="G68" i="27"/>
  <c r="G67" i="27" s="1"/>
  <c r="N66" i="27"/>
  <c r="M66" i="27"/>
  <c r="N65" i="27"/>
  <c r="M65" i="27"/>
  <c r="N64" i="27"/>
  <c r="M64" i="27"/>
  <c r="N63" i="27"/>
  <c r="M63" i="27"/>
  <c r="N61" i="27"/>
  <c r="M61" i="27"/>
  <c r="N60" i="27"/>
  <c r="M60" i="27"/>
  <c r="N59" i="27"/>
  <c r="M59" i="27"/>
  <c r="L58" i="27"/>
  <c r="L57" i="27" s="1"/>
  <c r="K58" i="27"/>
  <c r="K57" i="27" s="1"/>
  <c r="J58" i="27"/>
  <c r="J57" i="27" s="1"/>
  <c r="I58" i="27"/>
  <c r="I57" i="27" s="1"/>
  <c r="H57" i="27"/>
  <c r="G58" i="27"/>
  <c r="G57" i="27" s="1"/>
  <c r="N56" i="27"/>
  <c r="M56" i="27"/>
  <c r="N55" i="27"/>
  <c r="M55" i="27"/>
  <c r="N54" i="27"/>
  <c r="M54" i="27"/>
  <c r="N51" i="27"/>
  <c r="M51" i="27"/>
  <c r="N50" i="27"/>
  <c r="M50" i="27"/>
  <c r="N49" i="27"/>
  <c r="M49" i="27"/>
  <c r="N48" i="27"/>
  <c r="M48" i="27"/>
  <c r="N47" i="27"/>
  <c r="M47" i="27"/>
  <c r="N46" i="27"/>
  <c r="M46" i="27"/>
  <c r="N45" i="27"/>
  <c r="M45" i="27"/>
  <c r="N44" i="27"/>
  <c r="M44" i="27"/>
  <c r="N43" i="27"/>
  <c r="M43" i="27"/>
  <c r="L42" i="27"/>
  <c r="L41" i="27" s="1"/>
  <c r="J42" i="27"/>
  <c r="J41" i="27" s="1"/>
  <c r="I42" i="27"/>
  <c r="H41" i="27"/>
  <c r="G41" i="27"/>
  <c r="N36" i="27"/>
  <c r="M36" i="27"/>
  <c r="N35" i="27"/>
  <c r="M35" i="27"/>
  <c r="N34" i="27"/>
  <c r="M34" i="27"/>
  <c r="N33" i="27"/>
  <c r="M33" i="27"/>
  <c r="N32" i="27"/>
  <c r="M32" i="27"/>
  <c r="N31" i="27"/>
  <c r="M31" i="27"/>
  <c r="N29" i="27"/>
  <c r="M29" i="27"/>
  <c r="N28" i="27"/>
  <c r="M28" i="27"/>
  <c r="L28" i="27"/>
  <c r="J28" i="27"/>
  <c r="N27" i="27"/>
  <c r="I27" i="27"/>
  <c r="N26" i="27"/>
  <c r="M26" i="27"/>
  <c r="L26" i="27"/>
  <c r="L20" i="27" s="1"/>
  <c r="J26" i="27"/>
  <c r="N25" i="27"/>
  <c r="M25" i="27"/>
  <c r="N24" i="27"/>
  <c r="M24" i="27"/>
  <c r="N23" i="27"/>
  <c r="M23" i="27"/>
  <c r="N22" i="27"/>
  <c r="M22" i="27"/>
  <c r="N21" i="27"/>
  <c r="M21" i="27"/>
  <c r="H19" i="27"/>
  <c r="G19" i="27"/>
  <c r="J99" i="27" l="1"/>
  <c r="I41" i="27"/>
  <c r="M42" i="27"/>
  <c r="L99" i="27"/>
  <c r="L98" i="27" s="1"/>
  <c r="L19" i="27"/>
  <c r="J20" i="27"/>
  <c r="J19" i="27" s="1"/>
  <c r="M27" i="27"/>
  <c r="O27" i="27" s="1"/>
  <c r="I20" i="27"/>
  <c r="I19" i="27" s="1"/>
  <c r="M19" i="27" s="1"/>
  <c r="J85" i="27"/>
  <c r="O88" i="27"/>
  <c r="O79" i="27"/>
  <c r="N110" i="27"/>
  <c r="M116" i="27"/>
  <c r="L113" i="27"/>
  <c r="O23" i="27"/>
  <c r="O29" i="27"/>
  <c r="O60" i="27"/>
  <c r="O76" i="27"/>
  <c r="O81" i="27"/>
  <c r="O56" i="27"/>
  <c r="O103" i="27"/>
  <c r="O105" i="27"/>
  <c r="O118" i="27"/>
  <c r="O74" i="27"/>
  <c r="O69" i="27"/>
  <c r="O92" i="27"/>
  <c r="O82" i="27"/>
  <c r="O21" i="27"/>
  <c r="O47" i="27"/>
  <c r="O49" i="27"/>
  <c r="O46" i="27"/>
  <c r="O86" i="27"/>
  <c r="O44" i="27"/>
  <c r="O54" i="27"/>
  <c r="M70" i="27"/>
  <c r="O73" i="27"/>
  <c r="O65" i="27"/>
  <c r="L117" i="27"/>
  <c r="L116" i="27" s="1"/>
  <c r="N70" i="27"/>
  <c r="O24" i="27"/>
  <c r="O111" i="27"/>
  <c r="O26" i="27"/>
  <c r="O28" i="27"/>
  <c r="O35" i="27"/>
  <c r="O50" i="27"/>
  <c r="N57" i="27"/>
  <c r="O61" i="27"/>
  <c r="O64" i="27"/>
  <c r="N67" i="27"/>
  <c r="O90" i="27"/>
  <c r="O94" i="27"/>
  <c r="O97" i="27"/>
  <c r="M109" i="27"/>
  <c r="O115" i="27"/>
  <c r="N117" i="27"/>
  <c r="O120" i="27"/>
  <c r="O77" i="27"/>
  <c r="O32" i="27"/>
  <c r="O34" i="27"/>
  <c r="M68" i="27"/>
  <c r="O108" i="27"/>
  <c r="M113" i="27"/>
  <c r="O114" i="27"/>
  <c r="O22" i="27"/>
  <c r="O25" i="27"/>
  <c r="O43" i="27"/>
  <c r="O75" i="27"/>
  <c r="O78" i="27"/>
  <c r="O87" i="27"/>
  <c r="O95" i="27"/>
  <c r="O101" i="27"/>
  <c r="O104" i="27"/>
  <c r="N112" i="27"/>
  <c r="J84" i="27"/>
  <c r="J98" i="27"/>
  <c r="O106" i="27"/>
  <c r="O31" i="27"/>
  <c r="O48" i="27"/>
  <c r="O51" i="27"/>
  <c r="O63" i="27"/>
  <c r="O66" i="27"/>
  <c r="O72" i="27"/>
  <c r="O83" i="27"/>
  <c r="O93" i="27"/>
  <c r="O119" i="27"/>
  <c r="O36" i="27"/>
  <c r="O45" i="27"/>
  <c r="O59" i="27"/>
  <c r="I67" i="27"/>
  <c r="M67" i="27" s="1"/>
  <c r="O67" i="27" s="1"/>
  <c r="N68" i="27"/>
  <c r="N71" i="27"/>
  <c r="O80" i="27"/>
  <c r="H84" i="27"/>
  <c r="N84" i="27" s="1"/>
  <c r="O91" i="27"/>
  <c r="O107" i="27"/>
  <c r="G112" i="27"/>
  <c r="G121" i="27" s="1"/>
  <c r="N116" i="27"/>
  <c r="N20" i="27"/>
  <c r="O33" i="27"/>
  <c r="O55" i="27"/>
  <c r="N58" i="27"/>
  <c r="O89" i="27"/>
  <c r="M41" i="27"/>
  <c r="M57" i="27"/>
  <c r="M84" i="27"/>
  <c r="M71" i="27"/>
  <c r="M117" i="27"/>
  <c r="K98" i="27"/>
  <c r="N98" i="27" s="1"/>
  <c r="O98" i="27" s="1"/>
  <c r="M58" i="27"/>
  <c r="M85" i="27"/>
  <c r="O85" i="27" s="1"/>
  <c r="M99" i="27"/>
  <c r="O99" i="27" s="1"/>
  <c r="M110" i="27"/>
  <c r="O110" i="27" s="1"/>
  <c r="N113" i="27"/>
  <c r="K19" i="27"/>
  <c r="N19" i="27" s="1"/>
  <c r="K41" i="27"/>
  <c r="N41" i="27" s="1"/>
  <c r="K109" i="27"/>
  <c r="N109" i="27" s="1"/>
  <c r="O116" i="27" l="1"/>
  <c r="O117" i="27"/>
  <c r="M20" i="27"/>
  <c r="O20" i="27" s="1"/>
  <c r="O42" i="27"/>
  <c r="O70" i="27"/>
  <c r="O41" i="27"/>
  <c r="O68" i="27"/>
  <c r="O109" i="27"/>
  <c r="I121" i="27"/>
  <c r="M121" i="27" s="1"/>
  <c r="J121" i="27"/>
  <c r="L121" i="27"/>
  <c r="H121" i="27"/>
  <c r="M112" i="27"/>
  <c r="O112" i="27" s="1"/>
  <c r="O84" i="27"/>
  <c r="O57" i="27"/>
  <c r="O113" i="27"/>
  <c r="O58" i="27"/>
  <c r="O71" i="27"/>
  <c r="O19" i="27"/>
  <c r="K121" i="27"/>
  <c r="N121" i="27" l="1"/>
  <c r="O121" i="27" s="1"/>
  <c r="I39" i="19" l="1"/>
  <c r="L38" i="19"/>
  <c r="L37" i="19"/>
  <c r="L35" i="19" s="1"/>
  <c r="K38" i="19"/>
  <c r="H37" i="19"/>
  <c r="H35" i="19" s="1"/>
  <c r="E299" i="19"/>
  <c r="K299" i="19" s="1"/>
  <c r="K300" i="19"/>
  <c r="K301" i="19"/>
  <c r="K303" i="19"/>
  <c r="K304" i="19"/>
  <c r="I192" i="19"/>
  <c r="K98" i="19"/>
  <c r="L98" i="19"/>
  <c r="I94" i="19"/>
  <c r="I204" i="19"/>
  <c r="L151" i="19"/>
  <c r="L148" i="19"/>
  <c r="I147" i="19"/>
  <c r="K168" i="19"/>
  <c r="L168" i="19"/>
  <c r="L167" i="19"/>
  <c r="I166" i="19"/>
  <c r="J78" i="19"/>
  <c r="J74" i="19"/>
  <c r="J70" i="19"/>
  <c r="J73" i="19"/>
  <c r="J122" i="19"/>
  <c r="L134" i="19"/>
  <c r="K134" i="19"/>
  <c r="K131" i="19"/>
  <c r="I133" i="19"/>
  <c r="I132" i="19" s="1"/>
  <c r="J134" i="19"/>
  <c r="H133" i="19"/>
  <c r="K133" i="19" s="1"/>
  <c r="K37" i="19" l="1"/>
  <c r="M37" i="19" s="1"/>
  <c r="H132" i="19"/>
  <c r="K132" i="19" s="1"/>
  <c r="L133" i="19"/>
  <c r="M133" i="19" s="1"/>
  <c r="M134" i="19"/>
  <c r="L132" i="19"/>
  <c r="J133" i="19"/>
  <c r="M132" i="19" l="1"/>
  <c r="J132" i="19"/>
  <c r="I75" i="19"/>
  <c r="I69" i="19"/>
  <c r="K19" i="19"/>
  <c r="K30" i="19"/>
  <c r="L74" i="19" l="1"/>
  <c r="K74" i="19"/>
  <c r="L62" i="19"/>
  <c r="K62" i="19"/>
  <c r="J62" i="19"/>
  <c r="I61" i="19"/>
  <c r="L61" i="19" s="1"/>
  <c r="H61" i="19"/>
  <c r="K61" i="19" s="1"/>
  <c r="J54" i="19"/>
  <c r="J55" i="19"/>
  <c r="J53" i="19"/>
  <c r="J76" i="19"/>
  <c r="J77" i="19"/>
  <c r="K46" i="19"/>
  <c r="L31" i="19"/>
  <c r="L32" i="19"/>
  <c r="K32" i="19"/>
  <c r="H31" i="19"/>
  <c r="H29" i="19" s="1"/>
  <c r="M74" i="19" l="1"/>
  <c r="K31" i="19"/>
  <c r="M31" i="19" s="1"/>
  <c r="M61" i="19"/>
  <c r="H60" i="19"/>
  <c r="M62" i="19"/>
  <c r="J61" i="19"/>
  <c r="I60" i="19"/>
  <c r="M32" i="19"/>
  <c r="G304" i="19"/>
  <c r="L304" i="19"/>
  <c r="F237" i="19"/>
  <c r="L237" i="19" s="1"/>
  <c r="E237" i="19"/>
  <c r="G223" i="19"/>
  <c r="L223" i="19"/>
  <c r="K223" i="19"/>
  <c r="G222" i="19"/>
  <c r="L222" i="19"/>
  <c r="K222" i="19"/>
  <c r="G221" i="19"/>
  <c r="L221" i="19"/>
  <c r="K221" i="19"/>
  <c r="K60" i="19" l="1"/>
  <c r="G237" i="19"/>
  <c r="M304" i="19"/>
  <c r="M221" i="19"/>
  <c r="M223" i="19"/>
  <c r="J60" i="19"/>
  <c r="L60" i="19"/>
  <c r="K237" i="19"/>
  <c r="M237" i="19" s="1"/>
  <c r="M222" i="19"/>
  <c r="L171" i="19"/>
  <c r="K171" i="19"/>
  <c r="G171" i="19"/>
  <c r="F170" i="19"/>
  <c r="L170" i="19" s="1"/>
  <c r="E170" i="19"/>
  <c r="K170" i="19" s="1"/>
  <c r="M60" i="19" l="1"/>
  <c r="M170" i="19"/>
  <c r="G170" i="19"/>
  <c r="M171" i="19"/>
  <c r="F62" i="25"/>
  <c r="E61" i="25"/>
  <c r="E69" i="25" s="1"/>
  <c r="E68" i="25" s="1"/>
  <c r="D61" i="25"/>
  <c r="F58" i="25"/>
  <c r="F61" i="25" l="1"/>
  <c r="D57" i="25"/>
  <c r="D69" i="25" s="1"/>
  <c r="D68" i="25" l="1"/>
  <c r="F57" i="25"/>
  <c r="E46" i="25"/>
  <c r="E52" i="25" s="1"/>
  <c r="E38" i="25"/>
  <c r="D38" i="25"/>
  <c r="E36" i="25"/>
  <c r="D36" i="25"/>
  <c r="E34" i="25"/>
  <c r="D34" i="25"/>
  <c r="E32" i="25"/>
  <c r="D32" i="25"/>
  <c r="F31" i="25"/>
  <c r="E30" i="25"/>
  <c r="D30" i="25"/>
  <c r="F28" i="25"/>
  <c r="E28" i="25"/>
  <c r="F27" i="25"/>
  <c r="F26" i="25" s="1"/>
  <c r="E26" i="25"/>
  <c r="D26" i="25"/>
  <c r="F25" i="25"/>
  <c r="F24" i="25" s="1"/>
  <c r="E24" i="25"/>
  <c r="D24" i="25"/>
  <c r="F23" i="25"/>
  <c r="F22" i="25" s="1"/>
  <c r="E22" i="25"/>
  <c r="D22" i="25"/>
  <c r="F21" i="25"/>
  <c r="E20" i="25"/>
  <c r="D20" i="25"/>
  <c r="F19" i="25"/>
  <c r="E18" i="25"/>
  <c r="D18" i="25"/>
  <c r="D51" i="25" l="1"/>
  <c r="E51" i="25"/>
  <c r="E50" i="25" s="1"/>
  <c r="F52" i="25"/>
  <c r="F46" i="25"/>
  <c r="F32" i="25"/>
  <c r="F36" i="25"/>
  <c r="F38" i="25"/>
  <c r="F34" i="25"/>
  <c r="F69" i="25"/>
  <c r="F68" i="25"/>
  <c r="D50" i="25"/>
  <c r="F30" i="25"/>
  <c r="F20" i="25"/>
  <c r="F18" i="25"/>
  <c r="F51" i="25" l="1"/>
  <c r="F50" i="25"/>
  <c r="K197" i="19" l="1"/>
  <c r="J197" i="19"/>
  <c r="H196" i="19"/>
  <c r="L44" i="19"/>
  <c r="L41" i="19"/>
  <c r="K41" i="19"/>
  <c r="I172" i="19"/>
  <c r="L178" i="19"/>
  <c r="K178" i="19"/>
  <c r="J178" i="19"/>
  <c r="I177" i="19"/>
  <c r="L177" i="19" s="1"/>
  <c r="H177" i="19"/>
  <c r="H174" i="19" s="1"/>
  <c r="H321" i="19"/>
  <c r="I321" i="19"/>
  <c r="J321" i="19"/>
  <c r="L312" i="19"/>
  <c r="K312" i="19"/>
  <c r="I311" i="19"/>
  <c r="L311" i="19" s="1"/>
  <c r="H311" i="19"/>
  <c r="K311" i="19" s="1"/>
  <c r="L296" i="19"/>
  <c r="K296" i="19"/>
  <c r="J296" i="19"/>
  <c r="I295" i="19"/>
  <c r="I294" i="19" s="1"/>
  <c r="I290" i="19" s="1"/>
  <c r="H295" i="19"/>
  <c r="H294" i="19" s="1"/>
  <c r="H290" i="19" s="1"/>
  <c r="I281" i="19"/>
  <c r="L281" i="19" s="1"/>
  <c r="H281" i="19"/>
  <c r="H280" i="19" s="1"/>
  <c r="L279" i="19"/>
  <c r="L282" i="19"/>
  <c r="K279" i="19"/>
  <c r="K282" i="19"/>
  <c r="J279" i="19"/>
  <c r="I278" i="19"/>
  <c r="L278" i="19" s="1"/>
  <c r="H278" i="19"/>
  <c r="H277" i="19" s="1"/>
  <c r="L270" i="19"/>
  <c r="K270" i="19"/>
  <c r="J270" i="19"/>
  <c r="I269" i="19"/>
  <c r="I268" i="19" s="1"/>
  <c r="H269" i="19"/>
  <c r="H268" i="19" s="1"/>
  <c r="L257" i="19"/>
  <c r="L258" i="19"/>
  <c r="K257" i="19"/>
  <c r="K258" i="19"/>
  <c r="I256" i="19"/>
  <c r="H256" i="19"/>
  <c r="L247" i="19"/>
  <c r="K247" i="19"/>
  <c r="L243" i="19"/>
  <c r="K243" i="19"/>
  <c r="I246" i="19"/>
  <c r="H246" i="19"/>
  <c r="K246" i="19" s="1"/>
  <c r="J243" i="19"/>
  <c r="I242" i="19"/>
  <c r="I241" i="19" s="1"/>
  <c r="L241" i="19" s="1"/>
  <c r="H242" i="19"/>
  <c r="H241" i="19" s="1"/>
  <c r="K241" i="19" s="1"/>
  <c r="J152" i="19"/>
  <c r="L165" i="19"/>
  <c r="K165" i="19"/>
  <c r="J165" i="19"/>
  <c r="I164" i="19"/>
  <c r="I160" i="19" s="1"/>
  <c r="I136" i="19" s="1"/>
  <c r="H164" i="19"/>
  <c r="H160" i="19" s="1"/>
  <c r="H151" i="19"/>
  <c r="H147" i="19" s="1"/>
  <c r="L122" i="19"/>
  <c r="K122" i="19"/>
  <c r="I121" i="19"/>
  <c r="H121" i="19"/>
  <c r="K121" i="19" s="1"/>
  <c r="I110" i="19"/>
  <c r="L110" i="19" s="1"/>
  <c r="H110" i="19"/>
  <c r="H109" i="19" s="1"/>
  <c r="K109" i="19" s="1"/>
  <c r="L108" i="19"/>
  <c r="L111" i="19"/>
  <c r="K108" i="19"/>
  <c r="K111" i="19"/>
  <c r="I107" i="19"/>
  <c r="L107" i="19" s="1"/>
  <c r="H107" i="19"/>
  <c r="H106" i="19" s="1"/>
  <c r="K106" i="19" s="1"/>
  <c r="H94" i="19"/>
  <c r="I84" i="19"/>
  <c r="H84" i="19"/>
  <c r="K268" i="19" l="1"/>
  <c r="H64" i="19"/>
  <c r="L246" i="19"/>
  <c r="M246" i="19" s="1"/>
  <c r="I244" i="19"/>
  <c r="I231" i="19" s="1"/>
  <c r="L121" i="19"/>
  <c r="K256" i="19"/>
  <c r="J121" i="19"/>
  <c r="M197" i="19"/>
  <c r="M41" i="19"/>
  <c r="H307" i="19"/>
  <c r="H306" i="19" s="1"/>
  <c r="I307" i="19"/>
  <c r="M178" i="19"/>
  <c r="H173" i="19"/>
  <c r="J174" i="19"/>
  <c r="K177" i="19"/>
  <c r="M177" i="19" s="1"/>
  <c r="J177" i="19"/>
  <c r="I280" i="19"/>
  <c r="L280" i="19" s="1"/>
  <c r="J290" i="19"/>
  <c r="L294" i="19"/>
  <c r="M296" i="19"/>
  <c r="K281" i="19"/>
  <c r="M281" i="19" s="1"/>
  <c r="J295" i="19"/>
  <c r="I289" i="19"/>
  <c r="L295" i="19"/>
  <c r="J294" i="19"/>
  <c r="I277" i="19"/>
  <c r="K295" i="19"/>
  <c r="K294" i="19"/>
  <c r="M279" i="19"/>
  <c r="K278" i="19"/>
  <c r="K277" i="19"/>
  <c r="J278" i="19"/>
  <c r="M282" i="19"/>
  <c r="J281" i="19"/>
  <c r="K280" i="19"/>
  <c r="M270" i="19"/>
  <c r="J268" i="19"/>
  <c r="K269" i="19"/>
  <c r="L269" i="19"/>
  <c r="L268" i="19"/>
  <c r="J269" i="19"/>
  <c r="L256" i="19"/>
  <c r="M247" i="19"/>
  <c r="M243" i="19"/>
  <c r="M241" i="19"/>
  <c r="M258" i="19"/>
  <c r="M257" i="19"/>
  <c r="H244" i="19"/>
  <c r="H231" i="19" s="1"/>
  <c r="K242" i="19"/>
  <c r="L242" i="19"/>
  <c r="J241" i="19"/>
  <c r="J242" i="19"/>
  <c r="M108" i="19"/>
  <c r="M165" i="19"/>
  <c r="H136" i="19"/>
  <c r="H135" i="19" s="1"/>
  <c r="J151" i="19"/>
  <c r="J147" i="19"/>
  <c r="K164" i="19"/>
  <c r="L164" i="19"/>
  <c r="J164" i="19"/>
  <c r="I106" i="19"/>
  <c r="L106" i="19" s="1"/>
  <c r="M106" i="19" s="1"/>
  <c r="M122" i="19"/>
  <c r="K110" i="19"/>
  <c r="M110" i="19" s="1"/>
  <c r="K107" i="19"/>
  <c r="M107" i="19" s="1"/>
  <c r="M111" i="19"/>
  <c r="I109" i="19"/>
  <c r="L109" i="19" s="1"/>
  <c r="M109" i="19" s="1"/>
  <c r="I42" i="19"/>
  <c r="H39" i="19"/>
  <c r="L55" i="19"/>
  <c r="K55" i="19"/>
  <c r="L53" i="19"/>
  <c r="K53" i="19"/>
  <c r="K28" i="19"/>
  <c r="L28" i="19"/>
  <c r="I27" i="19"/>
  <c r="I25" i="19" s="1"/>
  <c r="H27" i="19"/>
  <c r="H25" i="19" s="1"/>
  <c r="F322" i="19"/>
  <c r="E322" i="19"/>
  <c r="L328" i="19"/>
  <c r="K328" i="19"/>
  <c r="G328" i="19"/>
  <c r="E327" i="19"/>
  <c r="K327" i="19" s="1"/>
  <c r="E308" i="19"/>
  <c r="E318" i="19"/>
  <c r="F316" i="19"/>
  <c r="E316" i="19"/>
  <c r="L314" i="19"/>
  <c r="L315" i="19"/>
  <c r="L317" i="19"/>
  <c r="L319" i="19"/>
  <c r="K314" i="19"/>
  <c r="K315" i="19"/>
  <c r="K317" i="19"/>
  <c r="K319" i="19"/>
  <c r="F313" i="19"/>
  <c r="G309" i="19"/>
  <c r="G310" i="19"/>
  <c r="G314" i="19"/>
  <c r="G315" i="19"/>
  <c r="G317" i="19"/>
  <c r="G319" i="19"/>
  <c r="E313" i="19"/>
  <c r="E261" i="19"/>
  <c r="G253" i="19"/>
  <c r="F252" i="19"/>
  <c r="E252" i="19"/>
  <c r="F190" i="19"/>
  <c r="E190" i="19"/>
  <c r="L158" i="19"/>
  <c r="K158" i="19"/>
  <c r="K159" i="19"/>
  <c r="M159" i="19" s="1"/>
  <c r="G158" i="19"/>
  <c r="G159" i="19"/>
  <c r="F157" i="19"/>
  <c r="L157" i="19" s="1"/>
  <c r="E157" i="19"/>
  <c r="K157" i="19" s="1"/>
  <c r="L149" i="19"/>
  <c r="L150" i="19"/>
  <c r="L152" i="19"/>
  <c r="K148" i="19"/>
  <c r="K149" i="19"/>
  <c r="K150" i="19"/>
  <c r="K151" i="19"/>
  <c r="K152" i="19"/>
  <c r="F147" i="19"/>
  <c r="L147" i="19" s="1"/>
  <c r="E147" i="19"/>
  <c r="G148" i="19"/>
  <c r="G149" i="19"/>
  <c r="G150" i="19"/>
  <c r="L59" i="19"/>
  <c r="K59" i="19"/>
  <c r="L113" i="19"/>
  <c r="L114" i="19"/>
  <c r="L124" i="19"/>
  <c r="L125" i="19"/>
  <c r="L129" i="19"/>
  <c r="L130" i="19"/>
  <c r="L131" i="19"/>
  <c r="K113" i="19"/>
  <c r="K114" i="19"/>
  <c r="K124" i="19"/>
  <c r="K125" i="19"/>
  <c r="K129" i="19"/>
  <c r="K130" i="19"/>
  <c r="K105" i="19"/>
  <c r="F128" i="19"/>
  <c r="E128" i="19"/>
  <c r="K128" i="19" s="1"/>
  <c r="G124" i="19"/>
  <c r="G125" i="19"/>
  <c r="G129" i="19"/>
  <c r="L123" i="19"/>
  <c r="E123" i="19"/>
  <c r="F112" i="19"/>
  <c r="L112" i="19" s="1"/>
  <c r="E112" i="19"/>
  <c r="K112" i="19" s="1"/>
  <c r="G114" i="19"/>
  <c r="G130" i="19"/>
  <c r="G131" i="19"/>
  <c r="J277" i="19" l="1"/>
  <c r="I64" i="19"/>
  <c r="J64" i="19" s="1"/>
  <c r="M256" i="19"/>
  <c r="M121" i="19"/>
  <c r="L128" i="19"/>
  <c r="M128" i="19" s="1"/>
  <c r="J75" i="19"/>
  <c r="J69" i="19"/>
  <c r="J173" i="19"/>
  <c r="H172" i="19"/>
  <c r="J172" i="19" s="1"/>
  <c r="J280" i="19"/>
  <c r="H289" i="19"/>
  <c r="M295" i="19"/>
  <c r="L277" i="19"/>
  <c r="M294" i="19"/>
  <c r="M278" i="19"/>
  <c r="M268" i="19"/>
  <c r="M280" i="19"/>
  <c r="M269" i="19"/>
  <c r="K313" i="19"/>
  <c r="L316" i="19"/>
  <c r="L318" i="19"/>
  <c r="K316" i="19"/>
  <c r="L327" i="19"/>
  <c r="M242" i="19"/>
  <c r="E260" i="19"/>
  <c r="M164" i="19"/>
  <c r="K73" i="19"/>
  <c r="L73" i="19"/>
  <c r="M53" i="19"/>
  <c r="K54" i="19"/>
  <c r="M55" i="19"/>
  <c r="L54" i="19"/>
  <c r="K40" i="19"/>
  <c r="L40" i="19"/>
  <c r="M28" i="19"/>
  <c r="M315" i="19"/>
  <c r="L27" i="19"/>
  <c r="K27" i="19"/>
  <c r="G327" i="19"/>
  <c r="M328" i="19"/>
  <c r="M314" i="19"/>
  <c r="M317" i="19"/>
  <c r="E307" i="19"/>
  <c r="G318" i="19"/>
  <c r="G316" i="19"/>
  <c r="K318" i="19"/>
  <c r="M319" i="19"/>
  <c r="G313" i="19"/>
  <c r="L313" i="19"/>
  <c r="M148" i="19"/>
  <c r="G252" i="19"/>
  <c r="M158" i="19"/>
  <c r="M157" i="19"/>
  <c r="G157" i="19"/>
  <c r="G123" i="19"/>
  <c r="M151" i="19"/>
  <c r="M152" i="19"/>
  <c r="M150" i="19"/>
  <c r="M149" i="19"/>
  <c r="M130" i="19"/>
  <c r="M114" i="19"/>
  <c r="M59" i="19"/>
  <c r="M113" i="19"/>
  <c r="M131" i="19"/>
  <c r="M112" i="19"/>
  <c r="K123" i="19"/>
  <c r="M125" i="19"/>
  <c r="M124" i="19"/>
  <c r="M129" i="19"/>
  <c r="G128" i="19"/>
  <c r="E58" i="19"/>
  <c r="K58" i="19" s="1"/>
  <c r="F58" i="19"/>
  <c r="L58" i="19" s="1"/>
  <c r="G59" i="19"/>
  <c r="E23" i="19"/>
  <c r="M277" i="19" l="1"/>
  <c r="M123" i="19"/>
  <c r="J289" i="19"/>
  <c r="M316" i="19"/>
  <c r="E259" i="19"/>
  <c r="M318" i="19"/>
  <c r="M313" i="19"/>
  <c r="M327" i="19"/>
  <c r="M54" i="19"/>
  <c r="M40" i="19"/>
  <c r="M27" i="19"/>
  <c r="M58" i="19"/>
  <c r="G58" i="19"/>
  <c r="F19" i="23"/>
  <c r="I19" i="23"/>
  <c r="H22" i="23"/>
  <c r="H19" i="23" s="1"/>
  <c r="G19" i="23" l="1"/>
  <c r="C22" i="23"/>
  <c r="E19" i="23" l="1"/>
  <c r="C19" i="23" s="1"/>
  <c r="J29" i="23" l="1"/>
  <c r="I29" i="23"/>
  <c r="I26" i="23" s="1"/>
  <c r="F29" i="23"/>
  <c r="F27" i="23"/>
  <c r="D27" i="23" s="1"/>
  <c r="D28" i="23"/>
  <c r="D20" i="23"/>
  <c r="D21" i="23"/>
  <c r="D22" i="23"/>
  <c r="I18" i="23"/>
  <c r="J18" i="23"/>
  <c r="C28" i="23"/>
  <c r="C21" i="23"/>
  <c r="D29" i="23" l="1"/>
  <c r="D19" i="23"/>
  <c r="I25" i="23"/>
  <c r="I23" i="23"/>
  <c r="I30" i="23" s="1"/>
  <c r="J23" i="23"/>
  <c r="J30" i="23" s="1"/>
  <c r="J25" i="23"/>
  <c r="F26" i="23"/>
  <c r="D26" i="23" s="1"/>
  <c r="F18" i="23"/>
  <c r="F23" i="23" l="1"/>
  <c r="F25" i="23"/>
  <c r="D25" i="23" s="1"/>
  <c r="D18" i="23"/>
  <c r="F30" i="23" l="1"/>
  <c r="D30" i="23" s="1"/>
  <c r="D23" i="23"/>
  <c r="J23" i="28" l="1"/>
  <c r="K23" i="28"/>
  <c r="G23" i="28"/>
  <c r="F23" i="28"/>
  <c r="L323" i="19" l="1"/>
  <c r="L324" i="19"/>
  <c r="L326" i="19"/>
  <c r="K323" i="19"/>
  <c r="K324" i="19"/>
  <c r="K326" i="19"/>
  <c r="L322" i="19"/>
  <c r="K322" i="19"/>
  <c r="F325" i="19"/>
  <c r="E325" i="19"/>
  <c r="G326" i="19"/>
  <c r="G323" i="19"/>
  <c r="G324" i="19"/>
  <c r="L310" i="19"/>
  <c r="L309" i="19"/>
  <c r="L308" i="19" s="1"/>
  <c r="L307" i="19" s="1"/>
  <c r="L306" i="19" s="1"/>
  <c r="K310" i="19"/>
  <c r="K309" i="19"/>
  <c r="K308" i="19" s="1"/>
  <c r="K307" i="19" s="1"/>
  <c r="K306" i="19" s="1"/>
  <c r="F308" i="19"/>
  <c r="E306" i="19"/>
  <c r="L300" i="19"/>
  <c r="L301" i="19"/>
  <c r="L303" i="19"/>
  <c r="F302" i="19"/>
  <c r="E302" i="19"/>
  <c r="K302" i="19" s="1"/>
  <c r="K298" i="19" s="1"/>
  <c r="G303" i="19"/>
  <c r="F299" i="19"/>
  <c r="G301" i="19"/>
  <c r="G300" i="19"/>
  <c r="L292" i="19"/>
  <c r="L293" i="19"/>
  <c r="K292" i="19"/>
  <c r="K293" i="19"/>
  <c r="G292" i="19"/>
  <c r="G293" i="19"/>
  <c r="E291" i="19"/>
  <c r="L262" i="19"/>
  <c r="L263" i="19"/>
  <c r="L264" i="19"/>
  <c r="L276" i="19"/>
  <c r="L285" i="19"/>
  <c r="L288" i="19"/>
  <c r="K262" i="19"/>
  <c r="K263" i="19"/>
  <c r="K264" i="19"/>
  <c r="K276" i="19"/>
  <c r="K285" i="19"/>
  <c r="K288" i="19"/>
  <c r="J288" i="19"/>
  <c r="I287" i="19"/>
  <c r="H287" i="19"/>
  <c r="J285" i="19"/>
  <c r="I284" i="19"/>
  <c r="H284" i="19"/>
  <c r="J276" i="19"/>
  <c r="I275" i="19"/>
  <c r="H275" i="19"/>
  <c r="G262" i="19"/>
  <c r="G263" i="19"/>
  <c r="G264" i="19"/>
  <c r="F261" i="19"/>
  <c r="K261" i="19"/>
  <c r="L233" i="19"/>
  <c r="L234" i="19"/>
  <c r="L236" i="19"/>
  <c r="L240" i="19"/>
  <c r="L245" i="19"/>
  <c r="L249" i="19"/>
  <c r="L251" i="19"/>
  <c r="L253" i="19"/>
  <c r="K233" i="19"/>
  <c r="K234" i="19"/>
  <c r="K236" i="19"/>
  <c r="K240" i="19"/>
  <c r="K245" i="19"/>
  <c r="K249" i="19"/>
  <c r="K251" i="19"/>
  <c r="K253" i="19"/>
  <c r="L252" i="19"/>
  <c r="F250" i="19"/>
  <c r="E250" i="19"/>
  <c r="G251" i="19"/>
  <c r="E248" i="19"/>
  <c r="G249" i="19"/>
  <c r="F244" i="19"/>
  <c r="E244" i="19"/>
  <c r="K244" i="19" s="1"/>
  <c r="G245" i="19"/>
  <c r="F239" i="19"/>
  <c r="E239" i="19"/>
  <c r="G240" i="19"/>
  <c r="G236" i="19"/>
  <c r="E235" i="19"/>
  <c r="G233" i="19"/>
  <c r="G234" i="19"/>
  <c r="F232" i="19"/>
  <c r="E232" i="19"/>
  <c r="L184" i="19"/>
  <c r="L185" i="19"/>
  <c r="L189" i="19"/>
  <c r="L190" i="19"/>
  <c r="L191" i="19"/>
  <c r="L200" i="19"/>
  <c r="L203" i="19"/>
  <c r="L207" i="19"/>
  <c r="L209" i="19"/>
  <c r="L210" i="19"/>
  <c r="L212" i="19"/>
  <c r="L214" i="19"/>
  <c r="L216" i="19"/>
  <c r="L217" i="19"/>
  <c r="L218" i="19"/>
  <c r="L220" i="19"/>
  <c r="L225" i="19"/>
  <c r="L226" i="19"/>
  <c r="L227" i="19"/>
  <c r="L229" i="19"/>
  <c r="K184" i="19"/>
  <c r="K185" i="19"/>
  <c r="K188" i="19"/>
  <c r="K189" i="19"/>
  <c r="K190" i="19"/>
  <c r="K191" i="19"/>
  <c r="K193" i="19"/>
  <c r="K194" i="19"/>
  <c r="K195" i="19"/>
  <c r="K199" i="19"/>
  <c r="K200" i="19"/>
  <c r="K201" i="19"/>
  <c r="K203" i="19"/>
  <c r="K205" i="19"/>
  <c r="K206" i="19"/>
  <c r="K207" i="19"/>
  <c r="K209" i="19"/>
  <c r="K210" i="19"/>
  <c r="K212" i="19"/>
  <c r="K214" i="19"/>
  <c r="K216" i="19"/>
  <c r="K217" i="19"/>
  <c r="K218" i="19"/>
  <c r="K220" i="19"/>
  <c r="K225" i="19"/>
  <c r="K226" i="19"/>
  <c r="K227" i="19"/>
  <c r="K229" i="19"/>
  <c r="F228" i="19"/>
  <c r="E228" i="19"/>
  <c r="G229" i="19"/>
  <c r="F224" i="19"/>
  <c r="E224" i="19"/>
  <c r="G227" i="19"/>
  <c r="G226" i="19"/>
  <c r="G225" i="19"/>
  <c r="F219" i="19"/>
  <c r="E219" i="19"/>
  <c r="G220" i="19"/>
  <c r="F215" i="19"/>
  <c r="E215" i="19"/>
  <c r="G218" i="19"/>
  <c r="G217" i="19"/>
  <c r="G216" i="19"/>
  <c r="G214" i="19"/>
  <c r="E213" i="19"/>
  <c r="G212" i="19"/>
  <c r="E211" i="19"/>
  <c r="J205" i="19"/>
  <c r="F208" i="19"/>
  <c r="E208" i="19"/>
  <c r="G210" i="19"/>
  <c r="G209" i="19"/>
  <c r="F204" i="19"/>
  <c r="L204" i="19" s="1"/>
  <c r="E204" i="19"/>
  <c r="H204" i="19"/>
  <c r="G205" i="19"/>
  <c r="G206" i="19"/>
  <c r="G207" i="19"/>
  <c r="H202" i="19"/>
  <c r="J203" i="19"/>
  <c r="G199" i="19"/>
  <c r="G200" i="19"/>
  <c r="G201" i="19"/>
  <c r="F198" i="19"/>
  <c r="E198" i="19"/>
  <c r="G193" i="19"/>
  <c r="G194" i="19"/>
  <c r="G195" i="19"/>
  <c r="F192" i="19"/>
  <c r="L192" i="19" s="1"/>
  <c r="E192" i="19"/>
  <c r="J188" i="19"/>
  <c r="I187" i="19"/>
  <c r="L187" i="19" s="1"/>
  <c r="H187" i="19"/>
  <c r="G189" i="19"/>
  <c r="G188" i="19"/>
  <c r="F186" i="19"/>
  <c r="E186" i="19"/>
  <c r="G187" i="19"/>
  <c r="G184" i="19"/>
  <c r="G185" i="19"/>
  <c r="F183" i="19"/>
  <c r="E183" i="19"/>
  <c r="L175" i="19"/>
  <c r="L176" i="19"/>
  <c r="L180" i="19"/>
  <c r="K175" i="19"/>
  <c r="K176" i="19"/>
  <c r="K180" i="19"/>
  <c r="F179" i="19"/>
  <c r="L179" i="19" s="1"/>
  <c r="E179" i="19"/>
  <c r="K179" i="19" s="1"/>
  <c r="G180" i="19"/>
  <c r="F174" i="19"/>
  <c r="L174" i="19" s="1"/>
  <c r="E174" i="19"/>
  <c r="K174" i="19" s="1"/>
  <c r="G175" i="19"/>
  <c r="G176" i="19"/>
  <c r="L138" i="19"/>
  <c r="L139" i="19"/>
  <c r="L140" i="19"/>
  <c r="L142" i="19"/>
  <c r="L144" i="19"/>
  <c r="L146" i="19"/>
  <c r="L154" i="19"/>
  <c r="L156" i="19"/>
  <c r="L161" i="19"/>
  <c r="L162" i="19"/>
  <c r="L163" i="19"/>
  <c r="K138" i="19"/>
  <c r="K139" i="19"/>
  <c r="K140" i="19"/>
  <c r="K142" i="19"/>
  <c r="K144" i="19"/>
  <c r="K146" i="19"/>
  <c r="K154" i="19"/>
  <c r="K156" i="19"/>
  <c r="K161" i="19"/>
  <c r="K162" i="19"/>
  <c r="K163" i="19"/>
  <c r="K167" i="19"/>
  <c r="F166" i="19"/>
  <c r="L166" i="19" s="1"/>
  <c r="E166" i="19"/>
  <c r="K166" i="19" s="1"/>
  <c r="G167" i="19"/>
  <c r="J161" i="19"/>
  <c r="F160" i="19"/>
  <c r="E160" i="19"/>
  <c r="G163" i="19"/>
  <c r="G162" i="19"/>
  <c r="G161" i="19"/>
  <c r="F155" i="19"/>
  <c r="L155" i="19" s="1"/>
  <c r="E155" i="19"/>
  <c r="K155" i="19" s="1"/>
  <c r="G156" i="19"/>
  <c r="L153" i="19"/>
  <c r="K153" i="19"/>
  <c r="G154" i="19"/>
  <c r="F143" i="19"/>
  <c r="E143" i="19"/>
  <c r="G144" i="19"/>
  <c r="K147" i="19"/>
  <c r="F145" i="19"/>
  <c r="L145" i="19" s="1"/>
  <c r="E145" i="19"/>
  <c r="K145" i="19" s="1"/>
  <c r="G146" i="19"/>
  <c r="G142" i="19"/>
  <c r="F141" i="19"/>
  <c r="E141" i="19"/>
  <c r="F137" i="19"/>
  <c r="E137" i="19"/>
  <c r="G140" i="19"/>
  <c r="G139" i="19"/>
  <c r="G138" i="19"/>
  <c r="L66" i="19"/>
  <c r="L67" i="19"/>
  <c r="L68" i="19"/>
  <c r="L71" i="19"/>
  <c r="L72" i="19"/>
  <c r="L76" i="19"/>
  <c r="L77" i="19"/>
  <c r="L78" i="19"/>
  <c r="L83" i="19"/>
  <c r="L85" i="19"/>
  <c r="L86" i="19"/>
  <c r="L87" i="19"/>
  <c r="L89" i="19"/>
  <c r="L90" i="19"/>
  <c r="L91" i="19"/>
  <c r="L93" i="19"/>
  <c r="L95" i="19"/>
  <c r="L96" i="19"/>
  <c r="L97" i="19"/>
  <c r="L100" i="19"/>
  <c r="L101" i="19"/>
  <c r="L103" i="19"/>
  <c r="L104" i="19"/>
  <c r="L105" i="19"/>
  <c r="K66" i="19"/>
  <c r="K67" i="19"/>
  <c r="K68" i="19"/>
  <c r="K70" i="19"/>
  <c r="K71" i="19"/>
  <c r="K72" i="19"/>
  <c r="K76" i="19"/>
  <c r="K77" i="19"/>
  <c r="K78" i="19"/>
  <c r="K79" i="19"/>
  <c r="K83" i="19"/>
  <c r="K85" i="19"/>
  <c r="K86" i="19"/>
  <c r="K87" i="19"/>
  <c r="K89" i="19"/>
  <c r="K90" i="19"/>
  <c r="K91" i="19"/>
  <c r="K93" i="19"/>
  <c r="K95" i="19"/>
  <c r="K96" i="19"/>
  <c r="K97" i="19"/>
  <c r="K100" i="19"/>
  <c r="K101" i="19"/>
  <c r="K103" i="19"/>
  <c r="K104" i="19"/>
  <c r="G105" i="19"/>
  <c r="F102" i="19"/>
  <c r="L102" i="19" s="1"/>
  <c r="E102" i="19"/>
  <c r="K102" i="19" s="1"/>
  <c r="G104" i="19"/>
  <c r="G103" i="19"/>
  <c r="G100" i="19"/>
  <c r="G101" i="19"/>
  <c r="F99" i="19"/>
  <c r="L99" i="19" s="1"/>
  <c r="E99" i="19"/>
  <c r="K99" i="19" s="1"/>
  <c r="G96" i="19"/>
  <c r="G97" i="19"/>
  <c r="F94" i="19"/>
  <c r="E94" i="19"/>
  <c r="K94" i="19" s="1"/>
  <c r="G95" i="19"/>
  <c r="F231" i="19" l="1"/>
  <c r="E231" i="19"/>
  <c r="F182" i="19"/>
  <c r="E136" i="19"/>
  <c r="E135" i="19" s="1"/>
  <c r="F136" i="19"/>
  <c r="F135" i="19" s="1"/>
  <c r="E298" i="19"/>
  <c r="E182" i="19"/>
  <c r="F298" i="19"/>
  <c r="K173" i="19"/>
  <c r="K172" i="19" s="1"/>
  <c r="M308" i="19"/>
  <c r="M307" i="19"/>
  <c r="L248" i="19"/>
  <c r="H286" i="19"/>
  <c r="L291" i="19"/>
  <c r="L290" i="19" s="1"/>
  <c r="K291" i="19"/>
  <c r="K290" i="19" s="1"/>
  <c r="K211" i="19"/>
  <c r="K239" i="19"/>
  <c r="L287" i="19"/>
  <c r="H186" i="19"/>
  <c r="H192" i="19"/>
  <c r="L211" i="19"/>
  <c r="K215" i="19"/>
  <c r="K224" i="19"/>
  <c r="L239" i="19"/>
  <c r="K250" i="19"/>
  <c r="H274" i="19"/>
  <c r="L299" i="19"/>
  <c r="H198" i="19"/>
  <c r="L215" i="19"/>
  <c r="L224" i="19"/>
  <c r="L250" i="19"/>
  <c r="I274" i="19"/>
  <c r="L202" i="19"/>
  <c r="K213" i="19"/>
  <c r="L213" i="19"/>
  <c r="K219" i="19"/>
  <c r="K228" i="19"/>
  <c r="K235" i="19"/>
  <c r="L244" i="19"/>
  <c r="H283" i="19"/>
  <c r="L302" i="19"/>
  <c r="K248" i="19"/>
  <c r="L219" i="19"/>
  <c r="L228" i="19"/>
  <c r="L235" i="19"/>
  <c r="L261" i="19"/>
  <c r="M261" i="19" s="1"/>
  <c r="L284" i="19"/>
  <c r="I186" i="19"/>
  <c r="L186" i="19" s="1"/>
  <c r="E321" i="19"/>
  <c r="F321" i="19"/>
  <c r="F307" i="19"/>
  <c r="M303" i="19"/>
  <c r="L183" i="19"/>
  <c r="M205" i="19"/>
  <c r="K183" i="19"/>
  <c r="L141" i="19"/>
  <c r="K141" i="19"/>
  <c r="M240" i="19"/>
  <c r="L232" i="19"/>
  <c r="M310" i="19"/>
  <c r="M253" i="19"/>
  <c r="M251" i="19"/>
  <c r="K232" i="19"/>
  <c r="M301" i="19"/>
  <c r="L208" i="19"/>
  <c r="M264" i="19"/>
  <c r="M218" i="19"/>
  <c r="M203" i="19"/>
  <c r="I230" i="19"/>
  <c r="M326" i="19"/>
  <c r="F260" i="19"/>
  <c r="K204" i="19"/>
  <c r="M226" i="19"/>
  <c r="M217" i="19"/>
  <c r="M200" i="19"/>
  <c r="M322" i="19"/>
  <c r="M195" i="19"/>
  <c r="K284" i="19"/>
  <c r="M163" i="19"/>
  <c r="M225" i="19"/>
  <c r="M189" i="19"/>
  <c r="M285" i="19"/>
  <c r="M262" i="19"/>
  <c r="M293" i="19"/>
  <c r="M214" i="19"/>
  <c r="M249" i="19"/>
  <c r="M276" i="19"/>
  <c r="M324" i="19"/>
  <c r="M323" i="19"/>
  <c r="E23" i="28"/>
  <c r="H23" i="28"/>
  <c r="I23" i="28"/>
  <c r="L23" i="28" s="1"/>
  <c r="M194" i="19"/>
  <c r="M184" i="19"/>
  <c r="M300" i="19"/>
  <c r="M156" i="19"/>
  <c r="M176" i="19"/>
  <c r="M227" i="19"/>
  <c r="M220" i="19"/>
  <c r="M206" i="19"/>
  <c r="M201" i="19"/>
  <c r="M190" i="19"/>
  <c r="M185" i="19"/>
  <c r="K252" i="19"/>
  <c r="M234" i="19"/>
  <c r="I283" i="19"/>
  <c r="M288" i="19"/>
  <c r="I306" i="19"/>
  <c r="M263" i="19"/>
  <c r="E173" i="19"/>
  <c r="E172" i="19" s="1"/>
  <c r="M209" i="19"/>
  <c r="M199" i="19"/>
  <c r="M193" i="19"/>
  <c r="M245" i="19"/>
  <c r="M236" i="19"/>
  <c r="M233" i="19"/>
  <c r="J284" i="19"/>
  <c r="K325" i="19"/>
  <c r="K321" i="19" s="1"/>
  <c r="M210" i="19"/>
  <c r="K160" i="19"/>
  <c r="M161" i="19"/>
  <c r="M229" i="19"/>
  <c r="M216" i="19"/>
  <c r="M212" i="19"/>
  <c r="M207" i="19"/>
  <c r="M191" i="19"/>
  <c r="M188" i="19"/>
  <c r="J275" i="19"/>
  <c r="K275" i="19"/>
  <c r="L275" i="19"/>
  <c r="E290" i="19"/>
  <c r="M292" i="19"/>
  <c r="M180" i="19"/>
  <c r="I286" i="19"/>
  <c r="F290" i="19"/>
  <c r="L325" i="19"/>
  <c r="L321" i="19" s="1"/>
  <c r="K187" i="19"/>
  <c r="M146" i="19"/>
  <c r="J196" i="19"/>
  <c r="K196" i="19"/>
  <c r="K287" i="19"/>
  <c r="G325" i="19"/>
  <c r="M175" i="19"/>
  <c r="K208" i="19"/>
  <c r="J287" i="19"/>
  <c r="K202" i="19"/>
  <c r="M309" i="19"/>
  <c r="M147" i="19"/>
  <c r="M138" i="19"/>
  <c r="M155" i="19"/>
  <c r="M166" i="19"/>
  <c r="M144" i="19"/>
  <c r="J187" i="19"/>
  <c r="L137" i="19"/>
  <c r="I135" i="19"/>
  <c r="M153" i="19"/>
  <c r="L160" i="19"/>
  <c r="M167" i="19"/>
  <c r="M154" i="19"/>
  <c r="M142" i="19"/>
  <c r="M140" i="19"/>
  <c r="M179" i="19"/>
  <c r="J202" i="19"/>
  <c r="M145" i="19"/>
  <c r="M162" i="19"/>
  <c r="M139" i="19"/>
  <c r="G179" i="19"/>
  <c r="L173" i="19"/>
  <c r="M93" i="19"/>
  <c r="M78" i="19"/>
  <c r="F173" i="19"/>
  <c r="F172" i="19" s="1"/>
  <c r="M67" i="19"/>
  <c r="M96" i="19"/>
  <c r="K143" i="19"/>
  <c r="M66" i="19"/>
  <c r="M95" i="19"/>
  <c r="I198" i="19"/>
  <c r="L198" i="19" s="1"/>
  <c r="L94" i="19"/>
  <c r="M94" i="19" s="1"/>
  <c r="M97" i="19"/>
  <c r="M68" i="19"/>
  <c r="M85" i="19"/>
  <c r="M89" i="19"/>
  <c r="M105" i="19"/>
  <c r="M100" i="19"/>
  <c r="M103" i="19"/>
  <c r="M91" i="19"/>
  <c r="M86" i="19"/>
  <c r="M102" i="19"/>
  <c r="M71" i="19"/>
  <c r="M90" i="19"/>
  <c r="M101" i="19"/>
  <c r="M77" i="19"/>
  <c r="M83" i="19"/>
  <c r="M99" i="19"/>
  <c r="M76" i="19"/>
  <c r="M104" i="19"/>
  <c r="M87" i="19"/>
  <c r="M72" i="19"/>
  <c r="F92" i="19"/>
  <c r="E92" i="19"/>
  <c r="K92" i="19" s="1"/>
  <c r="G93" i="19"/>
  <c r="F88" i="19"/>
  <c r="L88" i="19" s="1"/>
  <c r="E88" i="19"/>
  <c r="K88" i="19" s="1"/>
  <c r="G89" i="19"/>
  <c r="G90" i="19"/>
  <c r="G91" i="19"/>
  <c r="G85" i="19"/>
  <c r="G86" i="19"/>
  <c r="G87" i="19"/>
  <c r="F84" i="19"/>
  <c r="L84" i="19" s="1"/>
  <c r="E84" i="19"/>
  <c r="K84" i="19" s="1"/>
  <c r="G83" i="19"/>
  <c r="E82" i="19"/>
  <c r="K82" i="19" s="1"/>
  <c r="G76" i="19"/>
  <c r="G77" i="19"/>
  <c r="G78" i="19"/>
  <c r="F75" i="19"/>
  <c r="E75" i="19"/>
  <c r="G72" i="19"/>
  <c r="G71" i="19"/>
  <c r="F69" i="19"/>
  <c r="E69" i="19"/>
  <c r="G70" i="19"/>
  <c r="G66" i="19"/>
  <c r="G67" i="19"/>
  <c r="G68" i="19"/>
  <c r="L20" i="19"/>
  <c r="L21" i="19"/>
  <c r="L22" i="19"/>
  <c r="L23" i="19"/>
  <c r="L24" i="19"/>
  <c r="L26" i="19"/>
  <c r="L30" i="19"/>
  <c r="L34" i="19"/>
  <c r="L36" i="19"/>
  <c r="L43" i="19"/>
  <c r="L46" i="19"/>
  <c r="L50" i="19"/>
  <c r="L52" i="19"/>
  <c r="L57" i="19"/>
  <c r="K20" i="19"/>
  <c r="K21" i="19"/>
  <c r="K22" i="19"/>
  <c r="K24" i="19"/>
  <c r="K26" i="19"/>
  <c r="K34" i="19"/>
  <c r="K36" i="19"/>
  <c r="K50" i="19"/>
  <c r="K52" i="19"/>
  <c r="K57" i="19"/>
  <c r="I19" i="19"/>
  <c r="I18" i="19" s="1"/>
  <c r="L42" i="19"/>
  <c r="L39" i="19"/>
  <c r="K39" i="19"/>
  <c r="J160" i="19"/>
  <c r="J204" i="19"/>
  <c r="G20" i="19"/>
  <c r="G21" i="19"/>
  <c r="G22" i="19"/>
  <c r="F49" i="19"/>
  <c r="E49" i="19"/>
  <c r="K49" i="19" s="1"/>
  <c r="G50" i="19"/>
  <c r="L56" i="19"/>
  <c r="E56" i="19"/>
  <c r="K56" i="19" s="1"/>
  <c r="G57" i="19"/>
  <c r="L51" i="19"/>
  <c r="E51" i="19"/>
  <c r="K51" i="19" s="1"/>
  <c r="G52" i="19"/>
  <c r="L45" i="19"/>
  <c r="E45" i="19"/>
  <c r="K45" i="19" s="1"/>
  <c r="G46" i="19"/>
  <c r="K35" i="19"/>
  <c r="G36" i="19"/>
  <c r="L33" i="19"/>
  <c r="E29" i="19"/>
  <c r="K29" i="19" s="1"/>
  <c r="G30" i="19"/>
  <c r="G26" i="19"/>
  <c r="E25" i="19"/>
  <c r="K23" i="19"/>
  <c r="G24" i="19"/>
  <c r="G19" i="19"/>
  <c r="G34" i="19"/>
  <c r="G94" i="19"/>
  <c r="G99" i="19"/>
  <c r="G102" i="19"/>
  <c r="G137" i="19"/>
  <c r="G141" i="19"/>
  <c r="G143" i="19"/>
  <c r="G145" i="19"/>
  <c r="G147" i="19"/>
  <c r="G153" i="19"/>
  <c r="G155" i="19"/>
  <c r="G160" i="19"/>
  <c r="G166" i="19"/>
  <c r="G174" i="19"/>
  <c r="G183" i="19"/>
  <c r="G186" i="19"/>
  <c r="G190" i="19"/>
  <c r="G192" i="19"/>
  <c r="G198" i="19"/>
  <c r="G204" i="19"/>
  <c r="G208" i="19"/>
  <c r="G211" i="19"/>
  <c r="G213" i="19"/>
  <c r="G215" i="19"/>
  <c r="G219" i="19"/>
  <c r="G224" i="19"/>
  <c r="G228" i="19"/>
  <c r="G232" i="19"/>
  <c r="G235" i="19"/>
  <c r="G239" i="19"/>
  <c r="G244" i="19"/>
  <c r="G248" i="19"/>
  <c r="G250" i="19"/>
  <c r="G261" i="19"/>
  <c r="G291" i="19"/>
  <c r="G299" i="19"/>
  <c r="G302" i="19"/>
  <c r="G308" i="19"/>
  <c r="G322" i="19"/>
  <c r="H260" i="19" l="1"/>
  <c r="I260" i="19"/>
  <c r="I259" i="19" s="1"/>
  <c r="K231" i="19"/>
  <c r="L231" i="19"/>
  <c r="L230" i="19" s="1"/>
  <c r="L182" i="19"/>
  <c r="L49" i="19"/>
  <c r="M49" i="19" s="1"/>
  <c r="F18" i="19"/>
  <c r="F17" i="19" s="1"/>
  <c r="E18" i="19"/>
  <c r="E17" i="19" s="1"/>
  <c r="L298" i="19"/>
  <c r="L297" i="19" s="1"/>
  <c r="I17" i="19"/>
  <c r="L19" i="19"/>
  <c r="M239" i="19"/>
  <c r="M235" i="19"/>
  <c r="M224" i="19"/>
  <c r="M211" i="19"/>
  <c r="M250" i="19"/>
  <c r="G321" i="19"/>
  <c r="H182" i="19"/>
  <c r="H181" i="19" s="1"/>
  <c r="M213" i="19"/>
  <c r="M219" i="19"/>
  <c r="M244" i="19"/>
  <c r="M215" i="19"/>
  <c r="M302" i="19"/>
  <c r="M228" i="19"/>
  <c r="K192" i="19"/>
  <c r="H259" i="19"/>
  <c r="J192" i="19"/>
  <c r="M291" i="19"/>
  <c r="K274" i="19"/>
  <c r="M248" i="19"/>
  <c r="K198" i="19"/>
  <c r="M202" i="19"/>
  <c r="E181" i="19"/>
  <c r="M299" i="19"/>
  <c r="M252" i="19"/>
  <c r="M284" i="19"/>
  <c r="M187" i="19"/>
  <c r="F230" i="19"/>
  <c r="L283" i="19"/>
  <c r="M290" i="19"/>
  <c r="F297" i="19"/>
  <c r="E230" i="19"/>
  <c r="K286" i="19"/>
  <c r="J274" i="19"/>
  <c r="F289" i="19"/>
  <c r="F306" i="19"/>
  <c r="L286" i="19"/>
  <c r="E289" i="19"/>
  <c r="E297" i="19"/>
  <c r="F320" i="19"/>
  <c r="L274" i="19"/>
  <c r="M287" i="19"/>
  <c r="F181" i="19"/>
  <c r="E320" i="19"/>
  <c r="K283" i="19"/>
  <c r="M183" i="19"/>
  <c r="K186" i="19"/>
  <c r="I182" i="19"/>
  <c r="M141" i="19"/>
  <c r="K137" i="19"/>
  <c r="K136" i="19" s="1"/>
  <c r="L65" i="19"/>
  <c r="M204" i="19"/>
  <c r="M196" i="19"/>
  <c r="M232" i="19"/>
  <c r="K25" i="19"/>
  <c r="M160" i="19"/>
  <c r="M174" i="19"/>
  <c r="J286" i="19"/>
  <c r="J186" i="19"/>
  <c r="M325" i="19"/>
  <c r="J283" i="19"/>
  <c r="M275" i="19"/>
  <c r="H230" i="19"/>
  <c r="J230" i="19" s="1"/>
  <c r="M208" i="19"/>
  <c r="L289" i="19"/>
  <c r="L143" i="19"/>
  <c r="M143" i="19" s="1"/>
  <c r="J198" i="19"/>
  <c r="G33" i="19"/>
  <c r="G84" i="19"/>
  <c r="H63" i="19"/>
  <c r="M173" i="19"/>
  <c r="L172" i="19"/>
  <c r="M172" i="19" s="1"/>
  <c r="G56" i="19"/>
  <c r="L29" i="19"/>
  <c r="G35" i="19"/>
  <c r="K69" i="19"/>
  <c r="K75" i="19"/>
  <c r="L75" i="19"/>
  <c r="G88" i="19"/>
  <c r="G23" i="19"/>
  <c r="M51" i="19"/>
  <c r="F81" i="19"/>
  <c r="L81" i="19" s="1"/>
  <c r="L82" i="19"/>
  <c r="M82" i="19" s="1"/>
  <c r="M84" i="19"/>
  <c r="M88" i="19"/>
  <c r="K65" i="19"/>
  <c r="G69" i="19"/>
  <c r="L70" i="19"/>
  <c r="M70" i="19" s="1"/>
  <c r="G92" i="19"/>
  <c r="L92" i="19"/>
  <c r="M92" i="19" s="1"/>
  <c r="E81" i="19"/>
  <c r="K81" i="19" s="1"/>
  <c r="M46" i="19"/>
  <c r="M36" i="19"/>
  <c r="M34" i="19"/>
  <c r="M26" i="19"/>
  <c r="M20" i="19"/>
  <c r="M30" i="19"/>
  <c r="M56" i="19"/>
  <c r="G82" i="19"/>
  <c r="G51" i="19"/>
  <c r="M39" i="19"/>
  <c r="M52" i="19"/>
  <c r="G75" i="19"/>
  <c r="G49" i="19"/>
  <c r="M50" i="19"/>
  <c r="M22" i="19"/>
  <c r="G65" i="19"/>
  <c r="M57" i="19"/>
  <c r="M24" i="19"/>
  <c r="M21" i="19"/>
  <c r="M45" i="19"/>
  <c r="M23" i="19"/>
  <c r="L25" i="19"/>
  <c r="G25" i="19"/>
  <c r="K33" i="19"/>
  <c r="G45" i="19"/>
  <c r="G29" i="19"/>
  <c r="K260" i="19" l="1"/>
  <c r="L260" i="19"/>
  <c r="L259" i="19" s="1"/>
  <c r="K64" i="19"/>
  <c r="K63" i="19" s="1"/>
  <c r="F64" i="19"/>
  <c r="F63" i="19" s="1"/>
  <c r="E64" i="19"/>
  <c r="E63" i="19" s="1"/>
  <c r="E329" i="19" s="1"/>
  <c r="L18" i="19"/>
  <c r="M33" i="19"/>
  <c r="K182" i="19"/>
  <c r="L136" i="19"/>
  <c r="M35" i="19"/>
  <c r="M192" i="19"/>
  <c r="M298" i="19"/>
  <c r="J260" i="19"/>
  <c r="M198" i="19"/>
  <c r="M274" i="19"/>
  <c r="J259" i="19"/>
  <c r="K289" i="19"/>
  <c r="K230" i="19"/>
  <c r="K320" i="19"/>
  <c r="M283" i="19"/>
  <c r="M286" i="19"/>
  <c r="K297" i="19"/>
  <c r="G18" i="19"/>
  <c r="K135" i="19"/>
  <c r="I181" i="19"/>
  <c r="M25" i="19"/>
  <c r="M137" i="19"/>
  <c r="M231" i="19"/>
  <c r="I63" i="19"/>
  <c r="J63" i="19" s="1"/>
  <c r="J231" i="19"/>
  <c r="L320" i="19"/>
  <c r="M321" i="19"/>
  <c r="M186" i="19"/>
  <c r="M19" i="19"/>
  <c r="J182" i="19"/>
  <c r="M29" i="19"/>
  <c r="M75" i="19"/>
  <c r="M65" i="19"/>
  <c r="L69" i="19"/>
  <c r="M81" i="19"/>
  <c r="G81" i="19"/>
  <c r="J135" i="19"/>
  <c r="J136" i="19"/>
  <c r="G307" i="19"/>
  <c r="G298" i="19"/>
  <c r="G290" i="19"/>
  <c r="G260" i="19"/>
  <c r="G231" i="19"/>
  <c r="G182" i="19"/>
  <c r="G173" i="19"/>
  <c r="G136" i="19"/>
  <c r="L64" i="19" l="1"/>
  <c r="M64" i="19" s="1"/>
  <c r="M230" i="19"/>
  <c r="M306" i="19"/>
  <c r="L181" i="19"/>
  <c r="M260" i="19"/>
  <c r="M289" i="19"/>
  <c r="K181" i="19"/>
  <c r="K259" i="19"/>
  <c r="M320" i="19"/>
  <c r="M297" i="19"/>
  <c r="M136" i="19"/>
  <c r="J181" i="19"/>
  <c r="L135" i="19"/>
  <c r="M135" i="19" s="1"/>
  <c r="M182" i="19"/>
  <c r="G64" i="19"/>
  <c r="M69" i="19"/>
  <c r="G135" i="19"/>
  <c r="G181" i="19"/>
  <c r="F259" i="19"/>
  <c r="G297" i="19"/>
  <c r="G320" i="19"/>
  <c r="G172" i="19"/>
  <c r="G230" i="19"/>
  <c r="G289" i="19"/>
  <c r="G306" i="19"/>
  <c r="G63" i="19"/>
  <c r="G29" i="23"/>
  <c r="G26" i="23" s="1"/>
  <c r="H29" i="23"/>
  <c r="H26" i="23" s="1"/>
  <c r="G18" i="23"/>
  <c r="G25" i="23" s="1"/>
  <c r="L63" i="19" l="1"/>
  <c r="M63" i="19" s="1"/>
  <c r="M181" i="19"/>
  <c r="M259" i="19"/>
  <c r="G259" i="19"/>
  <c r="F329" i="19"/>
  <c r="E29" i="23"/>
  <c r="C29" i="23" s="1"/>
  <c r="I329" i="19"/>
  <c r="G17" i="19"/>
  <c r="L17" i="19"/>
  <c r="H18" i="23"/>
  <c r="H25" i="23" s="1"/>
  <c r="E27" i="23"/>
  <c r="C27" i="23" s="1"/>
  <c r="G23" i="23"/>
  <c r="G30" i="23" s="1"/>
  <c r="L329" i="19" l="1"/>
  <c r="G329" i="19"/>
  <c r="E26" i="23"/>
  <c r="C26" i="23" s="1"/>
  <c r="H23" i="23"/>
  <c r="H30" i="23" s="1"/>
  <c r="E18" i="23"/>
  <c r="C18" i="23" s="1"/>
  <c r="E25" i="23" l="1"/>
  <c r="C25" i="23" s="1"/>
  <c r="E23" i="23"/>
  <c r="E30" i="23" l="1"/>
  <c r="C30" i="23" s="1"/>
  <c r="C23" i="23"/>
  <c r="G112" i="19"/>
  <c r="G113" i="19"/>
  <c r="K43" i="19"/>
  <c r="M43" i="19" s="1"/>
  <c r="H44" i="19"/>
  <c r="H42" i="19"/>
  <c r="H18" i="19" s="1"/>
  <c r="K42" i="19" l="1"/>
  <c r="H17" i="19"/>
  <c r="K44" i="19"/>
  <c r="M44" i="19" s="1"/>
  <c r="K18" i="19" l="1"/>
  <c r="M18" i="19" s="1"/>
  <c r="M42" i="19"/>
  <c r="J17" i="19"/>
  <c r="H329" i="19"/>
  <c r="K17" i="19"/>
  <c r="K329" i="19" s="1"/>
  <c r="J18" i="19"/>
  <c r="J329" i="19" l="1"/>
  <c r="M17" i="19"/>
  <c r="M329" i="19"/>
</calcChain>
</file>

<file path=xl/sharedStrings.xml><?xml version="1.0" encoding="utf-8"?>
<sst xmlns="http://schemas.openxmlformats.org/spreadsheetml/2006/main" count="1957" uniqueCount="742">
  <si>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</si>
  <si>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</si>
  <si>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</si>
  <si>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</si>
  <si>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</si>
  <si>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</si>
  <si>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</si>
  <si>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</si>
  <si>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</si>
  <si>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</si>
  <si>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</si>
  <si>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</si>
  <si>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</si>
  <si>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</si>
  <si>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</si>
  <si>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</si>
  <si>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</si>
  <si>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</si>
  <si>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</si>
  <si>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</si>
  <si>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</si>
  <si>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</si>
  <si>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</si>
  <si>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</si>
  <si>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</si>
  <si>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</si>
  <si>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</si>
  <si>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</si>
  <si>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</si>
  <si>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</si>
  <si>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</si>
  <si>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</si>
  <si>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</si>
  <si>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</si>
  <si>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</si>
  <si>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</si>
  <si>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</si>
  <si>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</si>
  <si>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</si>
  <si>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</si>
  <si>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</si>
  <si>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</si>
  <si>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</si>
  <si>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</si>
  <si>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</si>
  <si>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</si>
  <si>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</si>
  <si>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</si>
  <si>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</si>
  <si>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</si>
  <si>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</si>
  <si>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</si>
  <si>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</si>
  <si>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</si>
  <si>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</si>
  <si>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</si>
  <si>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</si>
  <si>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</si>
  <si>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</si>
  <si>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</si>
  <si>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</si>
  <si>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</si>
  <si>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</si>
  <si>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</si>
  <si>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</si>
  <si>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</si>
  <si>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</si>
  <si>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</si>
  <si>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</si>
  <si>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</si>
  <si>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</si>
  <si>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</si>
  <si>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</si>
  <si>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</si>
  <si>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</si>
  <si>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</si>
  <si>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</si>
  <si>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0910000</t>
  </si>
  <si>
    <t>0913112</t>
  </si>
  <si>
    <t>3112</t>
  </si>
  <si>
    <t>Заходи державної політики з питань дітей та їх соціального захисту</t>
  </si>
  <si>
    <t>1000000</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</si>
  <si>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</si>
  <si>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</si>
  <si>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</si>
  <si>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</si>
  <si>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</si>
  <si>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</si>
  <si>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</si>
  <si>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</si>
  <si>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</si>
  <si>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</si>
  <si>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</si>
  <si>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</si>
  <si>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</si>
  <si>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</si>
  <si>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</si>
  <si>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</si>
  <si>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</si>
  <si>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</si>
  <si>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</si>
  <si>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</si>
  <si>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</si>
  <si>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</si>
  <si>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</si>
  <si>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</si>
  <si>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</si>
  <si>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</si>
  <si>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</si>
  <si>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</si>
  <si>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</si>
  <si>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</si>
  <si>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</si>
  <si>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</si>
  <si>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</si>
  <si>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</si>
  <si>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</si>
  <si>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</si>
  <si>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</si>
  <si>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</si>
  <si>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</si>
  <si>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</si>
  <si>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</si>
  <si>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</si>
  <si>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</si>
  <si>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</si>
  <si>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</si>
  <si>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</si>
  <si>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</si>
  <si>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</si>
  <si>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</si>
  <si>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</si>
  <si>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</si>
  <si>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</si>
  <si>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</si>
  <si>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</si>
  <si>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</si>
  <si>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</si>
  <si>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</si>
  <si>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0218230</t>
  </si>
  <si>
    <t>Інші заходи громадського порядку та безпеки</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</si>
  <si>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</si>
  <si>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</si>
  <si>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</si>
  <si>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</si>
  <si>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</si>
  <si>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</si>
  <si>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</si>
  <si>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</si>
  <si>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</si>
  <si>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</si>
  <si>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</si>
  <si>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</si>
  <si>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</si>
  <si>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</si>
  <si>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</si>
  <si>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</si>
  <si>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</si>
  <si>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</si>
  <si>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</si>
  <si>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</si>
  <si>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</si>
  <si>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</si>
  <si>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</si>
  <si>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</si>
  <si>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</si>
  <si>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</si>
  <si>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</si>
  <si>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</si>
  <si>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</si>
  <si>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</si>
  <si>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</si>
  <si>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</si>
  <si>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</si>
  <si>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</si>
  <si>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</si>
  <si>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</si>
  <si>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</si>
  <si>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</si>
  <si>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</si>
  <si>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</si>
  <si>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</si>
  <si>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</si>
  <si>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</si>
  <si>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</si>
  <si>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</si>
  <si>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</si>
  <si>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</si>
  <si>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3110000</t>
  </si>
  <si>
    <t>3110160</t>
  </si>
  <si>
    <t>3700000</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</si>
  <si>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</si>
  <si>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</si>
  <si>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</si>
  <si>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</si>
  <si>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</si>
  <si>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</si>
  <si>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</si>
  <si>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</si>
  <si>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</si>
  <si>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</si>
  <si>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</si>
  <si>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</si>
  <si>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</si>
  <si>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</si>
  <si>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</si>
  <si>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</si>
  <si>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</si>
  <si>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</si>
  <si>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</si>
  <si>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</si>
  <si>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</si>
  <si>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</si>
  <si>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</si>
  <si>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</si>
  <si>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</si>
  <si>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</si>
  <si>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</si>
  <si>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</si>
  <si>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</si>
  <si>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</si>
  <si>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</si>
  <si>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</si>
  <si>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</si>
  <si>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</si>
  <si>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</si>
  <si>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</si>
  <si>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</si>
  <si>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</si>
  <si>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</si>
  <si>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</si>
  <si>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</si>
  <si>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</si>
  <si>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</si>
  <si>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</si>
  <si>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</si>
  <si>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</si>
  <si>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</si>
  <si>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</si>
  <si>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</si>
  <si>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</si>
  <si>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</si>
  <si>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</si>
  <si>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</si>
  <si>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</si>
  <si>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</si>
  <si>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</si>
  <si>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</si>
  <si>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</si>
  <si>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</si>
  <si>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</si>
  <si>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</si>
  <si>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</si>
  <si>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</si>
  <si>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</si>
  <si>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проектні роботи</t>
  </si>
  <si>
    <t>коригування проектної документації</t>
  </si>
  <si>
    <t>х</t>
  </si>
  <si>
    <t>0443</t>
  </si>
  <si>
    <t>коригування проектно-вишукувальної документації</t>
  </si>
  <si>
    <t>Будівництво  медичних установ та закладів</t>
  </si>
  <si>
    <t>проектно-вишукувальні роботи</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</si>
  <si>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</si>
  <si>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</si>
  <si>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</si>
  <si>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</si>
  <si>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</si>
  <si>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</si>
  <si>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</si>
  <si>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</si>
  <si>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</si>
  <si>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</si>
  <si>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</si>
  <si>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</si>
  <si>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</si>
  <si>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</si>
  <si>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</si>
  <si>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</si>
  <si>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</si>
  <si>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</si>
  <si>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</si>
  <si>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</si>
  <si>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</si>
  <si>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</si>
  <si>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</si>
  <si>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</si>
  <si>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</si>
  <si>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</si>
  <si>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</si>
  <si>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</si>
  <si>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</si>
  <si>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</si>
  <si>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</si>
  <si>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</si>
  <si>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</si>
  <si>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</si>
  <si>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</si>
  <si>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</si>
  <si>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</si>
  <si>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</si>
  <si>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</si>
  <si>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</si>
  <si>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</si>
  <si>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</si>
  <si>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</si>
  <si>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</si>
  <si>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</si>
  <si>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</si>
  <si>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</si>
  <si>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</si>
  <si>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</si>
  <si>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</si>
  <si>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</si>
  <si>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</si>
  <si>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</si>
  <si>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</si>
  <si>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</si>
  <si>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</si>
  <si>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</si>
  <si>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</si>
  <si>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</si>
  <si>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</si>
  <si>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</si>
  <si>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</si>
  <si>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</si>
  <si>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</si>
  <si>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</si>
  <si>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</si>
  <si>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</si>
  <si>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</si>
  <si>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</si>
  <si>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</si>
  <si>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</si>
  <si>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</si>
  <si>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</si>
  <si>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</si>
  <si>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</si>
  <si>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</si>
  <si>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</si>
  <si>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</si>
  <si>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</si>
  <si>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</si>
  <si>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</si>
  <si>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</si>
  <si>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</si>
  <si>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</si>
  <si>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</si>
  <si>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</si>
  <si>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</si>
  <si>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</si>
  <si>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</si>
  <si>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</si>
  <si>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</si>
  <si>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</si>
  <si>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</si>
  <si>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</si>
  <si>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</si>
  <si>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</si>
  <si>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</si>
  <si>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</si>
  <si>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</si>
  <si>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</si>
  <si>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</si>
  <si>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</si>
  <si>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</si>
  <si>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</si>
  <si>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</si>
  <si>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</si>
  <si>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</si>
  <si>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</si>
  <si>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</si>
  <si>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</si>
  <si>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</si>
  <si>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</si>
  <si>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</si>
  <si>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</si>
  <si>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</si>
  <si>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</si>
  <si>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</si>
  <si>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</si>
  <si>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</si>
  <si>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</si>
  <si>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</si>
  <si>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</si>
  <si>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</si>
  <si>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</si>
  <si>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</si>
  <si>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</si>
  <si>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</si>
  <si>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</si>
  <si>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</si>
  <si>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</si>
  <si>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</si>
  <si>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</si>
  <si>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</si>
  <si>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</si>
  <si>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</si>
  <si>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</si>
  <si>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</si>
  <si>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</si>
  <si>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</si>
  <si>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</si>
  <si>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</si>
  <si>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</si>
  <si>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</si>
  <si>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</si>
  <si>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</si>
  <si>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</si>
  <si>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</si>
  <si>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</si>
  <si>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</si>
  <si>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</si>
  <si>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видатки розвитку</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</si>
  <si>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</si>
  <si>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</si>
  <si>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</si>
  <si>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</si>
  <si>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</si>
  <si>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</si>
  <si>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</si>
  <si>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</si>
  <si>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</si>
  <si>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</si>
  <si>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</si>
  <si>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 xml:space="preserve"> Програма з локалізації та ліквідації амброзії полинолистої на територій Южненської міської територіальної громади на  2020-2024 роки</t>
  </si>
  <si>
    <t>Рішення ЮМР від 18.06.2020 року № 1771-VIІ  з внесеними змінами від 28.10.2022 року  № 1096 -VIIІ шляхом викладення у новій редакції</t>
  </si>
  <si>
    <t>1516030</t>
  </si>
  <si>
    <t>Додаток 4</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</si>
  <si>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</si>
  <si>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</si>
  <si>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</si>
  <si>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</si>
  <si>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</si>
  <si>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</si>
  <si>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</si>
  <si>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</si>
  <si>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Рентна плата за користування надрами загальнодержавного значення</t>
  </si>
  <si>
    <t>І. ТРАНФЕРТИ ДО ЗАГАЛЬНОГО ФОНДУ БЮДЖЕТУ</t>
  </si>
  <si>
    <t>ІІ. ТРАНСФЕРТИ ДО СПЕЦІАЛЬНОГО ФОНДУ БЮДЖЕТУ</t>
  </si>
  <si>
    <t>Додаток 3</t>
  </si>
  <si>
    <t>Додаток 5</t>
  </si>
  <si>
    <t>Секретар Південнівської міської ради</t>
  </si>
  <si>
    <t xml:space="preserve">Секретар Південнівської міської ради                                                                                                     Ігор ЧУГУННИКОВ                                                      </t>
  </si>
  <si>
    <t>Виконавчий комітет Південнівської міської ради Одеського району Одеської області</t>
  </si>
  <si>
    <t>Управління освіти Південнівської міської ради Одеського районого Одеської області</t>
  </si>
  <si>
    <t>Управління соціальної політики Південнівської міської ради Одеського району Одеської області</t>
  </si>
  <si>
    <t>Служба у справах дітей Південнівської міської ради Одеського району Одеської області</t>
  </si>
  <si>
    <t>Управління культури, спорту та молодіжної політики Південнівської міської ради Одеського району Одеської області</t>
  </si>
  <si>
    <t>Управління капітального будівництва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</si>
  <si>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</si>
  <si>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 xml:space="preserve">Виконавчий комітет Південнівської міської ради  Одеського району Одеської області </t>
  </si>
  <si>
    <t xml:space="preserve">Управління освіти Південнівської міської ради Одеського району Одеської області </t>
  </si>
  <si>
    <t xml:space="preserve">Управління соціальної політики Південнівської міської ради Одеського району Одеської області </t>
  </si>
  <si>
    <t xml:space="preserve">Виконавчий комітет Південнівської міської ради Одеського району Одеської області </t>
  </si>
  <si>
    <t xml:space="preserve">Управління праці та соціального захисту населення Південнівської міської ради Одеського району Одеської області </t>
  </si>
  <si>
    <t>Фінансове управління Південнівської міської ради Одеського району Одеської області</t>
  </si>
  <si>
    <t xml:space="preserve">Управління капітального будівництва Південнівської міської ради Одеського району Одеської області </t>
  </si>
  <si>
    <t>Затверджено на 2025 рік з урахуванням внесених змін</t>
  </si>
  <si>
    <t>Затверджено на 2025  рік з урахув. змін</t>
  </si>
  <si>
    <t>до рішення Південнівської міської ради</t>
  </si>
  <si>
    <t xml:space="preserve">Найменування  об'єкта  будівництва/вид будівельних робіт, у тому числі проєктні роботи </t>
  </si>
  <si>
    <t>Виконавчий комітет Південнівської  міської ради Одеського району Одеської області</t>
  </si>
  <si>
    <t>Капітальні трансферти підприємствам (установам, організаціям)</t>
  </si>
  <si>
    <t>0218240</t>
  </si>
  <si>
    <t>8240</t>
  </si>
  <si>
    <t>Заходи та роботи з територіальної оборони</t>
  </si>
  <si>
    <t>Управління освіти Південнівської міської ради Одеського району Одеської області</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</si>
  <si>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</si>
  <si>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</si>
  <si>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</si>
  <si>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</si>
  <si>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</si>
  <si>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</si>
  <si>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 xml:space="preserve"> Надання комплексу послуг особам/сім’ям у сфері соціального захисту та соціального забезпечення іншими надавачами соціальних послуг</t>
  </si>
  <si>
    <t>1216015</t>
  </si>
  <si>
    <t>6015</t>
  </si>
  <si>
    <t>Забезпечення надійної та безперебійної експлуатації ліфтів</t>
  </si>
  <si>
    <t>1511021</t>
  </si>
  <si>
    <t>Надання загальної середньої освіти закладами загальної середньої освіти за рахунок коштів місцевого бюджету</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</si>
  <si>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</si>
  <si>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</si>
  <si>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проєктні роботи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</si>
  <si>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</si>
  <si>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</si>
  <si>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</si>
  <si>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</si>
  <si>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1512170</t>
  </si>
  <si>
    <t>2170</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</si>
  <si>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</si>
  <si>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</si>
  <si>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</si>
  <si>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</si>
  <si>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</si>
  <si>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 xml:space="preserve">кошти на оплату послуг, пов'язаних із підготовкою до виконання робіт, їх здійсненням та введенням об'єктів будівництва в експлуатацію </t>
  </si>
  <si>
    <t>1516012</t>
  </si>
  <si>
    <t>6012</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</si>
  <si>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</si>
  <si>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</si>
  <si>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</si>
  <si>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у т.ч.</t>
  </si>
  <si>
    <t>Субвенція</t>
  </si>
  <si>
    <t>Інші субвенції з місцевого бюджету</t>
  </si>
  <si>
    <t xml:space="preserve">1517330 </t>
  </si>
  <si>
    <t>7330</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</si>
  <si>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</si>
  <si>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</si>
  <si>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</si>
  <si>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</si>
  <si>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</si>
  <si>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Інші заходи, пов'язані з економічною діяльністю</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</si>
  <si>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</si>
  <si>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</si>
  <si>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</si>
  <si>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</si>
  <si>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</si>
  <si>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</si>
  <si>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</si>
  <si>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</si>
  <si>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</si>
  <si>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</si>
  <si>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</si>
  <si>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1617351</t>
  </si>
  <si>
    <t>7351</t>
  </si>
  <si>
    <t>Розроблення комплексних планів просторового розвитку територій територіальних громад</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</si>
  <si>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</si>
  <si>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</si>
  <si>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Придбання пластикових сміттєприймальних контейнерів, об'ємом 1,1 м³ (2 шт)                                         </t>
  </si>
  <si>
    <t>0219770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</si>
  <si>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</si>
  <si>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0611200</t>
  </si>
  <si>
    <t>1200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</si>
  <si>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</si>
  <si>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0611600</t>
  </si>
  <si>
    <t>1600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</si>
  <si>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</si>
  <si>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3140</t>
  </si>
  <si>
    <t>0613140</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</si>
  <si>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</si>
  <si>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0813193</t>
  </si>
  <si>
    <t>3193</t>
  </si>
  <si>
    <t>Надання комплексу послуг особам/сім`ям у сфері соціального захисту та соціального забезпечення іншими надавачами соціальних послуг</t>
  </si>
  <si>
    <t>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</si>
  <si>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 юнацькими спортивними школами</t>
  </si>
  <si>
    <t>Розвиток та підтримка доступної спортивної інфраструктури</t>
  </si>
  <si>
    <t>Інші заходи, пов`язані з економічною діяльністю</t>
  </si>
  <si>
    <t>Охорона та раціональне використання природних ресурсів</t>
  </si>
  <si>
    <t>0511</t>
  </si>
  <si>
    <t>Реверсна дотація</t>
  </si>
  <si>
    <t>0611403</t>
  </si>
  <si>
    <t>1403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</si>
  <si>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</si>
  <si>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</si>
  <si>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</si>
  <si>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Будівництво закладів охорони здоров`я</t>
  </si>
  <si>
    <t>1516013</t>
  </si>
  <si>
    <t>3110180</t>
  </si>
  <si>
    <t>Інша діяльність у сфері державного управління</t>
  </si>
  <si>
    <t>місцевого бюджету у 2025 році</t>
  </si>
  <si>
    <t xml:space="preserve">Затверджено на 2025 рік   </t>
  </si>
  <si>
    <t xml:space="preserve">Обсяги капітальних вкладень у розрізі інвестиційних проектів у 2025 році
</t>
  </si>
  <si>
    <t>Найменування  інвестиційного проєкту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</si>
  <si>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</si>
  <si>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</si>
  <si>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</si>
  <si>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</si>
  <si>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Очікуваний рівень готовності проекту на кінець 2025 року, %</t>
  </si>
  <si>
    <t xml:space="preserve">Секретар Південнівської міської ради                                                                                                                                                       Ігор ЧУГУННИКОВ                                                         </t>
  </si>
  <si>
    <t>Додаток 7</t>
  </si>
  <si>
    <t>Додаток 9</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</si>
  <si>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</si>
  <si>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</si>
  <si>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</si>
  <si>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Програма розвитку освіти Южненської міської територіальної громади  на 2025-2027 роки</t>
  </si>
  <si>
    <t>Програма національно-патріотичного виховання дітей та молоді  Южненської міської територіальної  громади на 2024-2026 роки</t>
  </si>
  <si>
    <t>Програма оздоровлення та відпочинку дітей Южненської міської територіальної громади на період 2025-2027 роки</t>
  </si>
  <si>
    <t xml:space="preserve">Рішення ЮМР від 29.08.2024 року № 1820-VIІI </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</si>
  <si>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</si>
  <si>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</si>
  <si>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Цільова соціальна програма Молодь Южненської міської територіальної громади на 2025-2027 роки</t>
  </si>
  <si>
    <t xml:space="preserve">Рішення ЮМР від 29.08.2024 року № 1816-VІІІ  </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</si>
  <si>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</si>
  <si>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</si>
  <si>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</si>
  <si>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Програма капітального ремонту (модернізації, заміни) ліфтів в місті Южному Одеського району Одеської області на 2024-2026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</si>
  <si>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</si>
  <si>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</si>
  <si>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1216031</t>
  </si>
  <si>
    <t>6031</t>
  </si>
  <si>
    <t>0621</t>
  </si>
  <si>
    <t>Програма розвитку інфраструктури Южненської міської територіальної громади на 2025-2027 роки</t>
  </si>
  <si>
    <t>Програма енергоефективності в житлово-комунальному господарстві та бюджетній сфері Южненської міської територіальної громади на 2025-2027 роки</t>
  </si>
  <si>
    <t>Програма реформування і розвитку житлово-комунального господарства Южненської міської територіальної громади на 2025-2027 роки</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</si>
  <si>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</si>
  <si>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Фонд комунального майна Южненської міської ради Одеського району Одеської області</t>
  </si>
  <si>
    <t>Рішення ЮМР від 06.06.2024 року № 1735-VIІI з внесеними змінами від 29.08.2024 року № 1858-VIIІ шляхом викладення у новій редакції</t>
  </si>
  <si>
    <t>Рішення ЮМР від 07.12.2022року               №1177-VIIІ з внесеними змінами від  14.12. 2023 року   № 1602-VIII шляхом викладення у новій редакції</t>
  </si>
  <si>
    <t>Рішення ЮМР від 28.10.2022 року            №1091 -VIIІ з внесеними змінами від  06.03.2025 року   № 2103-VIIІ шляхом викладення у новій редакції</t>
  </si>
  <si>
    <t>Рішення ЮМР від 23.08.2023 року № 1433- VIIІ з внесеними змінами від  24.12.2024 року   № 2030 -VIIІ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</si>
  <si>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</si>
  <si>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Рішення ЮМР від 14.11.2024 року №1929-VIІІ</t>
  </si>
  <si>
    <t>Рішення ЮМР від 24.12.2024 року №         2040-VIІІ</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</si>
  <si>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</si>
  <si>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Рішення ЮМР від 18.06.2020 року № 1760-VII з внесеними змінами від  24.12.2024 року  № 2025 -VIIІ шляхом викладення у новій редакції</t>
  </si>
  <si>
    <t>Програма розвитку культури в Южненській міській територіальній  громаді на 2025-2027 роки</t>
  </si>
  <si>
    <t>Екологічна програма заходів з охорони навколишнього природного середовища Южненської міської територіальної громади на 2024-2026 роки</t>
  </si>
  <si>
    <t>Рішення ЮМР від 26.10.2023 року №1520-VІIІ з внесеними змінами від  29.03.2024 року  №  1700-VIIІ шляхом викладення у новій редакції</t>
  </si>
  <si>
    <r>
      <t>Будівництво</t>
    </r>
    <r>
      <rPr>
        <sz val="14"/>
        <color rgb="FF333333"/>
        <rFont val="Times New Roman"/>
        <family val="1"/>
        <charset val="204"/>
      </rPr>
      <t> закладів охорони здоров'я</t>
    </r>
  </si>
  <si>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</si>
  <si>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</si>
  <si>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</si>
  <si>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Дотації з місцевих бюджетів іншим місцевим бюджетам</t>
  </si>
  <si>
    <t>Інші дотації з місцевого бюджету</t>
  </si>
  <si>
    <t>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</si>
  <si>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</si>
  <si>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Цільові фонди, утворені Верховною Радою Автономної Республіки Крим, органами місцевого самоврядування та місцевими органами виконавчої влади</t>
  </si>
  <si>
    <t>Затверджено на 2025  рік з урахуванням внесених змін</t>
  </si>
  <si>
    <t>41059300</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</si>
  <si>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t>
  </si>
  <si>
    <t>3719110</t>
  </si>
  <si>
    <t>9110</t>
  </si>
  <si>
    <t>до рішення Південнівської  міської ради</t>
  </si>
  <si>
    <t>Виконання окремих заходів з реалізації соціального проекту "Активні парки - локації здорової України"</t>
  </si>
  <si>
    <t>Субвенція з місцевого бюджету державному бюджету на виконання програм соціально-економічного розвитку регіонів</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</si>
  <si>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</si>
  <si>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Субвенція з місцевого бюджету на забезпечення пожежної безпеки в закладах загальної середньої освіти за рахунок відповідної субвенції з державного бюджету</t>
  </si>
  <si>
    <t>0619750</t>
  </si>
  <si>
    <t>Субвенція з місцевого бюджету на співфінансування інвестиційних проектів</t>
  </si>
  <si>
    <t>9750</t>
  </si>
  <si>
    <t>Інші заходи у сфері зв'язку, телекомунікації та інформатики</t>
  </si>
  <si>
    <t>0219800</t>
  </si>
  <si>
    <t>9800</t>
  </si>
  <si>
    <t>Капітальні трансферти органам державного управління інших рівнів</t>
  </si>
  <si>
    <t xml:space="preserve">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Додаткові роботи </t>
  </si>
  <si>
    <t>Капітальний ремонт автоматичної системи протипожежного захисту в приміщеннях найпростішого укриття прибудови, що планується використовувати для укриття учасників освітнього процесу Комунального опорного закладу загальної середньої освіти «Ліцей №2» Південнівської міської ради Одеського району Одеської області за адресою: Одеська область, Одеський район, Южненська територіальна громада, м. Південне, просп. Миру, 18, у т.ч.:</t>
  </si>
  <si>
    <t>Капітальний ремонт (заміна віконних блоків) пошкоджених  внаслідок збройної агресії об’єктів критичної інфраструктури: будівлі котельні та будівлі АПК і РММ комплексу "КОТЕЛЬНА", за адресою: Одеська область, Одеський район, Южненська територіальна громада, м. Південне, вул. Старомиколаївське шосе, будинок 8, у т.ч.:</t>
  </si>
  <si>
    <t>Рішення ЮМР від 07.03.2023 року               №1299-VIIІ з внесеними змінами від  22.05.2025 року   № 2243 -VIII шляхом викладення у новій редакції</t>
  </si>
  <si>
    <t>Рішення ЮМР від 28.10.2022 року №1092-VIIІ з внесеними змінами від 13.12.2024 року   №1974-VIII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</si>
  <si>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</si>
  <si>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23.08.2023 року № 1431-VIIІ з внесеними змінами від  10.04.2025 року   № 2186-VIIІ шляхом викладення у новій редакції</t>
  </si>
  <si>
    <t>Комплексна цільова програма "Електронна громада" на 2024-2026 роки</t>
  </si>
  <si>
    <t>Програма сприяння оборонній і мобілізаційній готовності Южненської міської територіальної громади на 2025-2027 роки</t>
  </si>
  <si>
    <t>Програма забезпечення діяльності ЮЖНЕНСЬКОГО КОМУНАЛЬНОГО ПІДПРИЄМСТВА "МУНІЦИПАЛЬНА ВАРТА" на 2025-2027 роки</t>
  </si>
  <si>
    <t>Фінансова підтримка медіа (засобів масової інформації)</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</si>
  <si>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</si>
  <si>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 xml:space="preserve">Рішення ЮМР від 13.07.2023 року № 1404-VII з внесеними змінами від 22.05.2025 року  № 2239-VIIІ  </t>
  </si>
  <si>
    <t>0819770</t>
  </si>
  <si>
    <t>Рішення ЮМР від 13.07.2023 року №1402 -VIIІ з внесеними змінами від  10.04.2025 року № 2183-VIII шляхом викладення у новій редакції</t>
  </si>
  <si>
    <t>Розвиток здібностей у дітей та молоді з фізичної культури та спорту комунальними дитячо-юнацькими спортивними школами</t>
  </si>
  <si>
    <t>Рішення Южненської міської ради  від 29.04.2021 року №360-VIIІ з внесеними змінами  від  22.05.2025 року № 2248-VIII, шляхом викладення у новій редакції</t>
  </si>
  <si>
    <t>Муніципальна інвестиційна програма розвитку Южненської міської територіальної громади на 2025-2027 роки</t>
  </si>
  <si>
    <t xml:space="preserve">Рішення Южненської міської ради від 14.11.2024 року № 1919-VIIІ  з внесеними змінами  від 10 .04. 2025  року № 2180 -VIII, шляхом викладення у новій редакції  </t>
  </si>
  <si>
    <t>Рішення ЮМР від 07.03.2023 року               №1299-VIIІ з внесеними змінами від  22.05.2025 року № 2243 -VIII шляхом викладення у новій редакції</t>
  </si>
  <si>
    <t>10</t>
  </si>
  <si>
    <t>Одеського району Одеської області</t>
  </si>
  <si>
    <t>до рішення Південнівської   міської ради</t>
  </si>
  <si>
    <t>від                                      2025  року</t>
  </si>
  <si>
    <t>№                   -VIII</t>
  </si>
  <si>
    <t>Фінансування об'єктів, видатки по яких здійснювались 9 місяців 2025 року за рахунок коштів бюджету розвитку</t>
  </si>
  <si>
    <t>Виконано за 9 місяців 2025 року</t>
  </si>
  <si>
    <t>1510150</t>
  </si>
  <si>
    <t>Проєктні роботи: «Капітальний ремонт систем вентиляції та кондиціонування адміністративної будівлі, яка знаходиться в комунальній власності, за адресою: Одеська область, Одеський район, Южненська територіальна громада, м. Південне, проспект Григорівського десанту, 18»</t>
  </si>
  <si>
    <t>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 в т.ч.:</t>
  </si>
  <si>
    <t>1512010</t>
  </si>
  <si>
    <t>Капітальний ремонт частини підвального приміщення закладу охорони здоров'я з влаштуванням найпростішого укриття, що розміщується за адресою: Одеська область, Одеський район, м. Южне, вул. Будівельників, 19, у т.ч.:</t>
  </si>
  <si>
    <t xml:space="preserve">2023 - 2025 роки </t>
  </si>
  <si>
    <t xml:space="preserve">проєктні роботи </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</si>
  <si>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</si>
  <si>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2023-2025 роки</t>
  </si>
  <si>
    <t>Проєктні роботи: «Капітальний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Південне, Одеський район, Одеська область"</t>
  </si>
  <si>
    <t xml:space="preserve">від </t>
  </si>
  <si>
    <t>№                      -VIII</t>
  </si>
  <si>
    <t xml:space="preserve">  Перелік об'єктів,  видатки на які проводились за 9 місяців 2025 року  на природоохоронні заходи  по Южненській міській територіальній громаді</t>
  </si>
  <si>
    <t>Виконання за 9 місяців 2025 рік</t>
  </si>
  <si>
    <t>0218110</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</si>
  <si>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</si>
  <si>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</si>
  <si>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</si>
  <si>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0611232</t>
  </si>
  <si>
    <t>1232</t>
  </si>
  <si>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t>
  </si>
  <si>
    <t xml:space="preserve"> 
Охорона та раціональне використання природних ресурсів</t>
  </si>
  <si>
    <t>бюджет розвитку</t>
  </si>
  <si>
    <t>0611279</t>
  </si>
  <si>
    <t>1279</t>
  </si>
  <si>
    <t>Реалізація заходів за рахунок освітньої субвенції з державного бюджету місцевим бюджетам (за спеціальним фондом державного бюджету) на забезпечення харчуванням учнів закладів загальної середньої освіти</t>
  </si>
  <si>
    <t>0611700</t>
  </si>
  <si>
    <t>1700</t>
  </si>
  <si>
    <t>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</si>
  <si>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Фінансування місцевого бюджету за 9 місяців 2025 року</t>
  </si>
  <si>
    <t>Виконання   місцевих  програм, які фінансувались   за рахунок коштів  бюджету Южненської міської територіальної громади за  9 місяців 2025 року</t>
  </si>
  <si>
    <t>Виконано за        9 місяців         2025 року</t>
  </si>
  <si>
    <t>Виконано за         9 місяців        2025 року</t>
  </si>
  <si>
    <t>Програма підвищення ефективності діяльності прикордонних загонів Південного регіонального управління Державної прикордонної служби України на 2025-2027 роки</t>
  </si>
  <si>
    <t>Програма зміцнення законності, безпеки та порядку на території Южненської міської територіальної громади Одеського району Одеської області на 2025-2027 роки</t>
  </si>
  <si>
    <t>Програма протидії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</si>
  <si>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 xml:space="preserve">Рішення ПМР від  09.03.2024 року № 1680-VIIІ з внесеними змінами від 14.11.2024 року № 1932-VIII шляхом викладення  у новій редакції  </t>
  </si>
  <si>
    <t>Програма «Поліцейський офіцер громади» Южненської міської територіальної громади Одеського району Одеської області на 2025-2027 роки</t>
  </si>
  <si>
    <t>Рішення ЮМР від 14.11.2024 року               № 1915-VIIІ з внесеними змінами від  10.04.2025 року   № 2185 -VIII шляхом викладення у новій редакції</t>
  </si>
  <si>
    <t>Рішення ПМР від   24.07.2025 року №  2295-VIII</t>
  </si>
  <si>
    <t xml:space="preserve">Рішення ЮМР від 14.12.2023 року № 1567-VIIІ  з внесеними змінами  від  24.07.2025 року №2300-VIII шляхом викладення  у новій редакції  </t>
  </si>
  <si>
    <t xml:space="preserve">Рішення ПМР від  06.03.2025 року № 2109-VIIІ з внесеними змінами від  24.07.2025 року № 2298-VIII шляхом викладення  у новій редакції  </t>
  </si>
  <si>
    <t>Рішення ПМР від   24.07.2025 року №   2297-VIII</t>
  </si>
  <si>
    <t>Рішення ПМР від   24.07.2025 року №   2296-VIII</t>
  </si>
  <si>
    <t>Рішення ЮМР від 28.10.2022 року № 1121-VIIІ  з внесеними змінами від  24.07.2025 року № 2299-VIIІ шляхом викладення у новій редакції</t>
  </si>
  <si>
    <t>Рішення ЮМР від 14.10.2024 року № 1892-VІІІ з внесеними змінами від  24.07.2025 року  № 2285-VIIІ шляхом викладення у новій редакції</t>
  </si>
  <si>
    <t>Цільова програма "Соціальне таксі" на 2025 рік</t>
  </si>
  <si>
    <t>Рішення ПМР від 06.03.2025 року № 2094-VІІІ з внесеними змінами від  24.07.2025 року  № 2288 -VIIІ шляхом викладення у новій редакції</t>
  </si>
  <si>
    <t>Рішення ЮМР від 29.08.2024 року № 1856-VIІI з внесеними змінами від  24.07.2025 року №  2303-VIIІ шляхом викладення у новій редакції</t>
  </si>
  <si>
    <t>Рішення ЮМР від 29.08.2024 року № 1856-VIІI з внесеними змінами від  24.07.2025 року №2303-VIIІ шляхом викладення у новій редакції</t>
  </si>
  <si>
    <t>Рішення ЮМР від 28.10.2022 року № 1121-VIІI з внесеними змінами від 24.07.2025 року № 2299-VIIІ шляхом викладення у новій редакції</t>
  </si>
  <si>
    <t>Рішення ЮМР від 14.11.2024 року № 1934-VIІI з внесеними змінами від 10.04.2025 року № 2234 -VIIІ шляхом викладення у новій редакції</t>
  </si>
  <si>
    <t>Рішення ЮМР від 24.12.2024 року № 2053-VIІI з внесеними змінами від  24.07.2025 року №  2307 -VIIІ шляхом викладення у новій редакції</t>
  </si>
  <si>
    <t xml:space="preserve">Рішення Южненської міської ради від 26.10.2023 року № 1503-VIIІ  з внесеними змінами  від 24.07.2025  року № 2292-VIII, шляхом викладення у новій редакції  </t>
  </si>
  <si>
    <t>Рішення ЮМР від 06.06.2024 року № 1729-VІІІ з внесеними змінами від 24.12.2024 року № 2010-VIIІ шляхом викладення у новій редакції</t>
  </si>
  <si>
    <t>Рішення ЮМР від 13.07.2023 року № 1401-VIІI з внесеними змінами від 24.07.2025 року № 2293-VIIІ шляхом викладення у новій редакції</t>
  </si>
  <si>
    <t xml:space="preserve">Рішення ЮМР від 14.12.2023 року № 1561-VIIІ </t>
  </si>
  <si>
    <t>Рішення ЮМР від 24.12.2024 року № 2053-VIІI з внесеними змінами від 24.07.2025 року №2307-VIIІ шляхом викладення у новій редакції</t>
  </si>
  <si>
    <t>Рішення ЮМР від 24.12.2024 року № 2053-VIІI з внесеними змінами від  24.07.2025 року № 2307-VIIІ шляхом викладення у новій редакції</t>
  </si>
  <si>
    <t xml:space="preserve">від               2025 року </t>
  </si>
  <si>
    <t>№              -VIII</t>
  </si>
  <si>
    <t>видатків місцевого бюджету за  9 місяців 2025 рік</t>
  </si>
  <si>
    <t xml:space="preserve"> №    -VIII</t>
  </si>
  <si>
    <t>від             .2025 року</t>
  </si>
  <si>
    <t>№       -VIII</t>
  </si>
  <si>
    <t>Доходи місцевого бюджету за 9 місяців 2025 року</t>
  </si>
  <si>
    <t>Виконано за              9 місяців 2025 року</t>
  </si>
  <si>
    <t>Виконано за         9 місяців 2025 року</t>
  </si>
  <si>
    <t>Виконано за      9 місяіців 2025 року</t>
  </si>
  <si>
    <t>збільшення у 2,6 разів</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</si>
  <si>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</si>
  <si>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</si>
  <si>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Міжбюджетні трансферти за 9 місяців 2025 року</t>
  </si>
  <si>
    <t>41057700</t>
  </si>
  <si>
    <t>41057900</t>
  </si>
  <si>
    <t>збільшення у 2,7 разів</t>
  </si>
  <si>
    <t>від   _________ 2025 року</t>
  </si>
  <si>
    <t>від          2025 року</t>
  </si>
  <si>
    <t>№             -VIII</t>
  </si>
  <si>
    <t>від           2025 року</t>
  </si>
  <si>
    <t>від                          2025 року</t>
  </si>
  <si>
    <t>від              2025 року</t>
  </si>
  <si>
    <t xml:space="preserve">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</si>
</sst>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0;\-#,##0;#,&quot;-&quot;"/>
    <numFmt numFmtId="166" formatCode="_-* #,##0.00\ _г_р_н_._-;\-* #,##0.00\ _г_р_н_._-;_-* &quot;-&quot;??\ _г_р_н_._-;_-@_-"/>
    <numFmt numFmtId="167" formatCode="_-* #,##0\ _г_р_н_._-;\-* #,##0\ _г_р_н_._-;_-* &quot;-&quot;??\ _г_р_н_._-;_-@_-"/>
    <numFmt numFmtId="168" formatCode="0.0%"/>
    <numFmt numFmtId="169" formatCode="_-* #,##0.00\ &quot;грн.&quot;_-;\-* #,##0.00\ &quot;грн.&quot;_-;_-* &quot;-&quot;??\ &quot;грн.&quot;_-;_-@_-"/>
    <numFmt numFmtId="170" formatCode="#,##0.0"/>
    <numFmt numFmtId="171" formatCode="_-* #,##0.0\ _₽_-;\-* #,##0.0\ _₽_-;_-* &quot;-&quot;?\ _₽_-;_-@_-"/>
    <numFmt numFmtId="172" formatCode="_-* #,##0_р_._-;\-* #,##0_р_._-;_-* &quot;-&quot;??_р_._-;_-@_-"/>
    <numFmt numFmtId="173" formatCode="#,##0.00_ ;\-#,##0.00\ "/>
    <numFmt numFmtId="174" formatCode="#,##0_ ;\-#,##0\ "/>
    <numFmt numFmtId="175" formatCode="0.0"/>
    <numFmt numFmtId="176" formatCode="#,##0.00;\-#,##0.00;#.00,&quot;-&quot;"/>
    <numFmt numFmtId="177" formatCode="#,##0.0_ ;\-#,##0.0\ "/>
    <numFmt numFmtId="178" formatCode="#,##0.0;\-#,##0.0;#.0,&quot;-&quot;"/>
  </numFmts>
  <fonts count="5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rgb="FF000000"/>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b/>
      <sz val="14"/>
      <color rgb="FF000000"/>
      <name val="Times New Roman"/>
      <family val="1"/>
      <charset val="204"/>
    </font>
    <font>
      <i/>
      <sz val="14"/>
      <color rgb="FF000000"/>
      <name val="Times New Roman"/>
      <family val="1"/>
      <charset val="204"/>
    </font>
    <font>
      <sz val="11"/>
      <name val="Arial"/>
      <family val="2"/>
      <charset val="204"/>
    </font>
    <font>
      <b/>
      <sz val="10"/>
      <name val="Arial Cyr"/>
      <charset val="204"/>
    </font>
    <font>
      <sz val="10"/>
      <color theme="0"/>
      <name val="Calibri"/>
      <family val="2"/>
      <charset val="204"/>
      <scheme val="minor"/>
    </font>
    <font>
      <sz val="14"/>
      <color rgb="FF333333"/>
      <name val="Times New Roman"/>
      <family val="1"/>
      <charset val="204"/>
    </font>
    <font>
      <sz val="11.5"/>
      <color theme="1"/>
      <name val="Times New Roman"/>
      <family val="1"/>
      <charset val="204"/>
    </font>
    <font>
      <sz val="9"/>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166"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69" fontId="10" fillId="0" borderId="0" applyFont="0" applyFill="0" applyBorder="0" applyAlignment="0" applyProtection="0"/>
    <xf numFmtId="164" fontId="11" fillId="0" borderId="0" applyFont="0" applyFill="0" applyBorder="0" applyAlignment="0" applyProtection="0"/>
  </cellStyleXfs>
  <cellXfs count="1367">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165"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165" fontId="6" fillId="2" borderId="15" xfId="0" applyNumberFormat="1" applyFont="1" applyFill="1" applyBorder="1" applyAlignment="1">
      <alignment horizontal="right" vertical="center"/>
    </xf>
    <xf numFmtId="165" fontId="5" fillId="0" borderId="1" xfId="0" applyNumberFormat="1" applyFont="1" applyBorder="1" applyAlignment="1">
      <alignment horizontal="right" vertical="center"/>
    </xf>
    <xf numFmtId="165" fontId="5" fillId="2" borderId="12" xfId="0" applyNumberFormat="1" applyFont="1" applyFill="1" applyBorder="1" applyAlignment="1">
      <alignment horizontal="right" vertical="center"/>
    </xf>
    <xf numFmtId="165" fontId="8" fillId="2" borderId="18"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7" fillId="2" borderId="1"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lignment vertical="center"/>
    </xf>
    <xf numFmtId="165" fontId="8" fillId="2" borderId="18" xfId="0" applyNumberFormat="1" applyFont="1" applyFill="1" applyBorder="1" applyAlignment="1">
      <alignment vertical="center"/>
    </xf>
    <xf numFmtId="165"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5"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5" fontId="6" fillId="2" borderId="15" xfId="0" applyNumberFormat="1" applyFont="1" applyFill="1" applyBorder="1" applyAlignment="1">
      <alignment vertical="center"/>
    </xf>
    <xf numFmtId="165"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15" xfId="0" applyNumberFormat="1" applyFont="1" applyBorder="1" applyAlignment="1">
      <alignment horizontal="center" vertical="center" wrapText="1"/>
    </xf>
    <xf numFmtId="0" fontId="13" fillId="0" borderId="0" xfId="0" applyFont="1"/>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xf>
    <xf numFmtId="0" fontId="25" fillId="0" borderId="1" xfId="0" applyFont="1" applyBorder="1" applyAlignment="1">
      <alignment vertical="center" wrapText="1"/>
    </xf>
    <xf numFmtId="0" fontId="25" fillId="3" borderId="1"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7" fontId="25" fillId="0" borderId="1" xfId="1" applyNumberFormat="1" applyFont="1" applyFill="1" applyBorder="1" applyAlignment="1">
      <alignment horizontal="right" vertical="center" wrapText="1"/>
    </xf>
    <xf numFmtId="9" fontId="2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49" fontId="20" fillId="3" borderId="18" xfId="0" applyNumberFormat="1" applyFont="1" applyFill="1" applyBorder="1" applyAlignment="1">
      <alignment horizontal="center" vertical="center" wrapText="1"/>
    </xf>
    <xf numFmtId="9" fontId="20" fillId="3" borderId="19" xfId="0" applyNumberFormat="1" applyFont="1" applyFill="1" applyBorder="1" applyAlignment="1">
      <alignment horizontal="right" vertical="center" wrapText="1"/>
    </xf>
    <xf numFmtId="3" fontId="24" fillId="0" borderId="1" xfId="0" applyNumberFormat="1" applyFont="1" applyBorder="1" applyAlignment="1">
      <alignment vertical="center"/>
    </xf>
    <xf numFmtId="3" fontId="25" fillId="0" borderId="1" xfId="0" applyNumberFormat="1" applyFont="1" applyBorder="1" applyAlignment="1">
      <alignment vertical="center"/>
    </xf>
    <xf numFmtId="0" fontId="24" fillId="0" borderId="1" xfId="0" applyFont="1" applyBorder="1" applyAlignment="1">
      <alignment vertical="center" wrapText="1"/>
    </xf>
    <xf numFmtId="3" fontId="24" fillId="0" borderId="1" xfId="0" applyNumberFormat="1" applyFont="1" applyBorder="1" applyAlignment="1">
      <alignment horizontal="right" vertical="center"/>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7" fontId="19" fillId="0" borderId="0" xfId="0" applyNumberFormat="1" applyFont="1"/>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167" fontId="20" fillId="3" borderId="0" xfId="1" applyNumberFormat="1" applyFont="1" applyFill="1" applyBorder="1" applyAlignment="1">
      <alignment horizontal="right" vertical="center" wrapText="1"/>
    </xf>
    <xf numFmtId="9" fontId="20" fillId="3" borderId="0" xfId="0" applyNumberFormat="1" applyFont="1" applyFill="1" applyAlignment="1">
      <alignment horizontal="center" vertical="center" wrapText="1"/>
    </xf>
    <xf numFmtId="0" fontId="29" fillId="0" borderId="0" xfId="0" applyFont="1" applyAlignment="1">
      <alignment vertical="center"/>
    </xf>
    <xf numFmtId="0" fontId="25"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30" fillId="0" borderId="0" xfId="0" applyFont="1"/>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19" fillId="0" borderId="0" xfId="0" applyFont="1" applyAlignment="1">
      <alignment horizontal="right" vertical="center"/>
    </xf>
    <xf numFmtId="0" fontId="7" fillId="2" borderId="0" xfId="0" applyFont="1" applyFill="1" applyAlignment="1">
      <alignment vertical="center"/>
    </xf>
    <xf numFmtId="9" fontId="24"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right" vertical="center" wrapText="1"/>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5" fontId="6" fillId="2" borderId="1" xfId="0" applyNumberFormat="1" applyFont="1" applyFill="1" applyBorder="1" applyAlignment="1">
      <alignment horizontal="right" vertical="center"/>
    </xf>
    <xf numFmtId="165" fontId="0" fillId="0" borderId="0" xfId="0" applyNumberFormat="1"/>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5" fillId="2" borderId="9" xfId="0" applyNumberFormat="1" applyFont="1" applyFill="1" applyBorder="1" applyAlignment="1">
      <alignment vertical="center"/>
    </xf>
    <xf numFmtId="165" fontId="5" fillId="2" borderId="1" xfId="0" applyNumberFormat="1" applyFont="1" applyFill="1" applyBorder="1" applyAlignment="1">
      <alignment vertical="center" wrapText="1"/>
    </xf>
    <xf numFmtId="0" fontId="0" fillId="0" borderId="0" xfId="0" applyAlignment="1">
      <alignment horizontal="left"/>
    </xf>
    <xf numFmtId="165" fontId="5" fillId="2" borderId="11" xfId="0" applyNumberFormat="1" applyFont="1" applyFill="1" applyBorder="1" applyAlignment="1">
      <alignment vertical="center"/>
    </xf>
    <xf numFmtId="165" fontId="5" fillId="2" borderId="12" xfId="0" applyNumberFormat="1" applyFont="1" applyFill="1" applyBorder="1" applyAlignment="1">
      <alignment vertical="center" wrapText="1"/>
    </xf>
    <xf numFmtId="165" fontId="6" fillId="2" borderId="14" xfId="0" applyNumberFormat="1" applyFont="1" applyFill="1" applyBorder="1" applyAlignment="1">
      <alignment horizontal="center"/>
    </xf>
    <xf numFmtId="165" fontId="6" fillId="2" borderId="15" xfId="0" applyNumberFormat="1" applyFont="1" applyFill="1" applyBorder="1"/>
    <xf numFmtId="165" fontId="6" fillId="2" borderId="15" xfId="0" applyNumberFormat="1" applyFont="1" applyFill="1" applyBorder="1" applyAlignment="1">
      <alignment horizontal="right"/>
    </xf>
    <xf numFmtId="165" fontId="35" fillId="2" borderId="16" xfId="0" applyNumberFormat="1" applyFont="1" applyFill="1" applyBorder="1" applyAlignment="1">
      <alignment horizontal="right"/>
    </xf>
    <xf numFmtId="0" fontId="7" fillId="0" borderId="0" xfId="0" applyFont="1" applyAlignment="1">
      <alignment vertical="top"/>
    </xf>
    <xf numFmtId="0" fontId="37" fillId="0" borderId="0" xfId="0" applyFont="1" applyAlignment="1">
      <alignment horizontal="left" vertical="center"/>
    </xf>
    <xf numFmtId="0" fontId="7" fillId="0" borderId="0" xfId="0" applyFont="1" applyAlignment="1">
      <alignment horizontal="left" vertical="center" wrapText="1"/>
    </xf>
    <xf numFmtId="3" fontId="37" fillId="0" borderId="0" xfId="0" applyNumberFormat="1" applyFont="1" applyAlignment="1">
      <alignment horizontal="left" vertical="center"/>
    </xf>
    <xf numFmtId="2" fontId="7" fillId="0" borderId="0" xfId="0" applyNumberFormat="1" applyFont="1" applyAlignment="1">
      <alignment horizontal="left" vertical="center"/>
    </xf>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9"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6" fillId="0" borderId="1" xfId="0" applyFont="1" applyBorder="1" applyAlignment="1">
      <alignment horizontal="center"/>
    </xf>
    <xf numFmtId="0" fontId="6" fillId="0" borderId="1" xfId="0" applyFont="1" applyBorder="1" applyAlignment="1">
      <alignment horizontal="left"/>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7" fillId="0" borderId="0" xfId="0" applyFont="1" applyAlignment="1">
      <alignment horizontal="left"/>
    </xf>
    <xf numFmtId="0" fontId="13" fillId="0" borderId="0" xfId="0" applyFont="1" applyAlignment="1">
      <alignment horizontal="left" wrapText="1"/>
    </xf>
    <xf numFmtId="3" fontId="27" fillId="0" borderId="0" xfId="0" applyNumberFormat="1" applyFont="1" applyAlignment="1">
      <alignment horizontal="left"/>
    </xf>
    <xf numFmtId="2" fontId="13" fillId="0" borderId="0" xfId="0" applyNumberFormat="1" applyFont="1" applyAlignment="1">
      <alignment horizontal="left"/>
    </xf>
    <xf numFmtId="0" fontId="33" fillId="0" borderId="0" xfId="0" applyFont="1"/>
    <xf numFmtId="0" fontId="34" fillId="0" borderId="0" xfId="0" applyFont="1"/>
    <xf numFmtId="0" fontId="40" fillId="0" borderId="0" xfId="0" applyFont="1"/>
    <xf numFmtId="49" fontId="7" fillId="0" borderId="0" xfId="0" applyNumberFormat="1" applyFont="1"/>
    <xf numFmtId="0" fontId="7" fillId="2" borderId="0" xfId="0" applyFont="1" applyFill="1"/>
    <xf numFmtId="0" fontId="41"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7" fillId="0" borderId="14" xfId="0" applyFont="1" applyBorder="1" applyAlignment="1">
      <alignment horizontal="center" vertical="center"/>
    </xf>
    <xf numFmtId="49" fontId="37" fillId="3" borderId="32" xfId="0" applyNumberFormat="1" applyFont="1" applyFill="1" applyBorder="1" applyAlignment="1">
      <alignment horizontal="center" vertical="center" wrapText="1"/>
    </xf>
    <xf numFmtId="49" fontId="37" fillId="0" borderId="32" xfId="0" applyNumberFormat="1" applyFont="1" applyBorder="1" applyAlignment="1">
      <alignment horizontal="center" vertical="center"/>
    </xf>
    <xf numFmtId="0" fontId="37" fillId="0" borderId="1" xfId="0" applyFont="1" applyBorder="1" applyAlignment="1">
      <alignment horizontal="left" vertical="center" wrapText="1"/>
    </xf>
    <xf numFmtId="0" fontId="42"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2" fillId="0" borderId="0" xfId="0" applyFont="1" applyAlignment="1">
      <alignment horizontal="center" vertical="center" wrapText="1"/>
    </xf>
    <xf numFmtId="0" fontId="27" fillId="0" borderId="0" xfId="0" applyFont="1" applyAlignment="1">
      <alignment horizontal="center" vertical="center" wrapText="1"/>
    </xf>
    <xf numFmtId="3" fontId="13" fillId="0" borderId="0" xfId="0" applyNumberFormat="1" applyFont="1" applyAlignment="1">
      <alignment horizontal="center" vertical="center" wrapText="1"/>
    </xf>
    <xf numFmtId="165" fontId="6" fillId="2" borderId="3" xfId="0" applyNumberFormat="1" applyFont="1" applyFill="1" applyBorder="1" applyAlignment="1">
      <alignment horizontal="right" vertical="center"/>
    </xf>
    <xf numFmtId="165" fontId="5" fillId="2" borderId="3" xfId="0" applyNumberFormat="1" applyFont="1" applyFill="1" applyBorder="1" applyAlignment="1">
      <alignment horizontal="right" vertical="center"/>
    </xf>
    <xf numFmtId="165" fontId="8" fillId="2" borderId="3" xfId="0" applyNumberFormat="1" applyFont="1" applyFill="1" applyBorder="1" applyAlignment="1">
      <alignment horizontal="right" vertical="center"/>
    </xf>
    <xf numFmtId="165" fontId="35" fillId="2" borderId="3" xfId="0" applyNumberFormat="1" applyFont="1" applyFill="1" applyBorder="1" applyAlignment="1">
      <alignment horizontal="right" vertical="center"/>
    </xf>
    <xf numFmtId="165" fontId="5" fillId="2" borderId="44" xfId="0" applyNumberFormat="1" applyFont="1" applyFill="1" applyBorder="1" applyAlignment="1">
      <alignment horizontal="right" vertical="center"/>
    </xf>
    <xf numFmtId="165" fontId="35" fillId="2" borderId="50" xfId="0" applyNumberFormat="1" applyFont="1" applyFill="1" applyBorder="1" applyAlignment="1">
      <alignment horizontal="right"/>
    </xf>
    <xf numFmtId="165" fontId="8" fillId="2" borderId="1" xfId="0" applyNumberFormat="1" applyFont="1" applyFill="1" applyBorder="1" applyAlignment="1">
      <alignment horizontal="right" vertical="center"/>
    </xf>
    <xf numFmtId="165"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165" fontId="6" fillId="2" borderId="15" xfId="0" applyNumberFormat="1" applyFont="1" applyFill="1" applyBorder="1" applyAlignment="1">
      <alignment horizontal="right" vertical="center" wrapText="1"/>
    </xf>
    <xf numFmtId="165" fontId="6" fillId="2" borderId="50" xfId="0" applyNumberFormat="1" applyFont="1" applyFill="1" applyBorder="1" applyAlignment="1">
      <alignment horizontal="right" vertical="center"/>
    </xf>
    <xf numFmtId="165" fontId="8" fillId="2" borderId="49" xfId="0" applyNumberFormat="1" applyFont="1" applyFill="1" applyBorder="1" applyAlignment="1">
      <alignment horizontal="right" vertical="center"/>
    </xf>
    <xf numFmtId="168" fontId="5" fillId="2" borderId="15" xfId="0" applyNumberFormat="1" applyFont="1" applyFill="1" applyBorder="1" applyAlignment="1">
      <alignment horizontal="center" vertical="center" wrapText="1"/>
    </xf>
    <xf numFmtId="168" fontId="5" fillId="2" borderId="18" xfId="0"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168" fontId="5" fillId="2" borderId="12" xfId="0" applyNumberFormat="1" applyFont="1" applyFill="1" applyBorder="1" applyAlignment="1">
      <alignment horizontal="center" vertical="center" wrapText="1"/>
    </xf>
    <xf numFmtId="165" fontId="8" fillId="2" borderId="1" xfId="0" applyNumberFormat="1" applyFont="1" applyFill="1" applyBorder="1" applyAlignment="1">
      <alignment horizontal="right" vertical="center" wrapText="1"/>
    </xf>
    <xf numFmtId="165" fontId="5" fillId="2" borderId="1" xfId="0" applyNumberFormat="1" applyFont="1" applyFill="1" applyBorder="1" applyAlignment="1">
      <alignment horizontal="right" vertical="center" wrapText="1"/>
    </xf>
    <xf numFmtId="165" fontId="8" fillId="2" borderId="12" xfId="0" applyNumberFormat="1" applyFont="1" applyFill="1" applyBorder="1" applyAlignment="1">
      <alignment horizontal="right" vertical="center" wrapText="1"/>
    </xf>
    <xf numFmtId="165" fontId="5" fillId="2" borderId="18" xfId="0" applyNumberFormat="1" applyFont="1" applyFill="1" applyBorder="1" applyAlignment="1">
      <alignment horizontal="right" vertical="center" wrapText="1"/>
    </xf>
    <xf numFmtId="168" fontId="5" fillId="2" borderId="16"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5" fillId="2" borderId="0" xfId="0" applyFont="1" applyFill="1" applyAlignment="1">
      <alignment horizontal="center" vertical="center"/>
    </xf>
    <xf numFmtId="0" fontId="45" fillId="2" borderId="0" xfId="0" applyFont="1" applyFill="1"/>
    <xf numFmtId="0" fontId="45" fillId="2" borderId="0" xfId="0" applyFont="1" applyFill="1" applyAlignment="1">
      <alignment horizontal="right"/>
    </xf>
    <xf numFmtId="4" fontId="45" fillId="2" borderId="0" xfId="0" applyNumberFormat="1" applyFont="1" applyFill="1"/>
    <xf numFmtId="4" fontId="45"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0" fontId="41" fillId="0" borderId="0" xfId="0" applyFont="1" applyAlignment="1">
      <alignment horizontal="center"/>
    </xf>
    <xf numFmtId="0" fontId="7" fillId="0" borderId="1" xfId="0" applyFont="1" applyBorder="1" applyAlignment="1">
      <alignment horizontal="right"/>
    </xf>
    <xf numFmtId="3" fontId="37" fillId="0" borderId="50" xfId="0" applyNumberFormat="1" applyFont="1" applyBorder="1" applyAlignment="1">
      <alignment horizontal="right" wrapText="1"/>
    </xf>
    <xf numFmtId="3" fontId="7" fillId="0" borderId="3" xfId="0" applyNumberFormat="1" applyFont="1" applyBorder="1" applyAlignment="1">
      <alignment horizontal="right" wrapText="1"/>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0" fontId="7" fillId="0" borderId="18" xfId="0" applyFont="1" applyBorder="1" applyAlignment="1">
      <alignment horizontal="right"/>
    </xf>
    <xf numFmtId="0" fontId="15" fillId="0" borderId="15" xfId="0" applyFont="1" applyBorder="1" applyAlignment="1">
      <alignment vertical="center" wrapText="1"/>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0" fontId="7" fillId="2" borderId="2" xfId="3" applyFont="1" applyFill="1" applyBorder="1" applyAlignment="1">
      <alignment vertical="center"/>
    </xf>
    <xf numFmtId="0" fontId="7" fillId="0" borderId="4" xfId="3" applyFont="1" applyBorder="1" applyAlignment="1">
      <alignment horizontal="center" vertical="center"/>
    </xf>
    <xf numFmtId="0" fontId="38" fillId="0" borderId="0" xfId="3" applyFont="1" applyAlignment="1">
      <alignment vertical="center"/>
    </xf>
    <xf numFmtId="0" fontId="38"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2"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6"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52"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0" fontId="20" fillId="3" borderId="1" xfId="0" applyFont="1" applyFill="1" applyBorder="1" applyAlignment="1">
      <alignment horizontal="right" vertical="center" wrapText="1"/>
    </xf>
    <xf numFmtId="0" fontId="3" fillId="2" borderId="1" xfId="0" applyFont="1" applyFill="1" applyBorder="1" applyAlignment="1">
      <alignment vertical="center" wrapText="1"/>
    </xf>
    <xf numFmtId="9" fontId="20" fillId="3" borderId="10" xfId="0" applyNumberFormat="1" applyFont="1" applyFill="1" applyBorder="1" applyAlignment="1">
      <alignment horizontal="righ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3" fontId="6" fillId="2" borderId="1" xfId="0" applyNumberFormat="1" applyFont="1" applyFill="1" applyBorder="1" applyAlignment="1">
      <alignment horizontal="right" vertical="center"/>
    </xf>
    <xf numFmtId="3" fontId="5" fillId="0" borderId="1" xfId="0" applyNumberFormat="1" applyFont="1" applyBorder="1" applyAlignment="1">
      <alignment horizontal="right" vertical="center"/>
    </xf>
    <xf numFmtId="0" fontId="6" fillId="0" borderId="14" xfId="0" applyFont="1" applyBorder="1" applyAlignment="1">
      <alignment vertical="center" wrapText="1"/>
    </xf>
    <xf numFmtId="0" fontId="35" fillId="0" borderId="14" xfId="0" applyFont="1" applyBorder="1" applyAlignment="1">
      <alignment vertical="center" wrapText="1"/>
    </xf>
    <xf numFmtId="3" fontId="5" fillId="0" borderId="12" xfId="0" applyNumberFormat="1" applyFont="1" applyBorder="1" applyAlignment="1">
      <alignment horizontal="right" vertical="center"/>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0" fontId="5" fillId="0" borderId="13" xfId="0" applyFont="1" applyBorder="1" applyAlignment="1">
      <alignment horizontal="center" vertical="center" wrapText="1"/>
    </xf>
    <xf numFmtId="0" fontId="35" fillId="0" borderId="17" xfId="0" applyFont="1" applyBorder="1" applyAlignment="1">
      <alignment vertical="center" wrapText="1"/>
    </xf>
    <xf numFmtId="0" fontId="5" fillId="0" borderId="9" xfId="0" applyFont="1" applyBorder="1" applyAlignment="1">
      <alignment vertical="center" wrapText="1"/>
    </xf>
    <xf numFmtId="0" fontId="35" fillId="0" borderId="9" xfId="0" applyFont="1" applyBorder="1" applyAlignment="1">
      <alignment horizontal="left" vertical="center" wrapText="1"/>
    </xf>
    <xf numFmtId="0" fontId="35" fillId="0" borderId="9"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horizontal="left" vertical="center" wrapText="1"/>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16" xfId="0" applyFont="1" applyBorder="1" applyAlignment="1">
      <alignment vertical="center" wrapText="1"/>
    </xf>
    <xf numFmtId="0" fontId="35" fillId="0" borderId="19" xfId="0" applyFont="1" applyBorder="1" applyAlignment="1">
      <alignment vertical="center" wrapText="1"/>
    </xf>
    <xf numFmtId="0" fontId="5" fillId="0" borderId="10" xfId="0" applyFont="1" applyBorder="1" applyAlignment="1">
      <alignment vertical="center" wrapText="1"/>
    </xf>
    <xf numFmtId="0" fontId="35"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5"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3" fontId="5" fillId="0" borderId="56"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165" fontId="6" fillId="0" borderId="3" xfId="0" applyNumberFormat="1" applyFont="1" applyBorder="1" applyAlignment="1">
      <alignment horizontal="center"/>
    </xf>
    <xf numFmtId="0" fontId="0" fillId="0" borderId="1" xfId="0" applyBorder="1"/>
    <xf numFmtId="0" fontId="6" fillId="0" borderId="39" xfId="0" applyFont="1" applyBorder="1" applyAlignment="1">
      <alignment horizontal="center" vertical="center"/>
    </xf>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 fillId="0" borderId="59" xfId="0" applyFont="1" applyBorder="1" applyAlignment="1">
      <alignment horizontal="center" vertical="top" wrapText="1"/>
    </xf>
    <xf numFmtId="3" fontId="5" fillId="0" borderId="1" xfId="0" applyNumberFormat="1" applyFont="1" applyBorder="1" applyAlignment="1">
      <alignment horizontal="center"/>
    </xf>
    <xf numFmtId="3" fontId="6" fillId="0" borderId="56"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0" fontId="6" fillId="0" borderId="61"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0" fontId="5" fillId="0" borderId="10" xfId="0" applyNumberFormat="1" applyFont="1" applyBorder="1" applyAlignment="1">
      <alignment horizontal="center"/>
    </xf>
    <xf numFmtId="0" fontId="7" fillId="0" borderId="0" xfId="0" applyFont="1" applyAlignment="1">
      <alignment vertical="center" wrapText="1"/>
    </xf>
    <xf numFmtId="0" fontId="31" fillId="0" borderId="0" xfId="0" applyFont="1"/>
    <xf numFmtId="0" fontId="7" fillId="2" borderId="0" xfId="0" applyFont="1" applyFill="1" applyAlignment="1">
      <alignment horizontal="left" vertical="center"/>
    </xf>
    <xf numFmtId="0" fontId="31" fillId="2" borderId="0" xfId="0" applyFont="1" applyFill="1"/>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53" fillId="0" borderId="0" xfId="0" applyFont="1"/>
    <xf numFmtId="165" fontId="6" fillId="2" borderId="12" xfId="0" applyNumberFormat="1" applyFont="1" applyFill="1" applyBorder="1" applyAlignment="1">
      <alignment horizontal="right" vertical="center"/>
    </xf>
    <xf numFmtId="165" fontId="8" fillId="2" borderId="44" xfId="0" applyNumberFormat="1" applyFont="1" applyFill="1" applyBorder="1" applyAlignment="1">
      <alignment horizontal="right" vertical="center"/>
    </xf>
    <xf numFmtId="165" fontId="8" fillId="2" borderId="12" xfId="0" applyNumberFormat="1" applyFont="1" applyFill="1" applyBorder="1" applyAlignment="1">
      <alignment horizontal="right" vertical="center"/>
    </xf>
    <xf numFmtId="165" fontId="5" fillId="2" borderId="18" xfId="0" applyNumberFormat="1" applyFont="1" applyFill="1" applyBorder="1" applyAlignment="1">
      <alignment horizontal="left"/>
    </xf>
    <xf numFmtId="0" fontId="14" fillId="0" borderId="21" xfId="3" applyFont="1" applyBorder="1" applyAlignment="1">
      <alignment horizontal="center" vertical="center" textRotation="90" wrapText="1"/>
    </xf>
    <xf numFmtId="0" fontId="5" fillId="2" borderId="19" xfId="0" applyFont="1" applyFill="1" applyBorder="1" applyAlignment="1">
      <alignment horizontal="left"/>
    </xf>
    <xf numFmtId="165" fontId="6" fillId="2" borderId="10" xfId="0" applyNumberFormat="1" applyFont="1" applyFill="1" applyBorder="1" applyAlignment="1">
      <alignment horizontal="right" vertical="center"/>
    </xf>
    <xf numFmtId="165" fontId="5" fillId="2" borderId="10" xfId="0" applyNumberFormat="1" applyFont="1" applyFill="1" applyBorder="1" applyAlignment="1">
      <alignment horizontal="right" vertical="center"/>
    </xf>
    <xf numFmtId="165" fontId="8" fillId="2" borderId="10" xfId="0" applyNumberFormat="1" applyFont="1" applyFill="1" applyBorder="1" applyAlignment="1">
      <alignment horizontal="right" vertical="center"/>
    </xf>
    <xf numFmtId="165" fontId="8" fillId="2" borderId="13" xfId="0" applyNumberFormat="1" applyFont="1" applyFill="1" applyBorder="1" applyAlignment="1">
      <alignment horizontal="right" vertical="center"/>
    </xf>
    <xf numFmtId="165" fontId="5" fillId="2" borderId="19" xfId="0" applyNumberFormat="1" applyFont="1" applyFill="1" applyBorder="1" applyAlignment="1">
      <alignment horizontal="left"/>
    </xf>
    <xf numFmtId="165" fontId="35" fillId="2" borderId="10" xfId="0" applyNumberFormat="1" applyFont="1" applyFill="1" applyBorder="1" applyAlignment="1">
      <alignment horizontal="right" vertical="center"/>
    </xf>
    <xf numFmtId="165" fontId="5" fillId="2" borderId="13" xfId="0" applyNumberFormat="1" applyFont="1" applyFill="1" applyBorder="1" applyAlignment="1">
      <alignment horizontal="right" vertical="center"/>
    </xf>
    <xf numFmtId="0" fontId="27" fillId="2" borderId="1" xfId="3" applyFont="1" applyFill="1" applyBorder="1" applyAlignment="1">
      <alignment vertical="center" wrapText="1"/>
    </xf>
    <xf numFmtId="0" fontId="7" fillId="2" borderId="1" xfId="3" applyFont="1" applyFill="1" applyBorder="1" applyAlignment="1">
      <alignment vertical="center" wrapText="1"/>
    </xf>
    <xf numFmtId="0" fontId="27" fillId="2" borderId="12" xfId="3" applyFont="1" applyFill="1" applyBorder="1" applyAlignment="1">
      <alignment vertical="center" wrapText="1"/>
    </xf>
    <xf numFmtId="0" fontId="7" fillId="2" borderId="12" xfId="3"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8" fontId="5" fillId="2" borderId="19" xfId="0" applyNumberFormat="1" applyFont="1" applyFill="1" applyBorder="1" applyAlignment="1">
      <alignment horizontal="center" vertical="center" wrapText="1"/>
    </xf>
    <xf numFmtId="168" fontId="5" fillId="2" borderId="10" xfId="0" applyNumberFormat="1" applyFont="1" applyFill="1" applyBorder="1" applyAlignment="1">
      <alignment horizontal="center" vertical="center" wrapText="1"/>
    </xf>
    <xf numFmtId="168" fontId="5" fillId="2" borderId="13" xfId="0" applyNumberFormat="1" applyFont="1" applyFill="1" applyBorder="1" applyAlignment="1">
      <alignment horizontal="center" vertical="center" wrapText="1"/>
    </xf>
    <xf numFmtId="168" fontId="5" fillId="2" borderId="28"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7" fillId="0" borderId="59"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1" fontId="7" fillId="0" borderId="63"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20" fillId="0" borderId="59"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32" xfId="0" applyNumberFormat="1" applyFont="1" applyBorder="1" applyAlignment="1">
      <alignment horizontal="center" vertical="center"/>
    </xf>
    <xf numFmtId="3" fontId="20" fillId="3" borderId="15" xfId="0" applyNumberFormat="1" applyFont="1" applyFill="1" applyBorder="1" applyAlignment="1">
      <alignment horizontal="right" vertical="center" wrapText="1"/>
    </xf>
    <xf numFmtId="3" fontId="20" fillId="3" borderId="32" xfId="0" applyNumberFormat="1" applyFont="1" applyFill="1" applyBorder="1" applyAlignment="1">
      <alignment horizontal="right" vertical="center" wrapText="1"/>
    </xf>
    <xf numFmtId="167" fontId="20" fillId="2" borderId="32"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33" xfId="0" applyNumberFormat="1" applyFont="1" applyFill="1" applyBorder="1" applyAlignment="1">
      <alignment horizontal="right" vertical="center" wrapText="1"/>
    </xf>
    <xf numFmtId="167" fontId="24" fillId="0" borderId="33"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5" fillId="2" borderId="9" xfId="0" applyNumberFormat="1" applyFont="1" applyFill="1" applyBorder="1" applyAlignment="1">
      <alignment horizontal="center" vertical="center"/>
    </xf>
    <xf numFmtId="49" fontId="25" fillId="2" borderId="1" xfId="0" applyNumberFormat="1" applyFont="1" applyFill="1" applyBorder="1" applyAlignment="1">
      <alignment horizontal="center" vertical="center"/>
    </xf>
    <xf numFmtId="0" fontId="41"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167" fontId="25" fillId="0" borderId="3" xfId="1" applyNumberFormat="1" applyFont="1" applyFill="1" applyBorder="1" applyAlignment="1">
      <alignment horizontal="right" vertical="center" wrapText="1"/>
    </xf>
    <xf numFmtId="0" fontId="34" fillId="2" borderId="1" xfId="0" quotePrefix="1" applyFont="1" applyFill="1" applyBorder="1" applyAlignment="1">
      <alignment horizontal="center" vertical="center" wrapText="1"/>
    </xf>
    <xf numFmtId="167" fontId="20" fillId="0" borderId="15" xfId="1" applyNumberFormat="1" applyFont="1" applyFill="1" applyBorder="1" applyAlignment="1">
      <alignment horizontal="right" vertical="center" wrapText="1"/>
    </xf>
    <xf numFmtId="0" fontId="26" fillId="2" borderId="18" xfId="0" applyFont="1" applyFill="1" applyBorder="1" applyAlignment="1">
      <alignment horizontal="center" vertical="center" wrapText="1"/>
    </xf>
    <xf numFmtId="0" fontId="48" fillId="2" borderId="18" xfId="0" quotePrefix="1" applyFont="1" applyFill="1" applyBorder="1" applyAlignment="1">
      <alignment vertical="center" wrapText="1"/>
    </xf>
    <xf numFmtId="0" fontId="20" fillId="3" borderId="18" xfId="0" applyFont="1" applyFill="1" applyBorder="1" applyAlignment="1">
      <alignment horizontal="left" vertical="center" wrapText="1"/>
    </xf>
    <xf numFmtId="49" fontId="20" fillId="0" borderId="18" xfId="0" applyNumberFormat="1" applyFont="1" applyBorder="1" applyAlignment="1">
      <alignment horizontal="center" vertical="center" wrapText="1"/>
    </xf>
    <xf numFmtId="167" fontId="24" fillId="0" borderId="18" xfId="1" applyNumberFormat="1" applyFont="1" applyFill="1" applyBorder="1" applyAlignment="1">
      <alignment horizontal="right" vertical="center" wrapText="1"/>
    </xf>
    <xf numFmtId="3" fontId="25" fillId="0" borderId="12" xfId="0" applyNumberFormat="1" applyFont="1" applyBorder="1" applyAlignment="1">
      <alignment horizontal="right" vertical="center" wrapText="1"/>
    </xf>
    <xf numFmtId="167" fontId="25" fillId="0" borderId="12" xfId="1" applyNumberFormat="1" applyFont="1" applyFill="1" applyBorder="1" applyAlignment="1">
      <alignment horizontal="right" vertical="center" wrapText="1"/>
    </xf>
    <xf numFmtId="167" fontId="25" fillId="0" borderId="44" xfId="1" applyNumberFormat="1" applyFont="1" applyFill="1" applyBorder="1" applyAlignment="1">
      <alignment horizontal="right" vertical="center" wrapText="1"/>
    </xf>
    <xf numFmtId="9" fontId="25" fillId="0" borderId="13" xfId="0" applyNumberFormat="1" applyFont="1" applyBorder="1" applyAlignment="1">
      <alignment horizontal="right" vertical="center" wrapText="1"/>
    </xf>
    <xf numFmtId="49" fontId="3" fillId="2" borderId="27" xfId="0" applyNumberFormat="1" applyFont="1" applyFill="1" applyBorder="1" applyAlignment="1">
      <alignment horizontal="center" vertical="center" wrapText="1"/>
    </xf>
    <xf numFmtId="0" fontId="34" fillId="2" borderId="12" xfId="0" quotePrefix="1" applyFont="1" applyFill="1" applyBorder="1" applyAlignment="1">
      <alignment horizontal="center" vertical="center" wrapText="1"/>
    </xf>
    <xf numFmtId="0" fontId="25" fillId="3" borderId="27" xfId="0" applyFont="1" applyFill="1" applyBorder="1" applyAlignment="1">
      <alignment horizontal="left" vertical="center" wrapText="1"/>
    </xf>
    <xf numFmtId="3" fontId="25" fillId="0" borderId="27" xfId="0" applyNumberFormat="1" applyFont="1" applyBorder="1" applyAlignment="1">
      <alignment horizontal="right" vertical="center" wrapText="1"/>
    </xf>
    <xf numFmtId="167" fontId="25" fillId="0" borderId="27" xfId="1" applyNumberFormat="1" applyFont="1" applyFill="1" applyBorder="1" applyAlignment="1">
      <alignment horizontal="right" vertical="center" wrapText="1"/>
    </xf>
    <xf numFmtId="167" fontId="25" fillId="0" borderId="53"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0" fillId="0" borderId="14" xfId="0" applyNumberFormat="1" applyFont="1" applyBorder="1" applyAlignment="1">
      <alignment horizontal="center" vertical="center"/>
    </xf>
    <xf numFmtId="49" fontId="3" fillId="2" borderId="15" xfId="0" applyNumberFormat="1" applyFont="1" applyFill="1" applyBorder="1" applyAlignment="1">
      <alignment horizontal="center"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49" fontId="24" fillId="0" borderId="18" xfId="0" applyNumberFormat="1" applyFont="1" applyBorder="1" applyAlignment="1">
      <alignment horizontal="center" vertical="center"/>
    </xf>
    <xf numFmtId="49" fontId="26" fillId="2" borderId="18" xfId="0" applyNumberFormat="1" applyFont="1" applyFill="1" applyBorder="1" applyAlignment="1">
      <alignment horizontal="center" vertical="center" wrapText="1"/>
    </xf>
    <xf numFmtId="0" fontId="24" fillId="3" borderId="18" xfId="0" applyFont="1" applyFill="1" applyBorder="1" applyAlignment="1">
      <alignment horizontal="left" vertical="center" wrapText="1"/>
    </xf>
    <xf numFmtId="49" fontId="24"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0" fontId="25" fillId="2" borderId="12" xfId="0"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6" fillId="2" borderId="17" xfId="0" applyNumberFormat="1" applyFont="1" applyFill="1" applyBorder="1" applyAlignment="1">
      <alignment horizontal="center" vertical="center" wrapText="1"/>
    </xf>
    <xf numFmtId="9" fontId="24" fillId="0" borderId="19" xfId="0" applyNumberFormat="1" applyFont="1" applyBorder="1" applyAlignment="1">
      <alignment horizontal="right" vertical="center" wrapText="1"/>
    </xf>
    <xf numFmtId="0" fontId="20" fillId="3" borderId="15" xfId="0" applyFont="1" applyFill="1" applyBorder="1" applyAlignment="1">
      <alignment horizontal="left" vertical="center"/>
    </xf>
    <xf numFmtId="0" fontId="20" fillId="3" borderId="15" xfId="0" applyFont="1" applyFill="1" applyBorder="1" applyAlignment="1">
      <alignment horizontal="right" vertical="center" wrapText="1"/>
    </xf>
    <xf numFmtId="167" fontId="20" fillId="3" borderId="15" xfId="1" applyNumberFormat="1" applyFont="1" applyFill="1" applyBorder="1" applyAlignment="1">
      <alignment horizontal="right" vertical="center" wrapText="1"/>
    </xf>
    <xf numFmtId="49" fontId="24" fillId="0" borderId="17" xfId="0" applyNumberFormat="1" applyFont="1" applyBorder="1" applyAlignment="1">
      <alignment horizontal="center" vertical="center"/>
    </xf>
    <xf numFmtId="0" fontId="20" fillId="3" borderId="18" xfId="0" applyFont="1" applyFill="1" applyBorder="1" applyAlignment="1">
      <alignment horizontal="right" vertical="center" wrapText="1"/>
    </xf>
    <xf numFmtId="167" fontId="24" fillId="3" borderId="18" xfId="1"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7" fontId="25" fillId="2" borderId="27" xfId="1" applyNumberFormat="1" applyFont="1" applyFill="1" applyBorder="1" applyAlignment="1">
      <alignment horizontal="right" vertical="center" wrapText="1"/>
    </xf>
    <xf numFmtId="167" fontId="25" fillId="2" borderId="53"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7"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20" fillId="0" borderId="18" xfId="0" applyFont="1" applyBorder="1" applyAlignment="1">
      <alignment horizontal="left"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9" fontId="25"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3" fontId="25" fillId="2" borderId="1" xfId="0" applyNumberFormat="1" applyFont="1" applyFill="1" applyBorder="1" applyAlignment="1">
      <alignment horizontal="right" vertical="center"/>
    </xf>
    <xf numFmtId="3" fontId="25" fillId="0" borderId="3" xfId="0" applyNumberFormat="1" applyFont="1" applyBorder="1" applyAlignment="1">
      <alignment horizontal="right" vertical="center"/>
    </xf>
    <xf numFmtId="9" fontId="25" fillId="0" borderId="10" xfId="0" applyNumberFormat="1" applyFont="1" applyBorder="1" applyAlignment="1">
      <alignment horizontal="center" vertical="center"/>
    </xf>
    <xf numFmtId="0" fontId="13" fillId="0" borderId="1" xfId="0" applyFont="1" applyBorder="1"/>
    <xf numFmtId="0" fontId="13" fillId="0" borderId="3" xfId="0" applyFont="1" applyBorder="1"/>
    <xf numFmtId="9" fontId="24" fillId="0" borderId="10" xfId="0" applyNumberFormat="1" applyFont="1" applyBorder="1" applyAlignment="1">
      <alignment horizontal="center" vertical="center"/>
    </xf>
    <xf numFmtId="0" fontId="41"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41"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47" fillId="0" borderId="1" xfId="0" applyFont="1" applyBorder="1" applyAlignment="1">
      <alignment vertical="center" wrapText="1"/>
    </xf>
    <xf numFmtId="3" fontId="24" fillId="0" borderId="3" xfId="0" applyNumberFormat="1" applyFont="1" applyBorder="1" applyAlignment="1">
      <alignment horizontal="right" vertical="center"/>
    </xf>
    <xf numFmtId="49" fontId="25" fillId="2" borderId="11" xfId="0" applyNumberFormat="1" applyFont="1" applyFill="1" applyBorder="1" applyAlignment="1">
      <alignment horizontal="center" vertical="center"/>
    </xf>
    <xf numFmtId="3" fontId="41" fillId="2" borderId="12" xfId="0" applyNumberFormat="1" applyFont="1" applyFill="1" applyBorder="1" applyAlignment="1">
      <alignment horizontal="center" vertical="center" wrapText="1"/>
    </xf>
    <xf numFmtId="9" fontId="25" fillId="2" borderId="1" xfId="0" applyNumberFormat="1" applyFont="1" applyFill="1" applyBorder="1" applyAlignment="1">
      <alignment horizontal="right" vertical="center" wrapText="1"/>
    </xf>
    <xf numFmtId="3" fontId="25" fillId="2" borderId="3" xfId="0" applyNumberFormat="1" applyFont="1" applyFill="1" applyBorder="1" applyAlignment="1">
      <alignment horizontal="right" vertical="center" wrapText="1"/>
    </xf>
    <xf numFmtId="0" fontId="25" fillId="2" borderId="1" xfId="0" applyFont="1" applyFill="1" applyBorder="1" applyAlignment="1">
      <alignment vertical="center" wrapText="1"/>
    </xf>
    <xf numFmtId="3" fontId="25" fillId="2" borderId="3" xfId="0" applyNumberFormat="1" applyFont="1" applyFill="1" applyBorder="1" applyAlignment="1">
      <alignment horizontal="right" vertical="center"/>
    </xf>
    <xf numFmtId="172" fontId="25" fillId="0" borderId="1" xfId="6" applyNumberFormat="1" applyFont="1" applyFill="1" applyBorder="1" applyAlignment="1">
      <alignment horizontal="right" vertical="center" wrapText="1"/>
    </xf>
    <xf numFmtId="9" fontId="25" fillId="2" borderId="1" xfId="0" applyNumberFormat="1" applyFont="1" applyFill="1" applyBorder="1" applyAlignment="1">
      <alignment horizontal="center" vertical="center" wrapText="1"/>
    </xf>
    <xf numFmtId="3" fontId="24" fillId="2" borderId="44" xfId="0" applyNumberFormat="1" applyFont="1" applyFill="1" applyBorder="1" applyAlignment="1">
      <alignmen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center" vertical="center" wrapText="1"/>
    </xf>
    <xf numFmtId="3" fontId="24" fillId="2" borderId="44" xfId="0" applyNumberFormat="1" applyFont="1" applyFill="1" applyBorder="1" applyAlignment="1">
      <alignment horizontal="right" vertical="center"/>
    </xf>
    <xf numFmtId="9" fontId="24" fillId="2" borderId="13" xfId="0" applyNumberFormat="1" applyFont="1" applyFill="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5" fillId="0" borderId="15" xfId="0" applyFont="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3" fontId="20" fillId="2" borderId="50" xfId="0" applyNumberFormat="1" applyFont="1" applyFill="1" applyBorder="1" applyAlignment="1">
      <alignment horizontal="right" vertical="center"/>
    </xf>
    <xf numFmtId="9" fontId="24" fillId="2" borderId="16" xfId="0" applyNumberFormat="1" applyFont="1" applyFill="1" applyBorder="1" applyAlignment="1">
      <alignment horizontal="right" vertical="center"/>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5" fillId="0" borderId="7" xfId="0" applyFont="1" applyBorder="1" applyAlignment="1">
      <alignment horizontal="lef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42"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3" fontId="25" fillId="2" borderId="53" xfId="0" applyNumberFormat="1" applyFont="1" applyFill="1" applyBorder="1" applyAlignment="1">
      <alignment horizontal="right" vertical="center"/>
    </xf>
    <xf numFmtId="9" fontId="24" fillId="2" borderId="28" xfId="0" applyNumberFormat="1" applyFont="1" applyFill="1" applyBorder="1" applyAlignment="1">
      <alignment horizontal="right" vertical="center"/>
    </xf>
    <xf numFmtId="0" fontId="20" fillId="0" borderId="59" xfId="0" applyFont="1" applyBorder="1" applyAlignment="1">
      <alignment horizontal="center" vertical="center"/>
    </xf>
    <xf numFmtId="167" fontId="20" fillId="3" borderId="50" xfId="1" applyNumberFormat="1" applyFont="1" applyFill="1" applyBorder="1" applyAlignment="1">
      <alignment horizontal="center" vertical="center" wrapText="1"/>
    </xf>
    <xf numFmtId="167" fontId="25" fillId="0" borderId="0" xfId="0" applyNumberFormat="1" applyFont="1" applyAlignment="1">
      <alignment horizontal="right" vertical="center"/>
    </xf>
    <xf numFmtId="3" fontId="37" fillId="0" borderId="3" xfId="0" applyNumberFormat="1" applyFont="1" applyBorder="1" applyAlignment="1">
      <alignment horizontal="right" wrapText="1"/>
    </xf>
    <xf numFmtId="0" fontId="37" fillId="0" borderId="1" xfId="0" applyFont="1" applyBorder="1" applyAlignment="1">
      <alignment horizontal="right"/>
    </xf>
    <xf numFmtId="3" fontId="37" fillId="0" borderId="44" xfId="0" applyNumberFormat="1" applyFont="1" applyBorder="1" applyAlignment="1">
      <alignment horizontal="right" wrapText="1"/>
    </xf>
    <xf numFmtId="165" fontId="5" fillId="2" borderId="0" xfId="0" applyNumberFormat="1" applyFont="1" applyFill="1"/>
    <xf numFmtId="165" fontId="15" fillId="2" borderId="0" xfId="0" applyNumberFormat="1" applyFont="1" applyFill="1" applyAlignment="1">
      <alignment horizontal="left" vertical="center"/>
    </xf>
    <xf numFmtId="165" fontId="45" fillId="2" borderId="0" xfId="0" applyNumberFormat="1" applyFont="1" applyFill="1"/>
    <xf numFmtId="49" fontId="35" fillId="2" borderId="1" xfId="0" quotePrefix="1" applyNumberFormat="1" applyFont="1" applyFill="1" applyBorder="1" applyAlignment="1">
      <alignment vertical="center" wrapText="1"/>
    </xf>
    <xf numFmtId="173" fontId="45" fillId="2" borderId="0" xfId="0" applyNumberFormat="1" applyFont="1" applyFill="1"/>
    <xf numFmtId="165" fontId="6" fillId="0" borderId="0" xfId="0" applyNumberFormat="1" applyFont="1"/>
    <xf numFmtId="0" fontId="6" fillId="2" borderId="50" xfId="0"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6" fillId="2" borderId="15" xfId="0" applyFont="1" applyFill="1" applyBorder="1" applyAlignment="1">
      <alignment vertical="center" wrapText="1"/>
    </xf>
    <xf numFmtId="165" fontId="6" fillId="2" borderId="50" xfId="0" applyNumberFormat="1" applyFont="1" applyFill="1" applyBorder="1" applyAlignment="1">
      <alignment vertical="center"/>
    </xf>
    <xf numFmtId="168" fontId="6" fillId="2" borderId="14" xfId="0" applyNumberFormat="1" applyFont="1" applyFill="1" applyBorder="1" applyAlignment="1">
      <alignment horizontal="center" vertical="center" wrapText="1"/>
    </xf>
    <xf numFmtId="168" fontId="6" fillId="2" borderId="15" xfId="0" applyNumberFormat="1" applyFont="1" applyFill="1" applyBorder="1" applyAlignment="1">
      <alignment horizontal="center" vertical="center" wrapText="1"/>
    </xf>
    <xf numFmtId="168" fontId="6" fillId="2" borderId="16" xfId="0" applyNumberFormat="1" applyFont="1" applyFill="1" applyBorder="1" applyAlignment="1">
      <alignment horizontal="center" vertical="center" wrapText="1"/>
    </xf>
    <xf numFmtId="168" fontId="5" fillId="2" borderId="27" xfId="0" applyNumberFormat="1" applyFont="1" applyFill="1" applyBorder="1" applyAlignment="1">
      <alignment horizontal="center" vertical="center" wrapText="1"/>
    </xf>
    <xf numFmtId="0" fontId="7"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47" fillId="0" borderId="27" xfId="0" applyFont="1" applyBorder="1" applyAlignment="1">
      <alignment vertical="center" wrapText="1"/>
    </xf>
    <xf numFmtId="0" fontId="7" fillId="2" borderId="56" xfId="3" applyFont="1" applyFill="1" applyBorder="1"/>
    <xf numFmtId="0" fontId="7" fillId="0" borderId="0" xfId="0" applyFont="1" applyBorder="1" applyAlignment="1">
      <alignment horizontal="left"/>
    </xf>
    <xf numFmtId="49" fontId="7" fillId="0" borderId="0" xfId="0" applyNumberFormat="1" applyFont="1" applyBorder="1" applyAlignment="1">
      <alignment vertical="center"/>
    </xf>
    <xf numFmtId="0" fontId="7" fillId="0" borderId="0" xfId="0" applyFont="1" applyBorder="1"/>
    <xf numFmtId="0" fontId="5" fillId="0" borderId="0" xfId="0" applyFont="1" applyAlignment="1">
      <alignment horizontal="left"/>
    </xf>
    <xf numFmtId="0" fontId="41" fillId="0" borderId="1" xfId="0" applyFont="1" applyBorder="1" applyAlignment="1">
      <alignment horizontal="center" vertical="center" wrapText="1"/>
    </xf>
    <xf numFmtId="3" fontId="15" fillId="0" borderId="15" xfId="0" applyNumberFormat="1" applyFont="1" applyFill="1" applyBorder="1" applyAlignment="1">
      <alignment horizontal="right" vertical="center"/>
    </xf>
    <xf numFmtId="168" fontId="15" fillId="0" borderId="16" xfId="0" applyNumberFormat="1" applyFont="1" applyFill="1" applyBorder="1" applyAlignment="1">
      <alignment horizontal="right" vertical="center"/>
    </xf>
    <xf numFmtId="49" fontId="47" fillId="0" borderId="14" xfId="0" applyNumberFormat="1" applyFont="1" applyFill="1" applyBorder="1" applyAlignment="1">
      <alignment horizontal="center" vertical="center"/>
    </xf>
    <xf numFmtId="0" fontId="47" fillId="0" borderId="15" xfId="0" applyFont="1" applyFill="1" applyBorder="1" applyAlignment="1">
      <alignment horizontal="left" vertical="center" wrapText="1"/>
    </xf>
    <xf numFmtId="0" fontId="47" fillId="0" borderId="15" xfId="0"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0" fontId="34" fillId="0" borderId="18" xfId="0" quotePrefix="1" applyFont="1" applyFill="1" applyBorder="1" applyAlignment="1">
      <alignment vertical="center" wrapText="1"/>
    </xf>
    <xf numFmtId="49" fontId="41" fillId="0" borderId="9" xfId="0" applyNumberFormat="1" applyFont="1" applyFill="1" applyBorder="1" applyAlignment="1">
      <alignment horizontal="center" vertical="center"/>
    </xf>
    <xf numFmtId="49" fontId="41" fillId="0" borderId="1" xfId="0" applyNumberFormat="1" applyFont="1" applyFill="1" applyBorder="1" applyAlignment="1">
      <alignment horizontal="center" vertical="center"/>
    </xf>
    <xf numFmtId="0" fontId="34" fillId="0" borderId="1" xfId="0" quotePrefix="1" applyFont="1" applyFill="1" applyBorder="1" applyAlignment="1">
      <alignment vertical="center" wrapText="1"/>
    </xf>
    <xf numFmtId="0" fontId="34" fillId="0" borderId="1"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3" fillId="0" borderId="14" xfId="0" applyFont="1" applyFill="1" applyBorder="1" applyAlignment="1">
      <alignment horizontal="center" vertical="center" wrapText="1"/>
    </xf>
    <xf numFmtId="49" fontId="15" fillId="0" borderId="15" xfId="0" applyNumberFormat="1" applyFont="1" applyFill="1" applyBorder="1" applyAlignment="1">
      <alignment horizontal="center" vertical="center"/>
    </xf>
    <xf numFmtId="49" fontId="15" fillId="0" borderId="15" xfId="0" applyNumberFormat="1" applyFont="1" applyFill="1" applyBorder="1" applyAlignment="1">
      <alignment vertical="center"/>
    </xf>
    <xf numFmtId="0" fontId="15" fillId="0" borderId="15" xfId="0" applyFont="1" applyFill="1" applyBorder="1" applyAlignment="1">
      <alignment horizontal="left" vertical="center" wrapText="1"/>
    </xf>
    <xf numFmtId="0" fontId="15" fillId="0" borderId="15" xfId="0" applyFont="1" applyFill="1" applyBorder="1" applyAlignment="1">
      <alignment vertical="center" wrapText="1"/>
    </xf>
    <xf numFmtId="49" fontId="48" fillId="0" borderId="14" xfId="0" applyNumberFormat="1" applyFont="1" applyFill="1" applyBorder="1" applyAlignment="1">
      <alignment horizontal="center" vertical="center" wrapText="1"/>
    </xf>
    <xf numFmtId="49" fontId="47" fillId="0" borderId="15"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49" fontId="34" fillId="0" borderId="18"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49" fontId="47" fillId="0" borderId="15" xfId="0" applyNumberFormat="1" applyFont="1" applyFill="1" applyBorder="1" applyAlignment="1">
      <alignment horizontal="center" vertical="center" wrapText="1"/>
    </xf>
    <xf numFmtId="0" fontId="47" fillId="0" borderId="15" xfId="0" applyFont="1" applyFill="1" applyBorder="1" applyAlignment="1">
      <alignment vertical="center" wrapText="1"/>
    </xf>
    <xf numFmtId="49" fontId="41" fillId="0" borderId="9"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quotePrefix="1" applyFont="1" applyFill="1" applyBorder="1" applyAlignment="1">
      <alignment vertical="center" wrapText="1"/>
    </xf>
    <xf numFmtId="0" fontId="33" fillId="0" borderId="15" xfId="0" applyFont="1" applyFill="1" applyBorder="1" applyAlignment="1">
      <alignment horizontal="center" vertical="center" wrapText="1"/>
    </xf>
    <xf numFmtId="0" fontId="33" fillId="0" borderId="15" xfId="0" quotePrefix="1" applyFont="1" applyFill="1" applyBorder="1" applyAlignment="1">
      <alignment vertical="center" wrapText="1"/>
    </xf>
    <xf numFmtId="0" fontId="48" fillId="0" borderId="15" xfId="0" applyFont="1" applyFill="1" applyBorder="1" applyAlignment="1">
      <alignment horizontal="center" vertical="center" wrapText="1"/>
    </xf>
    <xf numFmtId="0" fontId="48" fillId="0" borderId="15" xfId="0" quotePrefix="1" applyFont="1" applyFill="1" applyBorder="1" applyAlignment="1">
      <alignment vertical="center" wrapText="1"/>
    </xf>
    <xf numFmtId="0" fontId="48" fillId="0" borderId="14" xfId="0" applyFont="1" applyFill="1" applyBorder="1" applyAlignment="1">
      <alignment horizontal="center" vertical="center" wrapText="1"/>
    </xf>
    <xf numFmtId="49" fontId="34" fillId="0" borderId="12" xfId="0" applyNumberFormat="1" applyFont="1" applyFill="1" applyBorder="1" applyAlignment="1">
      <alignment horizontal="center" vertical="center" wrapText="1"/>
    </xf>
    <xf numFmtId="49" fontId="34" fillId="0" borderId="11" xfId="0" applyNumberFormat="1" applyFont="1" applyFill="1" applyBorder="1" applyAlignment="1">
      <alignment horizontal="center" vertical="center" wrapText="1"/>
    </xf>
    <xf numFmtId="0" fontId="34" fillId="0" borderId="12" xfId="0" quotePrefix="1" applyFont="1" applyFill="1" applyBorder="1" applyAlignment="1">
      <alignment vertical="center" wrapText="1"/>
    </xf>
    <xf numFmtId="0" fontId="41" fillId="0" borderId="12" xfId="0" quotePrefix="1" applyFont="1" applyFill="1" applyBorder="1" applyAlignment="1">
      <alignment vertical="center" wrapText="1"/>
    </xf>
    <xf numFmtId="0" fontId="34" fillId="0" borderId="27" xfId="0" quotePrefix="1" applyFont="1" applyFill="1" applyBorder="1" applyAlignment="1">
      <alignment vertical="center" wrapText="1"/>
    </xf>
    <xf numFmtId="3" fontId="6" fillId="2" borderId="32" xfId="0" applyNumberFormat="1" applyFont="1" applyFill="1" applyBorder="1" applyAlignment="1">
      <alignment horizontal="right" vertical="center"/>
    </xf>
    <xf numFmtId="170" fontId="6" fillId="2" borderId="50"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170" fontId="6" fillId="2" borderId="16" xfId="0" applyNumberFormat="1" applyFont="1" applyFill="1" applyBorder="1" applyAlignment="1">
      <alignment horizontal="right" vertical="center"/>
    </xf>
    <xf numFmtId="3" fontId="6" fillId="0" borderId="32" xfId="0" applyNumberFormat="1" applyFont="1" applyBorder="1" applyAlignment="1">
      <alignment horizontal="right" vertical="center"/>
    </xf>
    <xf numFmtId="3" fontId="6" fillId="0" borderId="15" xfId="0" applyNumberFormat="1" applyFont="1" applyBorder="1" applyAlignment="1">
      <alignment horizontal="right" vertical="center"/>
    </xf>
    <xf numFmtId="170" fontId="6" fillId="0" borderId="16" xfId="0" applyNumberFormat="1" applyFont="1" applyBorder="1" applyAlignment="1">
      <alignment horizontal="right" vertical="center"/>
    </xf>
    <xf numFmtId="3" fontId="35" fillId="2" borderId="30" xfId="0" applyNumberFormat="1" applyFont="1" applyFill="1" applyBorder="1" applyAlignment="1">
      <alignment horizontal="right" vertical="center"/>
    </xf>
    <xf numFmtId="3" fontId="35" fillId="2" borderId="18" xfId="0" applyNumberFormat="1" applyFont="1" applyFill="1" applyBorder="1" applyAlignment="1">
      <alignment horizontal="right" vertical="center"/>
    </xf>
    <xf numFmtId="170" fontId="35" fillId="2" borderId="49" xfId="0" applyNumberFormat="1" applyFont="1" applyFill="1" applyBorder="1" applyAlignment="1">
      <alignment horizontal="right" vertical="center"/>
    </xf>
    <xf numFmtId="3" fontId="35" fillId="2" borderId="17" xfId="0" applyNumberFormat="1" applyFont="1" applyFill="1" applyBorder="1" applyAlignment="1">
      <alignment horizontal="right" vertical="center"/>
    </xf>
    <xf numFmtId="170" fontId="35" fillId="2" borderId="19" xfId="0" applyNumberFormat="1" applyFont="1" applyFill="1" applyBorder="1" applyAlignment="1">
      <alignment horizontal="right" vertical="center"/>
    </xf>
    <xf numFmtId="3" fontId="6" fillId="0" borderId="30" xfId="0" applyNumberFormat="1" applyFont="1" applyBorder="1" applyAlignment="1">
      <alignment horizontal="right" vertical="center"/>
    </xf>
    <xf numFmtId="3" fontId="6" fillId="0" borderId="18" xfId="0" applyNumberFormat="1" applyFont="1" applyBorder="1" applyAlignment="1">
      <alignment horizontal="right" vertical="center"/>
    </xf>
    <xf numFmtId="170" fontId="6" fillId="0" borderId="19"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2" borderId="1" xfId="0" applyNumberFormat="1" applyFont="1" applyFill="1" applyBorder="1" applyAlignment="1">
      <alignment horizontal="right" vertical="center"/>
    </xf>
    <xf numFmtId="170" fontId="5" fillId="2" borderId="3" xfId="0" applyNumberFormat="1" applyFont="1" applyFill="1" applyBorder="1" applyAlignment="1">
      <alignment horizontal="right" vertical="center"/>
    </xf>
    <xf numFmtId="3" fontId="5" fillId="0" borderId="9" xfId="0" applyNumberFormat="1" applyFont="1" applyBorder="1" applyAlignment="1">
      <alignment horizontal="right" vertical="center"/>
    </xf>
    <xf numFmtId="170" fontId="5" fillId="2" borderId="10" xfId="0" applyNumberFormat="1" applyFont="1" applyFill="1" applyBorder="1" applyAlignment="1">
      <alignment horizontal="right" vertical="center"/>
    </xf>
    <xf numFmtId="3" fontId="6" fillId="0" borderId="5" xfId="0" applyNumberFormat="1" applyFont="1" applyBorder="1" applyAlignment="1">
      <alignment horizontal="right" vertical="center"/>
    </xf>
    <xf numFmtId="3" fontId="6" fillId="0" borderId="1" xfId="0" applyNumberFormat="1" applyFont="1" applyBorder="1" applyAlignment="1">
      <alignment horizontal="right" vertical="center"/>
    </xf>
    <xf numFmtId="170" fontId="6" fillId="0" borderId="10" xfId="0" applyNumberFormat="1" applyFont="1" applyBorder="1" applyAlignment="1">
      <alignment horizontal="right" vertical="center"/>
    </xf>
    <xf numFmtId="3" fontId="35" fillId="0" borderId="5" xfId="0" applyNumberFormat="1" applyFont="1" applyBorder="1" applyAlignment="1">
      <alignment horizontal="right" vertical="center"/>
    </xf>
    <xf numFmtId="170" fontId="6" fillId="2" borderId="3" xfId="0" applyNumberFormat="1" applyFont="1" applyFill="1" applyBorder="1" applyAlignment="1">
      <alignment horizontal="right" vertical="center"/>
    </xf>
    <xf numFmtId="3" fontId="35" fillId="0" borderId="9" xfId="0" applyNumberFormat="1" applyFont="1" applyBorder="1" applyAlignment="1">
      <alignment horizontal="right" vertical="center"/>
    </xf>
    <xf numFmtId="3" fontId="35" fillId="0" borderId="1" xfId="0" applyNumberFormat="1" applyFont="1" applyBorder="1" applyAlignment="1">
      <alignment horizontal="right" vertical="center"/>
    </xf>
    <xf numFmtId="170" fontId="6" fillId="2" borderId="10" xfId="0" applyNumberFormat="1" applyFont="1" applyFill="1" applyBorder="1" applyAlignment="1">
      <alignment horizontal="right" vertical="center"/>
    </xf>
    <xf numFmtId="170" fontId="35" fillId="0" borderId="10" xfId="0" applyNumberFormat="1" applyFont="1" applyBorder="1" applyAlignment="1">
      <alignment horizontal="right" vertical="center"/>
    </xf>
    <xf numFmtId="170" fontId="35" fillId="2" borderId="10" xfId="0" applyNumberFormat="1" applyFont="1" applyFill="1" applyBorder="1" applyAlignment="1">
      <alignment horizontal="right" vertical="center"/>
    </xf>
    <xf numFmtId="3" fontId="5" fillId="0" borderId="38" xfId="0" applyNumberFormat="1" applyFont="1" applyBorder="1" applyAlignment="1">
      <alignment horizontal="right" vertical="center"/>
    </xf>
    <xf numFmtId="3" fontId="35" fillId="2" borderId="1" xfId="0" applyNumberFormat="1" applyFont="1" applyFill="1" applyBorder="1" applyAlignment="1">
      <alignment horizontal="right" vertical="center"/>
    </xf>
    <xf numFmtId="170" fontId="35" fillId="2" borderId="3" xfId="0" applyNumberFormat="1" applyFont="1" applyFill="1" applyBorder="1" applyAlignment="1">
      <alignment horizontal="right" vertical="center"/>
    </xf>
    <xf numFmtId="3" fontId="5" fillId="0" borderId="23" xfId="0" applyNumberFormat="1" applyFont="1" applyBorder="1" applyAlignment="1">
      <alignment horizontal="right" vertical="center"/>
    </xf>
    <xf numFmtId="3" fontId="5" fillId="2" borderId="12" xfId="0" applyNumberFormat="1" applyFont="1" applyFill="1" applyBorder="1" applyAlignment="1">
      <alignment horizontal="right" vertical="center"/>
    </xf>
    <xf numFmtId="170" fontId="5" fillId="2" borderId="44" xfId="0" applyNumberFormat="1" applyFont="1" applyFill="1" applyBorder="1" applyAlignment="1">
      <alignment horizontal="right" vertical="center"/>
    </xf>
    <xf numFmtId="3" fontId="5" fillId="0" borderId="11" xfId="0" applyNumberFormat="1" applyFont="1" applyBorder="1" applyAlignment="1">
      <alignment horizontal="right" vertical="center"/>
    </xf>
    <xf numFmtId="170" fontId="6" fillId="2" borderId="13" xfId="0" applyNumberFormat="1" applyFont="1" applyFill="1" applyBorder="1" applyAlignment="1">
      <alignment horizontal="right" vertical="center"/>
    </xf>
    <xf numFmtId="170" fontId="5" fillId="0" borderId="13" xfId="0" applyNumberFormat="1" applyFont="1" applyBorder="1" applyAlignment="1">
      <alignment horizontal="right" vertical="center"/>
    </xf>
    <xf numFmtId="3" fontId="6" fillId="0" borderId="14" xfId="0" applyNumberFormat="1" applyFont="1" applyBorder="1" applyAlignment="1">
      <alignment horizontal="right" vertical="center"/>
    </xf>
    <xf numFmtId="3" fontId="35" fillId="0" borderId="30" xfId="0" applyNumberFormat="1" applyFont="1" applyBorder="1" applyAlignment="1">
      <alignment horizontal="right" vertical="center"/>
    </xf>
    <xf numFmtId="3" fontId="35" fillId="0" borderId="17" xfId="0" applyNumberFormat="1" applyFont="1" applyBorder="1" applyAlignment="1">
      <alignment horizontal="right" vertical="center"/>
    </xf>
    <xf numFmtId="3" fontId="35" fillId="0" borderId="18" xfId="0" applyNumberFormat="1" applyFont="1" applyBorder="1" applyAlignment="1">
      <alignment horizontal="right" vertical="center"/>
    </xf>
    <xf numFmtId="170" fontId="5" fillId="0" borderId="10" xfId="0" applyNumberFormat="1" applyFont="1" applyBorder="1" applyAlignment="1">
      <alignment horizontal="right" vertical="center"/>
    </xf>
    <xf numFmtId="170" fontId="5" fillId="2" borderId="3" xfId="0" applyNumberFormat="1" applyFont="1" applyFill="1" applyBorder="1" applyAlignment="1">
      <alignment horizontal="right" vertical="center" wrapText="1"/>
    </xf>
    <xf numFmtId="170" fontId="5" fillId="2" borderId="10" xfId="0" applyNumberFormat="1" applyFont="1" applyFill="1" applyBorder="1" applyAlignment="1">
      <alignment horizontal="right" vertical="center" wrapText="1"/>
    </xf>
    <xf numFmtId="3" fontId="35" fillId="0" borderId="32" xfId="0" applyNumberFormat="1" applyFont="1" applyBorder="1" applyAlignment="1">
      <alignment horizontal="right" vertical="center"/>
    </xf>
    <xf numFmtId="3" fontId="35" fillId="0" borderId="14" xfId="0" applyNumberFormat="1" applyFont="1" applyBorder="1" applyAlignment="1">
      <alignment horizontal="right" vertical="center"/>
    </xf>
    <xf numFmtId="3" fontId="35" fillId="0" borderId="15" xfId="0" applyNumberFormat="1" applyFont="1" applyBorder="1" applyAlignment="1">
      <alignment horizontal="right" vertical="center"/>
    </xf>
    <xf numFmtId="3" fontId="35" fillId="0" borderId="16" xfId="0" applyNumberFormat="1" applyFont="1" applyBorder="1" applyAlignment="1">
      <alignment horizontal="right" vertical="center" wrapText="1"/>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3" fontId="5" fillId="0" borderId="26" xfId="0" applyNumberFormat="1" applyFont="1" applyBorder="1" applyAlignment="1">
      <alignment horizontal="right" vertical="center"/>
    </xf>
    <xf numFmtId="3" fontId="5" fillId="0" borderId="27" xfId="0" applyNumberFormat="1" applyFont="1" applyBorder="1" applyAlignment="1">
      <alignment horizontal="right" vertical="center"/>
    </xf>
    <xf numFmtId="170" fontId="6" fillId="2" borderId="28" xfId="0" applyNumberFormat="1" applyFont="1" applyFill="1" applyBorder="1" applyAlignment="1">
      <alignment horizontal="right" vertical="center"/>
    </xf>
    <xf numFmtId="3" fontId="6" fillId="2" borderId="18" xfId="0" applyNumberFormat="1" applyFont="1" applyFill="1" applyBorder="1" applyAlignment="1">
      <alignment horizontal="right" vertical="center"/>
    </xf>
    <xf numFmtId="170" fontId="6" fillId="2" borderId="49" xfId="0" applyNumberFormat="1" applyFont="1" applyFill="1" applyBorder="1" applyAlignment="1">
      <alignment horizontal="right" vertical="center"/>
    </xf>
    <xf numFmtId="3" fontId="6" fillId="0" borderId="9" xfId="0" applyNumberFormat="1" applyFont="1" applyBorder="1" applyAlignment="1">
      <alignment horizontal="right" vertical="center"/>
    </xf>
    <xf numFmtId="3" fontId="5" fillId="2" borderId="3"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0" fontId="13" fillId="0" borderId="10" xfId="0" applyFont="1" applyBorder="1" applyAlignment="1">
      <alignment vertical="center" wrapText="1"/>
    </xf>
    <xf numFmtId="0" fontId="7" fillId="0" borderId="9" xfId="0" applyFont="1" applyBorder="1" applyAlignment="1">
      <alignment horizontal="left" vertical="center" wrapText="1"/>
    </xf>
    <xf numFmtId="0" fontId="14" fillId="0" borderId="26" xfId="0" applyFont="1" applyBorder="1" applyAlignment="1">
      <alignment horizontal="left" vertical="center"/>
    </xf>
    <xf numFmtId="0" fontId="7" fillId="0" borderId="28" xfId="0" applyFont="1" applyBorder="1" applyAlignment="1">
      <alignment vertical="center" wrapText="1"/>
    </xf>
    <xf numFmtId="170" fontId="5" fillId="0" borderId="28" xfId="0" applyNumberFormat="1" applyFont="1" applyBorder="1" applyAlignment="1">
      <alignment horizontal="right" vertical="center"/>
    </xf>
    <xf numFmtId="0" fontId="5" fillId="0" borderId="26" xfId="0" applyFont="1" applyBorder="1" applyAlignment="1">
      <alignment horizontal="left" vertical="center" wrapText="1"/>
    </xf>
    <xf numFmtId="3" fontId="6" fillId="2" borderId="27" xfId="0" applyNumberFormat="1" applyFont="1" applyFill="1" applyBorder="1" applyAlignment="1">
      <alignment horizontal="right" vertical="center"/>
    </xf>
    <xf numFmtId="170" fontId="6" fillId="2" borderId="53" xfId="0" applyNumberFormat="1" applyFont="1" applyFill="1" applyBorder="1" applyAlignment="1">
      <alignment horizontal="right"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top" wrapText="1"/>
    </xf>
    <xf numFmtId="0" fontId="12" fillId="0" borderId="7" xfId="0" applyFont="1" applyBorder="1" applyAlignment="1">
      <alignment horizontal="center"/>
    </xf>
    <xf numFmtId="0" fontId="12" fillId="0" borderId="8" xfId="0" applyFont="1" applyBorder="1" applyAlignment="1">
      <alignment horizontal="center"/>
    </xf>
    <xf numFmtId="170" fontId="6" fillId="0" borderId="10" xfId="0" applyNumberFormat="1" applyFont="1" applyBorder="1" applyAlignment="1">
      <alignment horizontal="center"/>
    </xf>
    <xf numFmtId="3" fontId="7" fillId="0" borderId="1" xfId="0" applyNumberFormat="1" applyFont="1" applyBorder="1" applyAlignment="1">
      <alignment horizontal="center" wrapText="1"/>
    </xf>
    <xf numFmtId="49" fontId="13" fillId="0" borderId="38" xfId="0" applyNumberFormat="1" applyFont="1" applyBorder="1" applyAlignment="1">
      <alignment horizontal="center" vertical="center" wrapText="1"/>
    </xf>
    <xf numFmtId="3" fontId="13" fillId="0" borderId="4" xfId="0" applyNumberFormat="1" applyFont="1" applyBorder="1" applyAlignment="1">
      <alignment horizontal="center" wrapText="1"/>
    </xf>
    <xf numFmtId="171" fontId="6" fillId="0" borderId="40" xfId="0" applyNumberFormat="1" applyFont="1" applyBorder="1" applyAlignment="1">
      <alignment horizontal="center"/>
    </xf>
    <xf numFmtId="49" fontId="6" fillId="0" borderId="9" xfId="0" applyNumberFormat="1" applyFont="1" applyBorder="1" applyAlignment="1">
      <alignment horizontal="center"/>
    </xf>
    <xf numFmtId="0" fontId="6" fillId="0" borderId="1" xfId="0" applyFont="1" applyBorder="1" applyAlignment="1">
      <alignment horizontal="centerContinuous" vertical="center"/>
    </xf>
    <xf numFmtId="0" fontId="6" fillId="0" borderId="1" xfId="0" applyFont="1" applyBorder="1" applyAlignment="1">
      <alignment horizontal="left" vertical="center" wrapText="1"/>
    </xf>
    <xf numFmtId="0" fontId="5" fillId="0" borderId="12" xfId="0" applyFont="1" applyBorder="1" applyAlignment="1">
      <alignment horizontal="centerContinuous" vertical="center"/>
    </xf>
    <xf numFmtId="0" fontId="5" fillId="0" borderId="12" xfId="0" applyFont="1" applyBorder="1" applyAlignment="1">
      <alignment horizontal="left" vertical="center" wrapText="1"/>
    </xf>
    <xf numFmtId="0" fontId="0" fillId="0" borderId="0" xfId="0" applyBorder="1"/>
    <xf numFmtId="0" fontId="6" fillId="0" borderId="0" xfId="0" applyFont="1" applyBorder="1" applyAlignment="1">
      <alignment horizontal="centerContinuous" vertical="center"/>
    </xf>
    <xf numFmtId="0" fontId="6" fillId="0" borderId="0" xfId="0" applyFont="1" applyBorder="1" applyAlignment="1">
      <alignment horizontal="left" vertical="center" wrapText="1"/>
    </xf>
    <xf numFmtId="165" fontId="6" fillId="0" borderId="0" xfId="0" applyNumberFormat="1" applyFont="1" applyBorder="1" applyAlignment="1">
      <alignment horizontal="center" vertical="center"/>
    </xf>
    <xf numFmtId="0" fontId="5" fillId="0" borderId="0" xfId="0" applyFont="1" applyBorder="1" applyAlignment="1">
      <alignment horizontal="centerContinuous" vertical="center"/>
    </xf>
    <xf numFmtId="0" fontId="5" fillId="0" borderId="0" xfId="0" applyFont="1" applyBorder="1" applyAlignment="1">
      <alignment horizontal="left" vertical="center" wrapText="1"/>
    </xf>
    <xf numFmtId="165" fontId="5" fillId="0" borderId="0" xfId="0" applyNumberFormat="1" applyFont="1" applyBorder="1" applyAlignment="1">
      <alignment horizontal="center" vertical="center"/>
    </xf>
    <xf numFmtId="174" fontId="6" fillId="0" borderId="46" xfId="0" applyNumberFormat="1" applyFont="1" applyBorder="1" applyAlignment="1">
      <alignment horizontal="center"/>
    </xf>
    <xf numFmtId="3" fontId="6" fillId="0" borderId="1" xfId="0" applyNumberFormat="1" applyFont="1" applyBorder="1" applyAlignment="1">
      <alignment horizontal="center" vertical="center" wrapText="1"/>
    </xf>
    <xf numFmtId="175" fontId="6" fillId="0" borderId="10" xfId="0" applyNumberFormat="1" applyFont="1" applyBorder="1" applyAlignment="1">
      <alignment horizontal="center"/>
    </xf>
    <xf numFmtId="165" fontId="6"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8" fontId="5" fillId="2" borderId="25" xfId="0" applyNumberFormat="1" applyFont="1" applyFill="1" applyBorder="1" applyAlignment="1">
      <alignment horizontal="center" vertical="center" wrapText="1"/>
    </xf>
    <xf numFmtId="165" fontId="6" fillId="2" borderId="54" xfId="0" applyNumberFormat="1" applyFont="1" applyFill="1" applyBorder="1" applyAlignment="1">
      <alignment horizontal="right" vertical="center"/>
    </xf>
    <xf numFmtId="168" fontId="5" fillId="2" borderId="29" xfId="0" applyNumberFormat="1" applyFont="1" applyFill="1" applyBorder="1" applyAlignment="1">
      <alignment horizontal="center" vertical="center" wrapText="1"/>
    </xf>
    <xf numFmtId="165" fontId="6" fillId="2" borderId="0" xfId="0" applyNumberFormat="1" applyFont="1" applyFill="1"/>
    <xf numFmtId="165" fontId="6" fillId="2" borderId="25" xfId="0" applyNumberFormat="1" applyFont="1" applyFill="1" applyBorder="1" applyAlignment="1">
      <alignment horizontal="right" vertical="center"/>
    </xf>
    <xf numFmtId="165" fontId="5" fillId="2" borderId="12" xfId="0" applyNumberFormat="1" applyFont="1" applyFill="1" applyBorder="1" applyAlignment="1">
      <alignment horizontal="right" vertical="center" wrapText="1"/>
    </xf>
    <xf numFmtId="165" fontId="5" fillId="2" borderId="12" xfId="0" applyNumberFormat="1" applyFont="1" applyFill="1" applyBorder="1" applyAlignment="1">
      <alignment horizontal="center" vertical="center" wrapText="1"/>
    </xf>
    <xf numFmtId="165" fontId="7" fillId="2" borderId="1" xfId="0" applyNumberFormat="1" applyFont="1" applyFill="1" applyBorder="1" applyAlignment="1">
      <alignment vertical="center"/>
    </xf>
    <xf numFmtId="168"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right" vertical="center"/>
    </xf>
    <xf numFmtId="165" fontId="7" fillId="2" borderId="3" xfId="0" applyNumberFormat="1" applyFont="1" applyFill="1" applyBorder="1" applyAlignment="1">
      <alignment horizontal="right" vertical="center"/>
    </xf>
    <xf numFmtId="165" fontId="13" fillId="2" borderId="0" xfId="0" applyNumberFormat="1" applyFont="1" applyFill="1"/>
    <xf numFmtId="0" fontId="7" fillId="0" borderId="0" xfId="0" applyFont="1" applyAlignment="1">
      <alignment horizontal="left" vertical="top" wrapText="1"/>
    </xf>
    <xf numFmtId="0" fontId="13" fillId="0" borderId="9" xfId="0" applyFont="1" applyBorder="1" applyAlignment="1">
      <alignment horizontal="left" vertical="center" wrapText="1"/>
    </xf>
    <xf numFmtId="3" fontId="5" fillId="2" borderId="9" xfId="0" applyNumberFormat="1" applyFont="1" applyFill="1" applyBorder="1" applyAlignment="1">
      <alignment horizontal="right" vertical="center"/>
    </xf>
    <xf numFmtId="49" fontId="25" fillId="0" borderId="12" xfId="0" applyNumberFormat="1" applyFont="1" applyBorder="1" applyAlignment="1">
      <alignment horizontal="center" vertical="center" wrapText="1"/>
    </xf>
    <xf numFmtId="49" fontId="25" fillId="0" borderId="27"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5" fillId="0" borderId="27" xfId="0" applyFont="1" applyBorder="1" applyAlignment="1">
      <alignment horizontal="center" vertical="center" wrapText="1"/>
    </xf>
    <xf numFmtId="49" fontId="7" fillId="2" borderId="27" xfId="0" applyNumberFormat="1" applyFont="1" applyFill="1" applyBorder="1" applyAlignment="1">
      <alignment horizontal="center" vertical="center" wrapText="1"/>
    </xf>
    <xf numFmtId="165" fontId="7" fillId="2" borderId="27" xfId="0" applyNumberFormat="1" applyFont="1" applyFill="1" applyBorder="1" applyAlignment="1">
      <alignment vertical="center"/>
    </xf>
    <xf numFmtId="168" fontId="7" fillId="2" borderId="27" xfId="0" applyNumberFormat="1" applyFont="1" applyFill="1" applyBorder="1" applyAlignment="1">
      <alignment horizontal="center" vertical="center" wrapText="1"/>
    </xf>
    <xf numFmtId="165" fontId="7" fillId="2" borderId="27" xfId="0" applyNumberFormat="1" applyFont="1" applyFill="1" applyBorder="1" applyAlignment="1">
      <alignment horizontal="right" vertical="center"/>
    </xf>
    <xf numFmtId="165" fontId="7" fillId="2" borderId="53" xfId="0" applyNumberFormat="1" applyFont="1" applyFill="1" applyBorder="1" applyAlignment="1">
      <alignment horizontal="right" vertical="center"/>
    </xf>
    <xf numFmtId="168" fontId="7" fillId="2" borderId="12" xfId="0" applyNumberFormat="1" applyFont="1" applyFill="1" applyBorder="1" applyAlignment="1">
      <alignment horizontal="center" vertical="center" wrapText="1"/>
    </xf>
    <xf numFmtId="165" fontId="13" fillId="5" borderId="0" xfId="0" applyNumberFormat="1" applyFont="1" applyFill="1"/>
    <xf numFmtId="0" fontId="7" fillId="5" borderId="0" xfId="0" applyFont="1" applyFill="1"/>
    <xf numFmtId="165" fontId="6" fillId="5" borderId="0" xfId="0" applyNumberFormat="1" applyFont="1" applyFill="1"/>
    <xf numFmtId="0" fontId="5" fillId="5" borderId="0" xfId="0" applyFont="1" applyFill="1"/>
    <xf numFmtId="176" fontId="6" fillId="2" borderId="15" xfId="0" applyNumberFormat="1" applyFont="1" applyFill="1" applyBorder="1" applyAlignment="1">
      <alignment vertical="center"/>
    </xf>
    <xf numFmtId="176" fontId="6" fillId="2" borderId="15" xfId="0" applyNumberFormat="1" applyFont="1" applyFill="1" applyBorder="1" applyAlignment="1">
      <alignment horizontal="right" vertical="center" wrapText="1"/>
    </xf>
    <xf numFmtId="176" fontId="6" fillId="2" borderId="25" xfId="0" applyNumberFormat="1" applyFont="1" applyFill="1" applyBorder="1" applyAlignment="1">
      <alignment vertical="center"/>
    </xf>
    <xf numFmtId="176" fontId="5" fillId="2" borderId="1" xfId="0" applyNumberFormat="1" applyFont="1" applyFill="1" applyBorder="1" applyAlignment="1">
      <alignment horizontal="right" vertical="center"/>
    </xf>
    <xf numFmtId="170" fontId="45" fillId="2" borderId="0" xfId="0" applyNumberFormat="1" applyFont="1" applyFill="1"/>
    <xf numFmtId="0" fontId="6" fillId="2" borderId="0" xfId="0" applyFont="1" applyFill="1"/>
    <xf numFmtId="0" fontId="8" fillId="2" borderId="0" xfId="0" applyFont="1" applyFill="1"/>
    <xf numFmtId="165" fontId="6" fillId="6" borderId="0" xfId="0" applyNumberFormat="1" applyFont="1" applyFill="1"/>
    <xf numFmtId="0" fontId="5" fillId="6" borderId="0" xfId="0" applyFont="1" applyFill="1"/>
    <xf numFmtId="165" fontId="6" fillId="4" borderId="0" xfId="0" applyNumberFormat="1" applyFont="1" applyFill="1"/>
    <xf numFmtId="0" fontId="5" fillId="4" borderId="0" xfId="0" applyFont="1" applyFill="1"/>
    <xf numFmtId="165" fontId="5" fillId="2" borderId="18" xfId="0" applyNumberFormat="1" applyFont="1" applyFill="1" applyBorder="1" applyAlignment="1">
      <alignment horizontal="right" vertical="center"/>
    </xf>
    <xf numFmtId="0" fontId="5" fillId="2" borderId="1" xfId="0" applyFont="1" applyFill="1" applyBorder="1"/>
    <xf numFmtId="0" fontId="37" fillId="0" borderId="12" xfId="0" applyFont="1" applyBorder="1" applyAlignment="1">
      <alignment horizontal="left" vertical="center" wrapText="1"/>
    </xf>
    <xf numFmtId="0" fontId="37" fillId="0" borderId="12" xfId="0" applyFont="1" applyBorder="1" applyAlignment="1">
      <alignment horizontal="right"/>
    </xf>
    <xf numFmtId="0" fontId="15" fillId="0" borderId="15" xfId="0" quotePrefix="1" applyFont="1" applyBorder="1" applyAlignment="1">
      <alignment vertical="center" wrapText="1"/>
    </xf>
    <xf numFmtId="49" fontId="3" fillId="2" borderId="26" xfId="0" applyNumberFormat="1" applyFont="1" applyFill="1" applyBorder="1" applyAlignment="1">
      <alignment horizontal="center" vertical="center" wrapText="1"/>
    </xf>
    <xf numFmtId="0" fontId="33" fillId="2" borderId="15" xfId="0" quotePrefix="1" applyFont="1" applyFill="1" applyBorder="1" applyAlignment="1">
      <alignment horizontal="left" vertical="center" wrapText="1"/>
    </xf>
    <xf numFmtId="0" fontId="47" fillId="2" borderId="18" xfId="0" quotePrefix="1" applyFont="1" applyFill="1" applyBorder="1" applyAlignment="1">
      <alignment horizontal="left" vertical="center" wrapText="1"/>
    </xf>
    <xf numFmtId="0" fontId="3" fillId="2" borderId="1" xfId="0" quotePrefix="1" applyFont="1" applyFill="1" applyBorder="1" applyAlignment="1">
      <alignment vertical="center" wrapText="1"/>
    </xf>
    <xf numFmtId="49" fontId="25" fillId="0" borderId="26" xfId="0" applyNumberFormat="1" applyFont="1" applyBorder="1" applyAlignment="1">
      <alignment horizontal="center" vertical="center" wrapText="1"/>
    </xf>
    <xf numFmtId="0" fontId="41" fillId="0" borderId="33" xfId="0" quotePrefix="1" applyFont="1" applyBorder="1" applyAlignment="1">
      <alignment vertical="center" wrapText="1"/>
    </xf>
    <xf numFmtId="0" fontId="33" fillId="2" borderId="15" xfId="0" quotePrefix="1" applyFont="1" applyFill="1" applyBorder="1" applyAlignment="1">
      <alignment vertical="center" wrapText="1"/>
    </xf>
    <xf numFmtId="49" fontId="15" fillId="0" borderId="15" xfId="0" quotePrefix="1" applyNumberFormat="1" applyFont="1" applyBorder="1" applyAlignment="1">
      <alignment vertical="center" wrapText="1"/>
    </xf>
    <xf numFmtId="49" fontId="47" fillId="0" borderId="18" xfId="0" applyNumberFormat="1" applyFont="1" applyBorder="1" applyAlignment="1">
      <alignment vertical="center" wrapText="1"/>
    </xf>
    <xf numFmtId="3" fontId="15" fillId="2" borderId="15" xfId="0" quotePrefix="1" applyNumberFormat="1" applyFont="1" applyFill="1" applyBorder="1" applyAlignment="1">
      <alignment vertical="center" wrapText="1"/>
    </xf>
    <xf numFmtId="3" fontId="47" fillId="0" borderId="18" xfId="0" applyNumberFormat="1" applyFont="1" applyBorder="1" applyAlignment="1">
      <alignment vertical="center" wrapText="1"/>
    </xf>
    <xf numFmtId="0" fontId="3" fillId="0" borderId="0" xfId="0" applyFont="1" applyFill="1" applyBorder="1" applyAlignment="1">
      <alignment horizontal="lef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9" fontId="25" fillId="0" borderId="10" xfId="0" applyNumberFormat="1" applyFont="1" applyFill="1" applyBorder="1" applyAlignment="1">
      <alignment horizontal="center" vertical="center" wrapText="1"/>
    </xf>
    <xf numFmtId="0" fontId="24" fillId="0" borderId="1" xfId="0" applyFont="1" applyFill="1" applyBorder="1" applyAlignment="1">
      <alignment vertical="center" wrapText="1"/>
    </xf>
    <xf numFmtId="3" fontId="24" fillId="0" borderId="12" xfId="0" applyNumberFormat="1" applyFont="1" applyFill="1" applyBorder="1" applyAlignment="1">
      <alignment horizontal="right" vertical="center" wrapText="1"/>
    </xf>
    <xf numFmtId="3" fontId="24" fillId="0" borderId="1" xfId="0" applyNumberFormat="1" applyFont="1" applyFill="1" applyBorder="1" applyAlignment="1">
      <alignment horizontal="right" vertical="center" wrapText="1"/>
    </xf>
    <xf numFmtId="9" fontId="24" fillId="0"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3" fontId="25" fillId="0" borderId="3" xfId="0" applyNumberFormat="1" applyFont="1" applyFill="1" applyBorder="1" applyAlignment="1">
      <alignment horizontal="left" vertical="center" wrapText="1"/>
    </xf>
    <xf numFmtId="3" fontId="25" fillId="0" borderId="44" xfId="0" applyNumberFormat="1" applyFont="1" applyFill="1" applyBorder="1" applyAlignment="1">
      <alignment horizontal="right" vertical="center" wrapText="1"/>
    </xf>
    <xf numFmtId="3" fontId="24" fillId="0" borderId="1" xfId="0" applyNumberFormat="1" applyFont="1" applyFill="1" applyBorder="1" applyAlignment="1">
      <alignment horizontal="left" vertical="center" wrapText="1"/>
    </xf>
    <xf numFmtId="3" fontId="24" fillId="0" borderId="3" xfId="0" applyNumberFormat="1" applyFont="1" applyFill="1" applyBorder="1" applyAlignment="1">
      <alignment horizontal="right" vertical="center" wrapText="1"/>
    </xf>
    <xf numFmtId="3" fontId="25" fillId="0" borderId="1" xfId="0" applyNumberFormat="1" applyFont="1" applyFill="1" applyBorder="1" applyAlignment="1">
      <alignment horizontal="center" vertical="center" wrapText="1"/>
    </xf>
    <xf numFmtId="9" fontId="24" fillId="0" borderId="10" xfId="0" applyNumberFormat="1" applyFont="1" applyFill="1" applyBorder="1" applyAlignment="1">
      <alignment horizontal="center" vertical="center" wrapText="1"/>
    </xf>
    <xf numFmtId="49" fontId="25" fillId="0" borderId="9" xfId="0" applyNumberFormat="1" applyFont="1" applyFill="1" applyBorder="1" applyAlignment="1">
      <alignment horizontal="center" vertical="center"/>
    </xf>
    <xf numFmtId="3" fontId="25" fillId="0" borderId="1" xfId="0" applyNumberFormat="1" applyFont="1" applyFill="1" applyBorder="1" applyAlignment="1">
      <alignment horizontal="left" vertical="center" wrapText="1"/>
    </xf>
    <xf numFmtId="49" fontId="25" fillId="0" borderId="26" xfId="0" applyNumberFormat="1" applyFont="1" applyFill="1" applyBorder="1" applyAlignment="1">
      <alignment horizontal="center" vertical="center"/>
    </xf>
    <xf numFmtId="3" fontId="25" fillId="0" borderId="27" xfId="0" applyNumberFormat="1" applyFont="1" applyFill="1" applyBorder="1" applyAlignment="1">
      <alignment horizontal="center" vertical="center" wrapText="1"/>
    </xf>
    <xf numFmtId="3" fontId="25" fillId="0" borderId="49" xfId="0" applyNumberFormat="1" applyFont="1" applyFill="1" applyBorder="1" applyAlignment="1">
      <alignment horizontal="left" vertical="center" wrapText="1"/>
    </xf>
    <xf numFmtId="3" fontId="25" fillId="0" borderId="53" xfId="0" applyNumberFormat="1" applyFont="1" applyFill="1" applyBorder="1" applyAlignment="1">
      <alignment horizontal="right" vertical="center" wrapText="1"/>
    </xf>
    <xf numFmtId="3" fontId="25" fillId="0" borderId="18" xfId="0" applyNumberFormat="1" applyFont="1" applyFill="1" applyBorder="1" applyAlignment="1">
      <alignment horizontal="right" vertical="center" wrapText="1"/>
    </xf>
    <xf numFmtId="9" fontId="25" fillId="0" borderId="18" xfId="0" applyNumberFormat="1" applyFont="1" applyFill="1" applyBorder="1" applyAlignment="1">
      <alignment horizontal="center" vertical="center" wrapText="1"/>
    </xf>
    <xf numFmtId="3" fontId="25" fillId="0" borderId="1" xfId="0" quotePrefix="1" applyNumberFormat="1" applyFont="1" applyFill="1" applyBorder="1" applyAlignment="1">
      <alignment horizontal="right" vertical="center" wrapText="1"/>
    </xf>
    <xf numFmtId="3" fontId="24" fillId="0" borderId="3" xfId="0" applyNumberFormat="1" applyFont="1" applyFill="1" applyBorder="1" applyAlignment="1">
      <alignment horizontal="left" vertical="center" wrapText="1"/>
    </xf>
    <xf numFmtId="49" fontId="3" fillId="0" borderId="17"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3" fontId="25" fillId="0" borderId="3" xfId="0" applyNumberFormat="1" applyFont="1" applyFill="1" applyBorder="1" applyAlignment="1">
      <alignment vertical="center" wrapText="1"/>
    </xf>
    <xf numFmtId="3" fontId="25" fillId="0" borderId="1" xfId="0" applyNumberFormat="1" applyFont="1" applyFill="1" applyBorder="1" applyAlignment="1">
      <alignment horizontal="right" vertical="center"/>
    </xf>
    <xf numFmtId="0" fontId="25" fillId="0" borderId="1" xfId="0" applyFont="1" applyFill="1" applyBorder="1" applyAlignment="1">
      <alignment vertical="center" wrapText="1"/>
    </xf>
    <xf numFmtId="3" fontId="3" fillId="0" borderId="1" xfId="0" applyNumberFormat="1" applyFont="1" applyFill="1" applyBorder="1" applyAlignment="1">
      <alignment vertical="center"/>
    </xf>
    <xf numFmtId="9" fontId="25" fillId="0" borderId="10" xfId="0" applyNumberFormat="1" applyFont="1" applyFill="1" applyBorder="1" applyAlignment="1">
      <alignment horizontal="center" vertical="center"/>
    </xf>
    <xf numFmtId="3" fontId="24" fillId="0" borderId="1" xfId="0" applyNumberFormat="1" applyFont="1" applyFill="1" applyBorder="1" applyAlignment="1">
      <alignment vertical="center" wrapText="1"/>
    </xf>
    <xf numFmtId="3" fontId="24" fillId="0" borderId="1" xfId="0" applyNumberFormat="1" applyFont="1" applyFill="1" applyBorder="1" applyAlignment="1">
      <alignment vertical="center"/>
    </xf>
    <xf numFmtId="9" fontId="24" fillId="0" borderId="10" xfId="0" applyNumberFormat="1" applyFont="1" applyFill="1" applyBorder="1" applyAlignment="1">
      <alignment horizontal="center" vertical="center"/>
    </xf>
    <xf numFmtId="9" fontId="24" fillId="0" borderId="1" xfId="0" applyNumberFormat="1" applyFont="1" applyFill="1" applyBorder="1" applyAlignment="1">
      <alignment vertical="center" wrapText="1"/>
    </xf>
    <xf numFmtId="0" fontId="25" fillId="0" borderId="3" xfId="0" applyFont="1" applyFill="1" applyBorder="1" applyAlignment="1">
      <alignment vertical="center" wrapText="1"/>
    </xf>
    <xf numFmtId="0" fontId="24" fillId="0" borderId="3" xfId="0" applyFont="1" applyFill="1" applyBorder="1" applyAlignment="1">
      <alignment vertical="center" wrapText="1"/>
    </xf>
    <xf numFmtId="3" fontId="24" fillId="0" borderId="1" xfId="0" quotePrefix="1" applyNumberFormat="1" applyFont="1" applyFill="1" applyBorder="1" applyAlignment="1">
      <alignment horizontal="right" vertical="center" wrapText="1"/>
    </xf>
    <xf numFmtId="3" fontId="25" fillId="0" borderId="3" xfId="0" applyNumberFormat="1" applyFont="1" applyFill="1" applyBorder="1" applyAlignment="1">
      <alignment horizontal="center" vertical="center" wrapText="1"/>
    </xf>
    <xf numFmtId="3" fontId="24" fillId="0" borderId="3" xfId="0" applyNumberFormat="1" applyFont="1" applyFill="1" applyBorder="1" applyAlignment="1">
      <alignment horizontal="center" vertical="center" wrapText="1"/>
    </xf>
    <xf numFmtId="9" fontId="25" fillId="2" borderId="10"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xf>
    <xf numFmtId="0" fontId="3" fillId="0" borderId="1" xfId="0" applyFont="1" applyFill="1" applyBorder="1" applyAlignment="1">
      <alignment vertical="center" wrapText="1"/>
    </xf>
    <xf numFmtId="3" fontId="25" fillId="0" borderId="1" xfId="0" applyNumberFormat="1" applyFont="1" applyFill="1" applyBorder="1" applyAlignment="1">
      <alignment vertical="center"/>
    </xf>
    <xf numFmtId="3" fontId="25" fillId="0" borderId="1" xfId="0" applyNumberFormat="1" applyFont="1" applyFill="1" applyBorder="1" applyAlignment="1">
      <alignment vertical="center" wrapText="1"/>
    </xf>
    <xf numFmtId="9" fontId="25" fillId="0" borderId="1" xfId="0" applyNumberFormat="1" applyFont="1" applyFill="1" applyBorder="1" applyAlignment="1">
      <alignment horizontal="center" vertical="center"/>
    </xf>
    <xf numFmtId="9" fontId="24" fillId="0" borderId="1" xfId="0" applyNumberFormat="1" applyFont="1" applyFill="1" applyBorder="1" applyAlignment="1">
      <alignment horizontal="center" vertical="center"/>
    </xf>
    <xf numFmtId="3" fontId="24" fillId="0" borderId="3" xfId="0" applyNumberFormat="1" applyFont="1" applyFill="1" applyBorder="1" applyAlignment="1">
      <alignment vertical="center" wrapText="1"/>
    </xf>
    <xf numFmtId="3" fontId="24" fillId="0" borderId="1" xfId="0" applyNumberFormat="1" applyFont="1" applyFill="1" applyBorder="1" applyAlignment="1">
      <alignment horizontal="right" vertical="center"/>
    </xf>
    <xf numFmtId="168" fontId="24" fillId="0" borderId="1" xfId="0" applyNumberFormat="1" applyFont="1" applyFill="1" applyBorder="1" applyAlignment="1">
      <alignment vertical="center"/>
    </xf>
    <xf numFmtId="0" fontId="25" fillId="0" borderId="9" xfId="0" applyFont="1" applyFill="1" applyBorder="1" applyAlignment="1">
      <alignment horizontal="center" vertical="center"/>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3" fillId="0" borderId="44" xfId="0" applyFont="1" applyFill="1" applyBorder="1" applyAlignment="1">
      <alignment horizontal="left" vertical="center" wrapText="1"/>
    </xf>
    <xf numFmtId="9" fontId="25" fillId="0" borderId="12" xfId="0" applyNumberFormat="1" applyFont="1" applyFill="1" applyBorder="1" applyAlignment="1">
      <alignment horizontal="center" vertical="center" wrapText="1"/>
    </xf>
    <xf numFmtId="3" fontId="25" fillId="0" borderId="12" xfId="0" applyNumberFormat="1" applyFont="1" applyFill="1" applyBorder="1" applyAlignment="1">
      <alignment vertical="center" wrapText="1"/>
    </xf>
    <xf numFmtId="9" fontId="25" fillId="0" borderId="13" xfId="0" applyNumberFormat="1" applyFont="1" applyFill="1" applyBorder="1" applyAlignment="1">
      <alignment horizontal="center" vertical="center" wrapText="1"/>
    </xf>
    <xf numFmtId="0" fontId="9" fillId="0" borderId="0" xfId="0" applyFont="1" applyFill="1" applyAlignment="1">
      <alignment vertical="center"/>
    </xf>
    <xf numFmtId="49" fontId="9" fillId="0" borderId="0" xfId="0" applyNumberFormat="1"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9" fillId="0" borderId="0" xfId="0" applyFont="1" applyFill="1" applyAlignment="1">
      <alignment horizontal="right" vertical="center"/>
    </xf>
    <xf numFmtId="168" fontId="9" fillId="0" borderId="0" xfId="0" applyNumberFormat="1" applyFont="1" applyFill="1" applyAlignment="1">
      <alignment horizontal="right" vertical="center"/>
    </xf>
    <xf numFmtId="0" fontId="7" fillId="0" borderId="2" xfId="0" applyFont="1" applyFill="1" applyBorder="1" applyAlignment="1">
      <alignment horizontal="right" vertical="center"/>
    </xf>
    <xf numFmtId="0" fontId="7" fillId="0" borderId="4" xfId="0" applyFont="1" applyFill="1" applyBorder="1" applyAlignment="1">
      <alignment horizontal="right" vertical="center"/>
    </xf>
    <xf numFmtId="0" fontId="41"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right" vertical="center"/>
    </xf>
    <xf numFmtId="0" fontId="41" fillId="0" borderId="0" xfId="0" applyFont="1" applyFill="1" applyAlignment="1">
      <alignment horizontal="right" vertical="center"/>
    </xf>
    <xf numFmtId="168" fontId="41" fillId="0" borderId="0" xfId="0" applyNumberFormat="1" applyFont="1" applyFill="1" applyAlignment="1">
      <alignment horizontal="right" vertical="center"/>
    </xf>
    <xf numFmtId="0" fontId="15" fillId="0" borderId="0" xfId="0" applyFont="1" applyFill="1" applyAlignment="1">
      <alignment horizontal="center" vertical="center"/>
    </xf>
    <xf numFmtId="0" fontId="13" fillId="0" borderId="0" xfId="0" applyFont="1" applyFill="1" applyAlignment="1">
      <alignment horizontal="right" vertical="center"/>
    </xf>
    <xf numFmtId="168" fontId="7" fillId="0" borderId="13"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49" fontId="15" fillId="0" borderId="14" xfId="0" applyNumberFormat="1" applyFont="1" applyFill="1" applyBorder="1" applyAlignment="1">
      <alignment horizontal="center" vertical="center"/>
    </xf>
    <xf numFmtId="0" fontId="15" fillId="0" borderId="15" xfId="0" applyFont="1" applyFill="1" applyBorder="1" applyAlignment="1">
      <alignment horizontal="left" vertical="top" wrapText="1"/>
    </xf>
    <xf numFmtId="0" fontId="15" fillId="0" borderId="15" xfId="0" applyFont="1" applyFill="1" applyBorder="1" applyAlignment="1">
      <alignment vertical="top" wrapText="1"/>
    </xf>
    <xf numFmtId="3" fontId="47" fillId="0" borderId="15" xfId="0" applyNumberFormat="1" applyFont="1" applyFill="1" applyBorder="1" applyAlignment="1">
      <alignment horizontal="right" vertical="center" wrapText="1"/>
    </xf>
    <xf numFmtId="168" fontId="47" fillId="0" borderId="16" xfId="0" applyNumberFormat="1" applyFont="1" applyFill="1" applyBorder="1" applyAlignment="1">
      <alignment horizontal="right" vertical="center"/>
    </xf>
    <xf numFmtId="0" fontId="34" fillId="0" borderId="18" xfId="0" quotePrefix="1" applyFont="1" applyFill="1" applyBorder="1" applyAlignment="1">
      <alignment vertical="top" wrapText="1"/>
    </xf>
    <xf numFmtId="3" fontId="41" fillId="0" borderId="18" xfId="0" applyNumberFormat="1" applyFont="1" applyFill="1" applyBorder="1" applyAlignment="1">
      <alignment horizontal="right" vertical="center"/>
    </xf>
    <xf numFmtId="168" fontId="41" fillId="0" borderId="19" xfId="0" applyNumberFormat="1" applyFont="1" applyFill="1" applyBorder="1" applyAlignment="1">
      <alignment horizontal="right" vertical="center"/>
    </xf>
    <xf numFmtId="3" fontId="41" fillId="0" borderId="1" xfId="0" applyNumberFormat="1" applyFont="1" applyFill="1" applyBorder="1" applyAlignment="1">
      <alignment horizontal="right" vertical="center"/>
    </xf>
    <xf numFmtId="168" fontId="41" fillId="0" borderId="10" xfId="0" applyNumberFormat="1" applyFont="1" applyFill="1" applyBorder="1" applyAlignment="1">
      <alignment horizontal="right" vertical="center"/>
    </xf>
    <xf numFmtId="0" fontId="34" fillId="0" borderId="1" xfId="0" quotePrefix="1" applyFont="1" applyFill="1" applyBorder="1" applyAlignment="1">
      <alignment vertical="top" wrapText="1"/>
    </xf>
    <xf numFmtId="0" fontId="37" fillId="0" borderId="0" xfId="0" applyFont="1" applyFill="1" applyAlignment="1">
      <alignment vertical="center"/>
    </xf>
    <xf numFmtId="49" fontId="34" fillId="0" borderId="26" xfId="0" applyNumberFormat="1" applyFont="1" applyFill="1" applyBorder="1" applyAlignment="1">
      <alignment horizontal="center" vertical="center" wrapText="1"/>
    </xf>
    <xf numFmtId="49" fontId="34" fillId="0" borderId="27" xfId="0" applyNumberFormat="1" applyFont="1" applyFill="1" applyBorder="1" applyAlignment="1">
      <alignment horizontal="center" vertical="center" wrapText="1"/>
    </xf>
    <xf numFmtId="3" fontId="41" fillId="0" borderId="27" xfId="0" applyNumberFormat="1" applyFont="1" applyFill="1" applyBorder="1" applyAlignment="1">
      <alignment horizontal="right" vertical="center"/>
    </xf>
    <xf numFmtId="3" fontId="47" fillId="0" borderId="15" xfId="0" applyNumberFormat="1" applyFont="1" applyFill="1" applyBorder="1" applyAlignment="1">
      <alignment horizontal="right" vertical="center"/>
    </xf>
    <xf numFmtId="9" fontId="41" fillId="0" borderId="19" xfId="0" applyNumberFormat="1" applyFont="1" applyFill="1" applyBorder="1" applyAlignment="1">
      <alignment horizontal="right" vertical="center"/>
    </xf>
    <xf numFmtId="3" fontId="41" fillId="0" borderId="1" xfId="0" applyNumberFormat="1" applyFont="1" applyFill="1" applyBorder="1" applyAlignment="1">
      <alignment horizontal="right" vertical="center" wrapText="1"/>
    </xf>
    <xf numFmtId="0" fontId="37" fillId="0" borderId="0" xfId="0" applyFont="1" applyFill="1" applyAlignment="1">
      <alignment horizontal="left" vertical="center"/>
    </xf>
    <xf numFmtId="9" fontId="41" fillId="0" borderId="10" xfId="0" applyNumberFormat="1" applyFont="1" applyFill="1" applyBorder="1" applyAlignment="1">
      <alignment horizontal="right" vertical="center"/>
    </xf>
    <xf numFmtId="0" fontId="7" fillId="0" borderId="0" xfId="0" applyFont="1" applyFill="1" applyAlignment="1">
      <alignment horizontal="left" vertical="center"/>
    </xf>
    <xf numFmtId="3" fontId="41" fillId="0" borderId="15" xfId="0" applyNumberFormat="1" applyFont="1" applyFill="1" applyBorder="1" applyAlignment="1">
      <alignment horizontal="right" vertical="center"/>
    </xf>
    <xf numFmtId="0" fontId="41" fillId="0" borderId="1" xfId="0" quotePrefix="1" applyFont="1" applyFill="1" applyBorder="1" applyAlignment="1">
      <alignment vertical="top" wrapText="1"/>
    </xf>
    <xf numFmtId="9" fontId="15" fillId="0" borderId="16" xfId="0" applyNumberFormat="1" applyFont="1" applyFill="1" applyBorder="1" applyAlignment="1">
      <alignment horizontal="right" vertical="center"/>
    </xf>
    <xf numFmtId="9" fontId="47" fillId="0" borderId="16" xfId="0" applyNumberFormat="1" applyFont="1" applyFill="1" applyBorder="1" applyAlignment="1">
      <alignment horizontal="right" vertical="center"/>
    </xf>
    <xf numFmtId="9" fontId="41" fillId="0" borderId="28" xfId="0" applyNumberFormat="1" applyFont="1" applyFill="1" applyBorder="1" applyAlignment="1">
      <alignment horizontal="right" vertical="center"/>
    </xf>
    <xf numFmtId="0" fontId="13" fillId="0" borderId="0" xfId="0" applyFont="1" applyFill="1" applyAlignment="1">
      <alignment vertical="center"/>
    </xf>
    <xf numFmtId="3" fontId="15" fillId="0" borderId="15" xfId="0" applyNumberFormat="1" applyFont="1" applyFill="1" applyBorder="1" applyAlignment="1">
      <alignment horizontal="right" vertical="center" wrapText="1"/>
    </xf>
    <xf numFmtId="3" fontId="41" fillId="0" borderId="18" xfId="0" applyNumberFormat="1" applyFont="1" applyFill="1" applyBorder="1" applyAlignment="1">
      <alignment horizontal="right" vertical="center" wrapText="1"/>
    </xf>
    <xf numFmtId="3" fontId="41" fillId="0" borderId="12" xfId="0" applyNumberFormat="1" applyFont="1" applyFill="1" applyBorder="1" applyAlignment="1">
      <alignment horizontal="right" vertical="center" wrapText="1"/>
    </xf>
    <xf numFmtId="3" fontId="41" fillId="0" borderId="12" xfId="0" applyNumberFormat="1" applyFont="1" applyFill="1" applyBorder="1" applyAlignment="1">
      <alignment horizontal="right" vertical="center"/>
    </xf>
    <xf numFmtId="9" fontId="41" fillId="0" borderId="13" xfId="0" applyNumberFormat="1" applyFont="1" applyFill="1" applyBorder="1" applyAlignment="1">
      <alignment horizontal="right" vertical="center"/>
    </xf>
    <xf numFmtId="0" fontId="41" fillId="0" borderId="17" xfId="0" applyFont="1" applyFill="1" applyBorder="1" applyAlignment="1">
      <alignment horizontal="center" vertical="center" wrapText="1"/>
    </xf>
    <xf numFmtId="49" fontId="41" fillId="0" borderId="18" xfId="0" applyNumberFormat="1" applyFont="1" applyFill="1" applyBorder="1" applyAlignment="1">
      <alignment horizontal="center" vertical="center" wrapText="1"/>
    </xf>
    <xf numFmtId="1" fontId="34" fillId="0" borderId="1" xfId="0" applyNumberFormat="1" applyFont="1" applyFill="1" applyBorder="1" applyAlignment="1">
      <alignment horizontal="right" vertical="center"/>
    </xf>
    <xf numFmtId="49" fontId="41" fillId="0" borderId="12" xfId="0" applyNumberFormat="1" applyFont="1" applyFill="1" applyBorder="1" applyAlignment="1">
      <alignment horizontal="center" vertical="center" wrapText="1"/>
    </xf>
    <xf numFmtId="1" fontId="41" fillId="0" borderId="1" xfId="0" applyNumberFormat="1" applyFont="1" applyFill="1" applyBorder="1" applyAlignment="1">
      <alignment vertical="center" wrapText="1"/>
    </xf>
    <xf numFmtId="1" fontId="41" fillId="0" borderId="12" xfId="0" applyNumberFormat="1" applyFont="1" applyFill="1" applyBorder="1" applyAlignment="1">
      <alignment vertical="center" wrapText="1"/>
    </xf>
    <xf numFmtId="1" fontId="15" fillId="0" borderId="15" xfId="0" applyNumberFormat="1" applyFont="1" applyFill="1" applyBorder="1" applyAlignment="1">
      <alignment vertical="center" wrapText="1"/>
    </xf>
    <xf numFmtId="3" fontId="15" fillId="0" borderId="15" xfId="0" applyNumberFormat="1" applyFont="1" applyFill="1" applyBorder="1" applyAlignment="1">
      <alignment vertical="center" wrapText="1"/>
    </xf>
    <xf numFmtId="1" fontId="47" fillId="0" borderId="15" xfId="0" applyNumberFormat="1" applyFont="1" applyFill="1" applyBorder="1" applyAlignment="1">
      <alignment vertical="center" wrapText="1"/>
    </xf>
    <xf numFmtId="3" fontId="47" fillId="0" borderId="15" xfId="0" applyNumberFormat="1" applyFont="1" applyFill="1" applyBorder="1" applyAlignment="1">
      <alignment vertical="center" wrapText="1"/>
    </xf>
    <xf numFmtId="0" fontId="54" fillId="0" borderId="27" xfId="0" applyFont="1" applyFill="1" applyBorder="1" applyAlignment="1">
      <alignment vertical="center" wrapText="1"/>
    </xf>
    <xf numFmtId="1" fontId="41" fillId="0" borderId="27" xfId="0" applyNumberFormat="1" applyFont="1" applyFill="1" applyBorder="1" applyAlignment="1">
      <alignment vertical="center" wrapText="1"/>
    </xf>
    <xf numFmtId="3" fontId="41" fillId="0" borderId="27" xfId="0" applyNumberFormat="1" applyFont="1" applyFill="1" applyBorder="1" applyAlignment="1">
      <alignment horizontal="right" vertical="center" wrapText="1"/>
    </xf>
    <xf numFmtId="0" fontId="49" fillId="0" borderId="14"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9" fillId="0" borderId="15" xfId="0" applyFont="1" applyFill="1" applyBorder="1" applyAlignment="1">
      <alignment horizontal="left" vertical="center" wrapText="1"/>
    </xf>
    <xf numFmtId="0" fontId="50" fillId="0" borderId="14" xfId="0" applyFont="1" applyFill="1" applyBorder="1" applyAlignment="1">
      <alignment horizontal="center" vertical="center" wrapText="1"/>
    </xf>
    <xf numFmtId="0" fontId="50" fillId="0" borderId="15" xfId="0" applyFont="1" applyFill="1" applyBorder="1" applyAlignment="1">
      <alignment horizontal="center" vertical="center" wrapText="1"/>
    </xf>
    <xf numFmtId="0" fontId="50" fillId="0" borderId="15" xfId="0" applyFont="1" applyFill="1" applyBorder="1" applyAlignment="1">
      <alignment horizontal="left" vertical="center" wrapText="1"/>
    </xf>
    <xf numFmtId="0" fontId="34" fillId="0" borderId="15" xfId="0" quotePrefix="1" applyFont="1" applyFill="1" applyBorder="1" applyAlignment="1">
      <alignment vertical="center" wrapText="1"/>
    </xf>
    <xf numFmtId="49" fontId="33" fillId="0" borderId="15" xfId="0" applyNumberFormat="1"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1" fillId="0" borderId="15" xfId="0" applyFont="1" applyFill="1" applyBorder="1" applyAlignment="1">
      <alignment horizontal="center" vertical="center" wrapText="1"/>
    </xf>
    <xf numFmtId="49" fontId="41" fillId="0" borderId="15" xfId="0" applyNumberFormat="1" applyFont="1" applyFill="1" applyBorder="1" applyAlignment="1">
      <alignment horizontal="center" vertical="center" wrapText="1"/>
    </xf>
    <xf numFmtId="0" fontId="41" fillId="0" borderId="15" xfId="0" quotePrefix="1" applyFont="1" applyFill="1" applyBorder="1" applyAlignment="1">
      <alignment vertical="center" wrapText="1"/>
    </xf>
    <xf numFmtId="0" fontId="41" fillId="0" borderId="11" xfId="0" applyFont="1" applyFill="1" applyBorder="1" applyAlignment="1">
      <alignment horizontal="center" vertical="center" wrapText="1"/>
    </xf>
    <xf numFmtId="3" fontId="41" fillId="0" borderId="18" xfId="0" applyNumberFormat="1" applyFont="1" applyFill="1" applyBorder="1" applyAlignment="1">
      <alignment vertical="center" wrapText="1"/>
    </xf>
    <xf numFmtId="3" fontId="41" fillId="0" borderId="1" xfId="0" applyNumberFormat="1" applyFont="1" applyFill="1" applyBorder="1" applyAlignment="1">
      <alignment vertical="center" wrapText="1"/>
    </xf>
    <xf numFmtId="3" fontId="41" fillId="0" borderId="12" xfId="0" applyNumberFormat="1" applyFont="1" applyFill="1" applyBorder="1" applyAlignment="1">
      <alignment vertical="center" wrapText="1"/>
    </xf>
    <xf numFmtId="0" fontId="15" fillId="0" borderId="15" xfId="0" applyFont="1" applyFill="1" applyBorder="1" applyAlignment="1">
      <alignment horizontal="center" vertical="center"/>
    </xf>
    <xf numFmtId="0" fontId="41" fillId="0" borderId="0" xfId="0" applyFont="1" applyFill="1" applyAlignment="1">
      <alignment horizontal="center" vertical="center"/>
    </xf>
    <xf numFmtId="49" fontId="34"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xf>
    <xf numFmtId="3" fontId="15" fillId="0" borderId="0" xfId="0" applyNumberFormat="1" applyFont="1" applyFill="1" applyAlignment="1">
      <alignment horizontal="right" vertical="center"/>
    </xf>
    <xf numFmtId="3" fontId="41" fillId="0" borderId="0" xfId="0" applyNumberFormat="1" applyFont="1" applyFill="1" applyAlignment="1">
      <alignment horizontal="right" vertical="center"/>
    </xf>
    <xf numFmtId="3" fontId="41" fillId="0" borderId="0" xfId="0" applyNumberFormat="1" applyFont="1" applyFill="1" applyBorder="1" applyAlignment="1">
      <alignment horizontal="righ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20" fillId="0" borderId="0" xfId="0" applyFont="1" applyFill="1"/>
    <xf numFmtId="49" fontId="13" fillId="0" borderId="0" xfId="0" applyNumberFormat="1" applyFont="1" applyFill="1" applyAlignment="1">
      <alignment horizontal="center" vertical="center"/>
    </xf>
    <xf numFmtId="49" fontId="15" fillId="0" borderId="0" xfId="0" applyNumberFormat="1" applyFont="1" applyFill="1" applyAlignment="1">
      <alignment horizontal="left" vertical="center"/>
    </xf>
    <xf numFmtId="3" fontId="13" fillId="0" borderId="0" xfId="0" applyNumberFormat="1" applyFont="1" applyFill="1" applyAlignment="1">
      <alignment horizontal="right" vertical="center"/>
    </xf>
    <xf numFmtId="0" fontId="15" fillId="0" borderId="0" xfId="0" applyFont="1" applyFill="1" applyAlignment="1">
      <alignment horizontal="center"/>
    </xf>
    <xf numFmtId="168" fontId="7" fillId="0" borderId="0" xfId="0" applyNumberFormat="1" applyFont="1" applyFill="1" applyAlignment="1">
      <alignment horizontal="right" vertical="center"/>
    </xf>
    <xf numFmtId="49" fontId="7" fillId="0" borderId="0" xfId="0" applyNumberFormat="1" applyFont="1" applyFill="1" applyAlignment="1">
      <alignment vertical="center"/>
    </xf>
    <xf numFmtId="4" fontId="7" fillId="0" borderId="0" xfId="0" applyNumberFormat="1" applyFont="1" applyFill="1" applyAlignment="1">
      <alignment horizontal="right" vertical="center"/>
    </xf>
    <xf numFmtId="170" fontId="51" fillId="0" borderId="0" xfId="0" applyNumberFormat="1" applyFont="1" applyFill="1" applyAlignment="1">
      <alignment horizontal="center"/>
    </xf>
    <xf numFmtId="3" fontId="7" fillId="0" borderId="0" xfId="0" applyNumberFormat="1" applyFont="1" applyFill="1" applyAlignment="1">
      <alignment horizontal="right" vertical="center"/>
    </xf>
    <xf numFmtId="4" fontId="9" fillId="0" borderId="0" xfId="0" applyNumberFormat="1" applyFont="1" applyFill="1" applyAlignment="1">
      <alignment horizontal="right" vertical="center"/>
    </xf>
    <xf numFmtId="3" fontId="9" fillId="0" borderId="0" xfId="0" applyNumberFormat="1" applyFont="1" applyFill="1" applyAlignment="1">
      <alignment horizontal="right" vertical="center"/>
    </xf>
    <xf numFmtId="176" fontId="45" fillId="2" borderId="0" xfId="0" applyNumberFormat="1" applyFont="1" applyFill="1"/>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wrapText="1"/>
    </xf>
    <xf numFmtId="0" fontId="0" fillId="0" borderId="27" xfId="0" applyBorder="1"/>
    <xf numFmtId="0" fontId="0" fillId="0" borderId="28" xfId="0" applyBorder="1"/>
    <xf numFmtId="0" fontId="6" fillId="0" borderId="9" xfId="0" applyFont="1" applyBorder="1" applyAlignment="1">
      <alignment horizontal="centerContinuous" vertical="center"/>
    </xf>
    <xf numFmtId="0" fontId="5" fillId="0" borderId="11" xfId="0" applyFont="1" applyBorder="1" applyAlignment="1">
      <alignment horizontal="centerContinuous" vertical="center"/>
    </xf>
    <xf numFmtId="49" fontId="6" fillId="0" borderId="9" xfId="0" applyNumberFormat="1" applyFont="1" applyBorder="1" applyAlignment="1">
      <alignment horizontal="center" vertical="center"/>
    </xf>
    <xf numFmtId="0" fontId="5" fillId="0" borderId="9" xfId="0" applyFont="1" applyBorder="1" applyAlignment="1">
      <alignment horizontal="center" vertical="center"/>
    </xf>
    <xf numFmtId="175" fontId="6" fillId="0" borderId="22" xfId="0" applyNumberFormat="1" applyFont="1" applyBorder="1" applyAlignment="1">
      <alignment horizont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168" fontId="7" fillId="2" borderId="10" xfId="0" applyNumberFormat="1" applyFont="1" applyFill="1" applyBorder="1" applyAlignment="1">
      <alignment horizontal="center" vertical="center" wrapText="1"/>
    </xf>
    <xf numFmtId="49" fontId="7" fillId="2" borderId="26" xfId="0" applyNumberFormat="1" applyFont="1" applyFill="1" applyBorder="1" applyAlignment="1">
      <alignment horizontal="center" vertical="center" wrapText="1"/>
    </xf>
    <xf numFmtId="0" fontId="5" fillId="2" borderId="9" xfId="0" applyFont="1" applyFill="1" applyBorder="1"/>
    <xf numFmtId="49" fontId="5" fillId="2" borderId="11" xfId="0" applyNumberFormat="1" applyFont="1" applyFill="1" applyBorder="1" applyAlignment="1">
      <alignment horizontal="center" vertical="center"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53" xfId="0" applyFont="1" applyBorder="1" applyAlignment="1">
      <alignment horizontal="center" vertical="top" wrapText="1"/>
    </xf>
    <xf numFmtId="0" fontId="0" fillId="0" borderId="18" xfId="0" applyBorder="1"/>
    <xf numFmtId="0" fontId="0" fillId="0" borderId="19" xfId="0" applyBorder="1"/>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5" fillId="0" borderId="15" xfId="0" applyFont="1" applyBorder="1" applyAlignment="1">
      <alignment horizontal="center" vertical="center" wrapText="1"/>
    </xf>
    <xf numFmtId="1" fontId="7" fillId="0" borderId="64" xfId="0" applyNumberFormat="1" applyFont="1" applyBorder="1" applyAlignment="1">
      <alignment horizontal="center" vertical="center" wrapText="1"/>
    </xf>
    <xf numFmtId="167" fontId="20" fillId="2" borderId="64" xfId="0" applyNumberFormat="1" applyFont="1" applyFill="1" applyBorder="1" applyAlignment="1">
      <alignment horizontal="right" vertical="center" wrapText="1"/>
    </xf>
    <xf numFmtId="167" fontId="24" fillId="0" borderId="62" xfId="1" applyNumberFormat="1" applyFont="1" applyFill="1" applyBorder="1" applyAlignment="1">
      <alignment horizontal="right" vertical="center" wrapText="1"/>
    </xf>
    <xf numFmtId="3" fontId="20" fillId="3" borderId="16" xfId="0" applyNumberFormat="1"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xf>
    <xf numFmtId="0" fontId="13" fillId="0" borderId="0" xfId="0" applyFont="1" applyAlignment="1">
      <alignment horizontal="center" vertical="center"/>
    </xf>
    <xf numFmtId="0" fontId="15" fillId="0" borderId="0" xfId="0" applyFont="1" applyAlignment="1">
      <alignment horizontal="center" vertical="center" wrapText="1"/>
    </xf>
    <xf numFmtId="0" fontId="7" fillId="0" borderId="0" xfId="0" applyFont="1" applyAlignment="1">
      <alignment horizontal="left" vertical="center"/>
    </xf>
    <xf numFmtId="0" fontId="15" fillId="0" borderId="0" xfId="0" applyFont="1" applyAlignment="1">
      <alignment horizontal="left" vertical="center"/>
    </xf>
    <xf numFmtId="0" fontId="7" fillId="0" borderId="2" xfId="0" applyFont="1" applyBorder="1" applyAlignment="1">
      <alignment horizontal="left"/>
    </xf>
    <xf numFmtId="0" fontId="15" fillId="0" borderId="0" xfId="0" applyFont="1" applyAlignment="1">
      <alignment horizontal="center" wrapText="1"/>
    </xf>
    <xf numFmtId="49" fontId="25" fillId="0" borderId="12"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3" fontId="25" fillId="0" borderId="12"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0" fontId="25" fillId="0" borderId="11"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8" xfId="0" applyFont="1" applyFill="1" applyBorder="1" applyAlignment="1">
      <alignment horizontal="center" vertical="center"/>
    </xf>
    <xf numFmtId="49" fontId="25" fillId="0" borderId="12" xfId="0" applyNumberFormat="1"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18" xfId="0" applyFont="1" applyFill="1" applyBorder="1" applyAlignment="1">
      <alignment horizontal="center" vertical="center" wrapText="1"/>
    </xf>
    <xf numFmtId="49" fontId="25" fillId="0" borderId="27" xfId="0" applyNumberFormat="1" applyFont="1" applyFill="1" applyBorder="1" applyAlignment="1">
      <alignment horizontal="center" vertical="center" wrapText="1"/>
    </xf>
    <xf numFmtId="0" fontId="41" fillId="0" borderId="12" xfId="0" quotePrefix="1" applyFont="1" applyFill="1" applyBorder="1" applyAlignment="1">
      <alignment horizontal="center" vertical="center" wrapText="1"/>
    </xf>
    <xf numFmtId="0" fontId="41" fillId="0" borderId="18" xfId="0" quotePrefix="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15" fillId="0" borderId="0" xfId="0" applyFont="1" applyAlignment="1">
      <alignment horizontal="center" vertical="center" wrapText="1"/>
    </xf>
    <xf numFmtId="0" fontId="25" fillId="0" borderId="1" xfId="0" applyFont="1" applyBorder="1" applyAlignment="1">
      <alignment horizontal="left" vertical="center" wrapText="1"/>
    </xf>
    <xf numFmtId="167" fontId="25" fillId="0" borderId="18" xfId="1" applyNumberFormat="1" applyFont="1" applyFill="1" applyBorder="1" applyAlignment="1">
      <alignment horizontal="right" vertical="center" wrapText="1"/>
    </xf>
    <xf numFmtId="167" fontId="25" fillId="0" borderId="49" xfId="1" applyNumberFormat="1" applyFont="1" applyFill="1" applyBorder="1" applyAlignment="1">
      <alignment horizontal="right" vertical="center" wrapText="1"/>
    </xf>
    <xf numFmtId="0" fontId="34" fillId="2" borderId="1" xfId="0" quotePrefix="1" applyFont="1" applyFill="1" applyBorder="1" applyAlignment="1">
      <alignment vertical="center" wrapText="1"/>
    </xf>
    <xf numFmtId="3" fontId="41" fillId="0" borderId="27" xfId="0" applyNumberFormat="1" applyFont="1" applyBorder="1" applyAlignment="1">
      <alignment horizontal="center" vertical="center" wrapText="1"/>
    </xf>
    <xf numFmtId="3" fontId="25" fillId="2" borderId="27" xfId="0" applyNumberFormat="1" applyFont="1" applyFill="1" applyBorder="1" applyAlignment="1">
      <alignment horizontal="right" vertical="center"/>
    </xf>
    <xf numFmtId="3" fontId="25" fillId="0" borderId="18" xfId="0" applyNumberFormat="1" applyFont="1" applyBorder="1" applyAlignment="1">
      <alignment horizontal="right" vertical="center"/>
    </xf>
    <xf numFmtId="9" fontId="25" fillId="0" borderId="18" xfId="0" applyNumberFormat="1" applyFont="1" applyBorder="1" applyAlignment="1">
      <alignment horizontal="right" vertical="center"/>
    </xf>
    <xf numFmtId="9" fontId="25" fillId="0" borderId="19" xfId="0" applyNumberFormat="1" applyFont="1" applyBorder="1" applyAlignment="1">
      <alignment horizontal="center" vertical="center"/>
    </xf>
    <xf numFmtId="3" fontId="25" fillId="0" borderId="3" xfId="0" applyNumberFormat="1" applyFont="1" applyFill="1" applyBorder="1" applyAlignment="1">
      <alignment horizontal="right" vertical="center" wrapText="1"/>
    </xf>
    <xf numFmtId="3" fontId="41" fillId="0" borderId="1" xfId="0" applyNumberFormat="1" applyFont="1" applyFill="1" applyBorder="1" applyAlignment="1">
      <alignment horizontal="center" vertical="center" wrapText="1"/>
    </xf>
    <xf numFmtId="3" fontId="41" fillId="0" borderId="27" xfId="0" applyNumberFormat="1" applyFont="1" applyFill="1" applyBorder="1" applyAlignment="1">
      <alignment horizontal="center" vertical="center" wrapText="1"/>
    </xf>
    <xf numFmtId="3" fontId="25" fillId="0" borderId="49" xfId="0" applyNumberFormat="1" applyFont="1" applyFill="1" applyBorder="1" applyAlignment="1">
      <alignment horizontal="right" vertical="center" wrapText="1"/>
    </xf>
    <xf numFmtId="3" fontId="25" fillId="2" borderId="1" xfId="0" quotePrefix="1" applyNumberFormat="1" applyFont="1" applyFill="1" applyBorder="1" applyAlignment="1">
      <alignment horizontal="right" vertical="center" wrapText="1"/>
    </xf>
    <xf numFmtId="49" fontId="25" fillId="0" borderId="1" xfId="0" applyNumberFormat="1" applyFont="1" applyFill="1" applyBorder="1" applyAlignment="1">
      <alignment horizontal="center" vertical="center" wrapText="1"/>
    </xf>
    <xf numFmtId="3" fontId="25" fillId="0" borderId="3" xfId="0" applyNumberFormat="1" applyFont="1" applyFill="1" applyBorder="1" applyAlignment="1">
      <alignment horizontal="right" vertical="center"/>
    </xf>
    <xf numFmtId="3" fontId="3" fillId="0" borderId="3" xfId="0" applyNumberFormat="1" applyFont="1" applyFill="1" applyBorder="1" applyAlignment="1">
      <alignment vertical="center"/>
    </xf>
    <xf numFmtId="3" fontId="24" fillId="0" borderId="3" xfId="0" applyNumberFormat="1" applyFont="1" applyFill="1" applyBorder="1" applyAlignment="1">
      <alignment vertical="center"/>
    </xf>
    <xf numFmtId="9" fontId="24" fillId="2" borderId="10" xfId="0" applyNumberFormat="1" applyFont="1" applyFill="1" applyBorder="1" applyAlignment="1">
      <alignment horizontal="right" vertical="center"/>
    </xf>
    <xf numFmtId="172" fontId="25" fillId="0" borderId="3" xfId="6" applyNumberFormat="1" applyFont="1" applyFill="1" applyBorder="1" applyAlignment="1">
      <alignment horizontal="right" vertical="center" wrapText="1"/>
    </xf>
    <xf numFmtId="3" fontId="24" fillId="0" borderId="3" xfId="0" applyNumberFormat="1" applyFont="1" applyFill="1" applyBorder="1" applyAlignment="1">
      <alignment horizontal="right" vertical="center"/>
    </xf>
    <xf numFmtId="0" fontId="41" fillId="0" borderId="18" xfId="0" applyFont="1" applyFill="1" applyBorder="1" applyAlignment="1">
      <alignment horizontal="center" vertical="center" wrapText="1"/>
    </xf>
    <xf numFmtId="0" fontId="41" fillId="0" borderId="1" xfId="0" quotePrefix="1" applyFont="1" applyFill="1" applyBorder="1" applyAlignment="1">
      <alignment horizontal="center" vertical="center" wrapText="1"/>
    </xf>
    <xf numFmtId="0" fontId="26" fillId="0" borderId="1" xfId="0" applyFont="1" applyFill="1" applyBorder="1" applyAlignment="1">
      <alignment horizontal="left" vertical="center" wrapText="1"/>
    </xf>
    <xf numFmtId="49" fontId="24" fillId="0" borderId="1" xfId="0" applyNumberFormat="1" applyFont="1" applyFill="1" applyBorder="1" applyAlignment="1">
      <alignment horizontal="center" vertical="center" wrapText="1"/>
    </xf>
    <xf numFmtId="9" fontId="24" fillId="0" borderId="10" xfId="0" applyNumberFormat="1" applyFont="1" applyFill="1" applyBorder="1" applyAlignment="1">
      <alignment horizontal="right" vertical="center" wrapText="1"/>
    </xf>
    <xf numFmtId="3" fontId="25" fillId="0" borderId="44" xfId="0" applyNumberFormat="1" applyFont="1" applyFill="1" applyBorder="1" applyAlignment="1">
      <alignment vertical="center" wrapText="1"/>
    </xf>
    <xf numFmtId="0" fontId="33" fillId="0" borderId="15" xfId="0" quotePrefix="1" applyFont="1" applyBorder="1" applyAlignment="1">
      <alignment vertical="center" wrapText="1"/>
    </xf>
    <xf numFmtId="0" fontId="48" fillId="0" borderId="7" xfId="0" quotePrefix="1" applyFont="1" applyBorder="1" applyAlignment="1">
      <alignment vertical="center" wrapText="1"/>
    </xf>
    <xf numFmtId="0" fontId="41" fillId="2" borderId="18" xfId="0" applyFont="1" applyFill="1" applyBorder="1" applyAlignment="1">
      <alignment horizontal="center" vertical="center" wrapText="1"/>
    </xf>
    <xf numFmtId="0" fontId="25" fillId="0" borderId="18" xfId="0" applyFont="1" applyBorder="1" applyAlignment="1">
      <alignment vertical="center" wrapText="1"/>
    </xf>
    <xf numFmtId="1" fontId="19" fillId="0" borderId="0" xfId="0" applyNumberFormat="1" applyFont="1" applyAlignment="1">
      <alignment horizontal="right" vertical="center"/>
    </xf>
    <xf numFmtId="49" fontId="9" fillId="0" borderId="50" xfId="0" applyNumberFormat="1" applyFont="1" applyBorder="1" applyAlignment="1">
      <alignment horizontal="center" vertical="center" wrapText="1"/>
    </xf>
    <xf numFmtId="0" fontId="9" fillId="0" borderId="15" xfId="0" applyFont="1" applyBorder="1" applyAlignment="1">
      <alignment horizontal="center"/>
    </xf>
    <xf numFmtId="0" fontId="9" fillId="0" borderId="16" xfId="0" applyFont="1" applyBorder="1" applyAlignment="1">
      <alignment horizontal="center"/>
    </xf>
    <xf numFmtId="0" fontId="9" fillId="0" borderId="0" xfId="0" applyFont="1" applyAlignment="1">
      <alignment horizontal="center"/>
    </xf>
    <xf numFmtId="3" fontId="13" fillId="0" borderId="53" xfId="0" applyNumberFormat="1" applyFont="1" applyBorder="1" applyAlignment="1">
      <alignment horizontal="right" wrapText="1"/>
    </xf>
    <xf numFmtId="3" fontId="13" fillId="0" borderId="27" xfId="0" applyNumberFormat="1" applyFont="1" applyBorder="1" applyAlignment="1">
      <alignment horizontal="right"/>
    </xf>
    <xf numFmtId="9" fontId="13" fillId="0" borderId="28" xfId="0" applyNumberFormat="1" applyFont="1" applyBorder="1" applyAlignment="1">
      <alignment horizontal="right"/>
    </xf>
    <xf numFmtId="9" fontId="13" fillId="0" borderId="16" xfId="0" applyNumberFormat="1" applyFont="1" applyBorder="1" applyAlignment="1">
      <alignment horizontal="right"/>
    </xf>
    <xf numFmtId="9" fontId="13" fillId="0" borderId="19" xfId="0" applyNumberFormat="1" applyFont="1" applyBorder="1" applyAlignment="1">
      <alignment horizontal="right"/>
    </xf>
    <xf numFmtId="9" fontId="13" fillId="0" borderId="10" xfId="0" applyNumberFormat="1" applyFont="1" applyBorder="1" applyAlignment="1">
      <alignment horizontal="right"/>
    </xf>
    <xf numFmtId="9" fontId="37" fillId="0" borderId="10" xfId="0" applyNumberFormat="1" applyFont="1" applyBorder="1" applyAlignment="1">
      <alignment horizontal="right"/>
    </xf>
    <xf numFmtId="9" fontId="7" fillId="0" borderId="10" xfId="0" applyNumberFormat="1" applyFont="1" applyBorder="1" applyAlignment="1">
      <alignment horizontal="right"/>
    </xf>
    <xf numFmtId="9" fontId="37" fillId="0" borderId="13" xfId="0" applyNumberFormat="1" applyFont="1" applyBorder="1" applyAlignment="1">
      <alignment horizontal="right"/>
    </xf>
    <xf numFmtId="3" fontId="13" fillId="0" borderId="50" xfId="0" applyNumberFormat="1" applyFont="1" applyBorder="1" applyAlignment="1">
      <alignment horizontal="right" vertical="center" wrapText="1"/>
    </xf>
    <xf numFmtId="3" fontId="13" fillId="0" borderId="15" xfId="0" applyNumberFormat="1" applyFont="1" applyBorder="1" applyAlignment="1">
      <alignment horizontal="right"/>
    </xf>
    <xf numFmtId="167" fontId="20" fillId="2" borderId="37" xfId="1" applyNumberFormat="1" applyFont="1" applyFill="1" applyBorder="1" applyAlignment="1">
      <alignment horizontal="right"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168" fontId="41" fillId="0" borderId="13" xfId="0" applyNumberFormat="1" applyFont="1" applyFill="1" applyBorder="1" applyAlignment="1">
      <alignment horizontal="right" vertical="center"/>
    </xf>
    <xf numFmtId="0" fontId="7" fillId="0" borderId="0" xfId="0" applyFont="1" applyFill="1" applyAlignment="1">
      <alignment horizontal="left"/>
    </xf>
    <xf numFmtId="0" fontId="15" fillId="0" borderId="0" xfId="0" applyFont="1" applyFill="1" applyAlignment="1">
      <alignment horizontal="left" vertical="center"/>
    </xf>
    <xf numFmtId="0" fontId="7" fillId="0" borderId="0" xfId="0" applyFont="1" applyFill="1" applyAlignment="1">
      <alignment horizontal="right"/>
    </xf>
    <xf numFmtId="0" fontId="7" fillId="0" borderId="12"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1" fillId="0" borderId="18" xfId="0" applyFont="1" applyFill="1" applyBorder="1" applyAlignment="1">
      <alignment horizontal="center" vertical="center" wrapText="1"/>
    </xf>
    <xf numFmtId="3" fontId="7" fillId="0" borderId="0" xfId="0" applyNumberFormat="1" applyFont="1" applyFill="1" applyAlignment="1">
      <alignment vertical="center"/>
    </xf>
    <xf numFmtId="3" fontId="47" fillId="0" borderId="0" xfId="0" applyNumberFormat="1" applyFont="1" applyFill="1" applyAlignment="1">
      <alignment horizontal="left" vertical="center"/>
    </xf>
    <xf numFmtId="49" fontId="47" fillId="0" borderId="15" xfId="0" applyNumberFormat="1" applyFont="1" applyFill="1" applyBorder="1" applyAlignment="1">
      <alignment horizontal="center" vertical="center"/>
    </xf>
    <xf numFmtId="0" fontId="47" fillId="0" borderId="15" xfId="0" applyFont="1" applyFill="1" applyBorder="1" applyAlignment="1">
      <alignment horizontal="left" vertical="top" wrapText="1"/>
    </xf>
    <xf numFmtId="0" fontId="47" fillId="0" borderId="15" xfId="0" applyFont="1" applyFill="1" applyBorder="1" applyAlignment="1">
      <alignment horizontal="center" vertical="top" wrapText="1"/>
    </xf>
    <xf numFmtId="49" fontId="41" fillId="0" borderId="17" xfId="0" applyNumberFormat="1" applyFont="1" applyFill="1" applyBorder="1" applyAlignment="1">
      <alignment horizontal="center" vertical="center"/>
    </xf>
    <xf numFmtId="49" fontId="41" fillId="0" borderId="18" xfId="0" applyNumberFormat="1" applyFont="1" applyFill="1" applyBorder="1" applyAlignment="1">
      <alignment horizontal="center" vertical="center"/>
    </xf>
    <xf numFmtId="0" fontId="41" fillId="0" borderId="18" xfId="0" quotePrefix="1" applyFont="1" applyFill="1" applyBorder="1" applyAlignment="1">
      <alignment vertical="center" wrapText="1"/>
    </xf>
    <xf numFmtId="0" fontId="41" fillId="0" borderId="18" xfId="0" applyFont="1" applyFill="1" applyBorder="1" applyAlignment="1">
      <alignment horizontal="right" vertical="center"/>
    </xf>
    <xf numFmtId="49" fontId="34" fillId="0" borderId="9" xfId="0" applyNumberFormat="1" applyFont="1" applyFill="1" applyBorder="1" applyAlignment="1">
      <alignment horizontal="center" vertical="center" wrapText="1"/>
    </xf>
    <xf numFmtId="49" fontId="34" fillId="0" borderId="1" xfId="0" quotePrefix="1" applyNumberFormat="1" applyFont="1" applyFill="1" applyBorder="1" applyAlignment="1">
      <alignment vertical="center" wrapText="1"/>
    </xf>
    <xf numFmtId="0" fontId="41" fillId="0" borderId="1" xfId="0" applyFont="1" applyFill="1" applyBorder="1" applyAlignment="1">
      <alignment horizontal="right" vertical="center"/>
    </xf>
    <xf numFmtId="3" fontId="41" fillId="0" borderId="1" xfId="0" applyNumberFormat="1" applyFont="1" applyFill="1" applyBorder="1" applyAlignment="1">
      <alignment vertical="center"/>
    </xf>
    <xf numFmtId="0" fontId="34" fillId="0" borderId="12" xfId="0" applyFont="1" applyFill="1" applyBorder="1" applyAlignment="1">
      <alignment horizontal="center" vertical="center" wrapText="1"/>
    </xf>
    <xf numFmtId="0" fontId="34" fillId="0" borderId="1" xfId="0" applyFont="1" applyFill="1" applyBorder="1" applyAlignment="1">
      <alignment horizontal="right" vertical="center"/>
    </xf>
    <xf numFmtId="49" fontId="41" fillId="0" borderId="1" xfId="0" applyNumberFormat="1" applyFont="1" applyFill="1" applyBorder="1" applyAlignment="1">
      <alignment horizontal="center" vertical="center" wrapText="1"/>
    </xf>
    <xf numFmtId="0" fontId="41" fillId="0" borderId="12" xfId="0" applyFont="1" applyFill="1" applyBorder="1" applyAlignment="1">
      <alignment horizontal="right" vertical="center"/>
    </xf>
    <xf numFmtId="0" fontId="34" fillId="0" borderId="11" xfId="0" applyFont="1" applyFill="1" applyBorder="1" applyAlignment="1">
      <alignment horizontal="center" vertical="center" wrapText="1"/>
    </xf>
    <xf numFmtId="0" fontId="34" fillId="0" borderId="27" xfId="0" quotePrefix="1" applyFont="1" applyFill="1" applyBorder="1" applyAlignment="1">
      <alignment vertical="top" wrapText="1"/>
    </xf>
    <xf numFmtId="0" fontId="34" fillId="0" borderId="1" xfId="0" quotePrefix="1" applyFont="1" applyFill="1" applyBorder="1" applyAlignment="1">
      <alignment horizontal="left" vertical="top" wrapText="1"/>
    </xf>
    <xf numFmtId="3" fontId="15" fillId="0" borderId="1" xfId="0" applyNumberFormat="1" applyFont="1" applyFill="1" applyBorder="1" applyAlignment="1">
      <alignment horizontal="right" vertical="center"/>
    </xf>
    <xf numFmtId="0" fontId="33" fillId="0" borderId="1" xfId="0" applyFont="1" applyFill="1" applyBorder="1" applyAlignment="1">
      <alignment horizontal="center" vertical="center" wrapText="1"/>
    </xf>
    <xf numFmtId="3" fontId="47" fillId="0" borderId="1" xfId="0" applyNumberFormat="1" applyFont="1" applyFill="1" applyBorder="1" applyAlignment="1">
      <alignment horizontal="right" vertical="center"/>
    </xf>
    <xf numFmtId="0" fontId="33" fillId="0" borderId="1" xfId="0" quotePrefix="1" applyFont="1" applyFill="1" applyBorder="1" applyAlignment="1">
      <alignment vertical="center" wrapText="1"/>
    </xf>
    <xf numFmtId="0" fontId="48" fillId="0" borderId="1" xfId="0" applyFont="1" applyFill="1" applyBorder="1" applyAlignment="1">
      <alignment horizontal="center" vertical="center" wrapText="1"/>
    </xf>
    <xf numFmtId="0" fontId="48" fillId="0" borderId="1" xfId="0" quotePrefix="1" applyFont="1" applyFill="1" applyBorder="1" applyAlignment="1">
      <alignment vertical="center" wrapText="1"/>
    </xf>
    <xf numFmtId="0" fontId="41" fillId="0" borderId="1" xfId="0" applyFont="1" applyFill="1" applyBorder="1" applyAlignment="1">
      <alignment vertical="center" wrapText="1"/>
    </xf>
    <xf numFmtId="3" fontId="47" fillId="0" borderId="18" xfId="0" applyNumberFormat="1" applyFont="1" applyFill="1" applyBorder="1" applyAlignment="1">
      <alignment horizontal="right" vertical="center" wrapText="1"/>
    </xf>
    <xf numFmtId="3" fontId="47" fillId="0" borderId="18" xfId="0" applyNumberFormat="1" applyFont="1" applyFill="1" applyBorder="1" applyAlignment="1">
      <alignment horizontal="right" vertical="center"/>
    </xf>
    <xf numFmtId="0" fontId="34" fillId="0" borderId="12" xfId="0" quotePrefix="1" applyFont="1" applyFill="1" applyBorder="1" applyAlignment="1">
      <alignment vertical="top" wrapText="1"/>
    </xf>
    <xf numFmtId="0" fontId="34" fillId="0" borderId="18" xfId="0" quotePrefix="1" applyFont="1" applyFill="1" applyBorder="1" applyAlignment="1">
      <alignment horizontal="left" vertical="top" wrapText="1"/>
    </xf>
    <xf numFmtId="0" fontId="41" fillId="0" borderId="12" xfId="0" applyFont="1" applyFill="1" applyBorder="1" applyAlignment="1">
      <alignment vertical="top" wrapText="1"/>
    </xf>
    <xf numFmtId="49" fontId="41" fillId="0" borderId="11" xfId="0" applyNumberFormat="1" applyFont="1" applyFill="1" applyBorder="1" applyAlignment="1">
      <alignment horizontal="center" vertical="center" wrapText="1"/>
    </xf>
    <xf numFmtId="0" fontId="33" fillId="0" borderId="9" xfId="0" applyFont="1" applyFill="1" applyBorder="1" applyAlignment="1">
      <alignment horizontal="center" vertical="center" wrapText="1"/>
    </xf>
    <xf numFmtId="9" fontId="15" fillId="0" borderId="10" xfId="0" applyNumberFormat="1" applyFont="1" applyFill="1" applyBorder="1" applyAlignment="1">
      <alignment horizontal="right" vertical="center"/>
    </xf>
    <xf numFmtId="49" fontId="48" fillId="0" borderId="9" xfId="0" applyNumberFormat="1" applyFont="1" applyFill="1" applyBorder="1" applyAlignment="1">
      <alignment horizontal="center" vertical="center" wrapText="1"/>
    </xf>
    <xf numFmtId="9" fontId="47" fillId="0" borderId="10" xfId="0" applyNumberFormat="1" applyFont="1" applyFill="1" applyBorder="1" applyAlignment="1">
      <alignment horizontal="right" vertical="center"/>
    </xf>
    <xf numFmtId="0" fontId="41" fillId="0" borderId="9" xfId="0" applyFont="1" applyFill="1" applyBorder="1" applyAlignment="1">
      <alignment horizontal="center" vertical="center" wrapText="1"/>
    </xf>
    <xf numFmtId="168" fontId="47" fillId="0" borderId="19" xfId="0" applyNumberFormat="1" applyFont="1" applyFill="1" applyBorder="1" applyAlignment="1">
      <alignment horizontal="right" vertical="center"/>
    </xf>
    <xf numFmtId="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7" fillId="0" borderId="0" xfId="0" applyFont="1" applyAlignment="1">
      <alignment horizontal="left" vertical="center" wrapText="1"/>
    </xf>
    <xf numFmtId="0" fontId="34" fillId="0" borderId="0" xfId="0" applyFont="1" applyAlignment="1">
      <alignment horizontal="center"/>
    </xf>
    <xf numFmtId="0" fontId="7" fillId="0" borderId="0" xfId="0" applyFont="1" applyAlignment="1">
      <alignment horizontal="left"/>
    </xf>
    <xf numFmtId="0" fontId="36" fillId="0" borderId="0" xfId="0" applyFont="1" applyAlignment="1">
      <alignment horizontal="center"/>
    </xf>
    <xf numFmtId="0" fontId="15" fillId="0" borderId="0" xfId="0" applyFont="1" applyAlignment="1">
      <alignment horizontal="left" vertical="center"/>
    </xf>
    <xf numFmtId="0" fontId="55" fillId="0" borderId="10" xfId="0" applyFont="1" applyBorder="1" applyAlignment="1">
      <alignment vertical="center" wrapText="1"/>
    </xf>
    <xf numFmtId="170" fontId="5" fillId="2" borderId="53" xfId="0" applyNumberFormat="1" applyFont="1" applyFill="1" applyBorder="1" applyAlignment="1">
      <alignment horizontal="right" vertical="center"/>
    </xf>
    <xf numFmtId="170" fontId="5" fillId="0" borderId="28" xfId="0" applyNumberFormat="1" applyFont="1" applyBorder="1" applyAlignment="1">
      <alignment horizontal="right" vertical="center" wrapText="1"/>
    </xf>
    <xf numFmtId="3" fontId="7" fillId="0" borderId="0" xfId="0" applyNumberFormat="1" applyFont="1" applyBorder="1" applyAlignment="1">
      <alignment horizontal="center" wrapText="1"/>
    </xf>
    <xf numFmtId="171" fontId="5" fillId="0" borderId="13" xfId="0" applyNumberFormat="1" applyFont="1" applyBorder="1" applyAlignment="1">
      <alignment horizontal="center"/>
    </xf>
    <xf numFmtId="177" fontId="6" fillId="0" borderId="10" xfId="0" applyNumberFormat="1" applyFont="1" applyBorder="1" applyAlignment="1">
      <alignment horizontal="center"/>
    </xf>
    <xf numFmtId="177" fontId="5" fillId="0" borderId="10" xfId="0" applyNumberFormat="1" applyFont="1" applyBorder="1" applyAlignment="1">
      <alignment horizontal="center"/>
    </xf>
    <xf numFmtId="3" fontId="13" fillId="0" borderId="1" xfId="0" applyNumberFormat="1" applyFont="1" applyBorder="1" applyAlignment="1">
      <alignment horizontal="center" wrapText="1"/>
    </xf>
    <xf numFmtId="175" fontId="5" fillId="0" borderId="10" xfId="0" applyNumberFormat="1" applyFont="1" applyBorder="1" applyAlignment="1">
      <alignment horizontal="center"/>
    </xf>
    <xf numFmtId="165" fontId="6" fillId="0" borderId="60" xfId="0" applyNumberFormat="1" applyFont="1" applyBorder="1" applyAlignment="1">
      <alignment horizontal="center" vertical="center"/>
    </xf>
    <xf numFmtId="170" fontId="35" fillId="2" borderId="10" xfId="0" applyNumberFormat="1" applyFont="1" applyFill="1" applyBorder="1" applyAlignment="1">
      <alignment horizontal="right" vertical="center" wrapText="1"/>
    </xf>
    <xf numFmtId="170" fontId="35" fillId="2" borderId="3" xfId="0" applyNumberFormat="1" applyFont="1" applyFill="1" applyBorder="1" applyAlignment="1">
      <alignment horizontal="right" vertical="center" wrapText="1"/>
    </xf>
    <xf numFmtId="178" fontId="6" fillId="0" borderId="10" xfId="0" applyNumberFormat="1" applyFont="1" applyBorder="1" applyAlignment="1">
      <alignment horizontal="center" vertical="center"/>
    </xf>
    <xf numFmtId="178" fontId="5" fillId="0" borderId="13" xfId="0" applyNumberFormat="1" applyFont="1" applyBorder="1" applyAlignment="1">
      <alignment horizontal="center" vertical="center"/>
    </xf>
    <xf numFmtId="178" fontId="6" fillId="0" borderId="13" xfId="0" applyNumberFormat="1" applyFont="1" applyBorder="1" applyAlignment="1">
      <alignment horizontal="center" vertical="center"/>
    </xf>
    <xf numFmtId="0" fontId="56" fillId="2" borderId="36" xfId="0" applyFont="1" applyFill="1" applyBorder="1" applyAlignment="1">
      <alignment horizontal="center" vertical="center" wrapText="1"/>
    </xf>
    <xf numFmtId="0" fontId="56" fillId="2" borderId="37" xfId="0" applyFont="1" applyFill="1" applyBorder="1" applyAlignment="1">
      <alignment horizontal="center" vertical="center" wrapText="1"/>
    </xf>
    <xf numFmtId="165" fontId="56" fillId="2" borderId="37" xfId="0" applyNumberFormat="1" applyFont="1" applyFill="1" applyBorder="1" applyAlignment="1">
      <alignment horizontal="center" vertical="center" wrapText="1"/>
    </xf>
    <xf numFmtId="0" fontId="56" fillId="2" borderId="52" xfId="0" applyFont="1" applyFill="1" applyBorder="1" applyAlignment="1">
      <alignment horizontal="center" vertical="center" wrapText="1"/>
    </xf>
    <xf numFmtId="171" fontId="6" fillId="0" borderId="10" xfId="0" applyNumberFormat="1" applyFont="1" applyBorder="1" applyAlignment="1">
      <alignment horizontal="center"/>
    </xf>
    <xf numFmtId="171" fontId="5" fillId="0" borderId="10" xfId="0" applyNumberFormat="1" applyFont="1" applyBorder="1" applyAlignment="1">
      <alignment horizontal="center"/>
    </xf>
    <xf numFmtId="0" fontId="5" fillId="0" borderId="0" xfId="0" applyFont="1" applyBorder="1"/>
    <xf numFmtId="0" fontId="5" fillId="0" borderId="0" xfId="0" applyFont="1" applyBorder="1" applyAlignment="1">
      <alignment horizontal="right"/>
    </xf>
    <xf numFmtId="0" fontId="6" fillId="0" borderId="51" xfId="0" applyFont="1" applyBorder="1" applyAlignment="1">
      <alignment horizontal="center" vertical="center"/>
    </xf>
    <xf numFmtId="3" fontId="13" fillId="0" borderId="18" xfId="0" applyNumberFormat="1" applyFont="1" applyBorder="1" applyAlignment="1">
      <alignment horizontal="center" wrapText="1"/>
    </xf>
    <xf numFmtId="170" fontId="6" fillId="0" borderId="19" xfId="0" applyNumberFormat="1" applyFont="1" applyBorder="1" applyAlignment="1">
      <alignment horizontal="center"/>
    </xf>
    <xf numFmtId="0" fontId="0" fillId="0" borderId="15" xfId="0" applyBorder="1"/>
    <xf numFmtId="0" fontId="0" fillId="0" borderId="16" xfId="0" applyBorder="1"/>
    <xf numFmtId="49" fontId="13" fillId="0" borderId="51" xfId="0" applyNumberFormat="1" applyFont="1" applyBorder="1" applyAlignment="1">
      <alignment horizontal="center" vertical="center" wrapText="1"/>
    </xf>
    <xf numFmtId="165" fontId="5" fillId="0" borderId="4" xfId="0" applyNumberFormat="1" applyFont="1" applyBorder="1" applyAlignment="1">
      <alignment horizontal="center" vertical="center"/>
    </xf>
    <xf numFmtId="0" fontId="6" fillId="0" borderId="51" xfId="0" applyFont="1" applyBorder="1" applyAlignment="1">
      <alignment horizontal="center"/>
    </xf>
    <xf numFmtId="0" fontId="6" fillId="0" borderId="49" xfId="0" applyFont="1" applyBorder="1" applyAlignment="1">
      <alignment horizontal="left" vertical="center"/>
    </xf>
    <xf numFmtId="0" fontId="6" fillId="0" borderId="30" xfId="0" applyFont="1" applyBorder="1" applyAlignment="1">
      <alignment horizontal="centerContinuous" vertical="center"/>
    </xf>
    <xf numFmtId="3" fontId="6" fillId="0" borderId="18" xfId="0" applyNumberFormat="1" applyFont="1" applyBorder="1" applyAlignment="1">
      <alignment horizontal="center"/>
    </xf>
    <xf numFmtId="170" fontId="5" fillId="0" borderId="19" xfId="0" applyNumberFormat="1" applyFont="1" applyBorder="1" applyAlignment="1">
      <alignment horizontal="center"/>
    </xf>
    <xf numFmtId="0" fontId="15"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43" fillId="0" borderId="11"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3"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9" xfId="0" applyFont="1" applyBorder="1" applyAlignment="1">
      <alignment horizontal="center" vertical="center" wrapText="1"/>
    </xf>
    <xf numFmtId="0" fontId="7" fillId="0" borderId="0" xfId="0" applyFont="1" applyAlignment="1">
      <alignment horizontal="left" vertical="center"/>
    </xf>
    <xf numFmtId="0" fontId="33" fillId="0" borderId="0" xfId="0" applyFont="1" applyAlignment="1">
      <alignment horizontal="center"/>
    </xf>
    <xf numFmtId="0" fontId="34" fillId="0" borderId="0" xfId="0" applyFont="1" applyAlignment="1">
      <alignment horizontal="center"/>
    </xf>
    <xf numFmtId="0" fontId="31" fillId="0" borderId="0" xfId="0" applyFont="1" applyAlignment="1">
      <alignment horizontal="left"/>
    </xf>
    <xf numFmtId="0" fontId="7" fillId="0" borderId="0" xfId="0" applyFont="1" applyAlignment="1">
      <alignment horizontal="left"/>
    </xf>
    <xf numFmtId="0" fontId="36" fillId="0" borderId="0" xfId="0" applyFont="1" applyAlignment="1">
      <alignment horizont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49" xfId="0" applyFont="1" applyBorder="1" applyAlignment="1">
      <alignment horizontal="center" vertical="center" wrapText="1"/>
    </xf>
    <xf numFmtId="0" fontId="14" fillId="0" borderId="0" xfId="0" applyFont="1" applyAlignment="1">
      <alignment horizontal="center" vertical="center"/>
    </xf>
    <xf numFmtId="0" fontId="7" fillId="0" borderId="2" xfId="0" applyFont="1" applyBorder="1" applyAlignment="1">
      <alignment horizontal="left"/>
    </xf>
    <xf numFmtId="0" fontId="43" fillId="0" borderId="25" xfId="0" applyFont="1" applyBorder="1" applyAlignment="1">
      <alignment horizontal="center" vertical="center" wrapText="1"/>
    </xf>
    <xf numFmtId="0" fontId="43"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5" fontId="6" fillId="2" borderId="51" xfId="0" applyNumberFormat="1" applyFont="1" applyFill="1" applyBorder="1" applyAlignment="1">
      <alignment horizontal="left" vertical="center"/>
    </xf>
    <xf numFmtId="165"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27" xfId="0" applyFont="1" applyFill="1" applyBorder="1" applyAlignment="1">
      <alignment horizontal="center" vertical="center" wrapText="1"/>
    </xf>
    <xf numFmtId="0" fontId="44" fillId="2" borderId="25" xfId="0" applyFont="1" applyFill="1" applyBorder="1" applyAlignment="1">
      <alignment horizontal="center" vertical="center" wrapText="1"/>
    </xf>
    <xf numFmtId="165" fontId="44" fillId="2" borderId="1" xfId="0" applyNumberFormat="1" applyFont="1" applyFill="1" applyBorder="1" applyAlignment="1">
      <alignment horizontal="center" vertical="center" wrapText="1"/>
    </xf>
    <xf numFmtId="165" fontId="44" fillId="2" borderId="21" xfId="0" applyNumberFormat="1" applyFont="1" applyFill="1" applyBorder="1" applyAlignment="1">
      <alignment horizontal="center" vertical="center" wrapText="1"/>
    </xf>
    <xf numFmtId="0" fontId="44" fillId="2" borderId="42" xfId="0" applyFont="1" applyFill="1" applyBorder="1" applyAlignment="1">
      <alignment horizontal="center" vertical="center" wrapText="1"/>
    </xf>
    <xf numFmtId="0" fontId="44" fillId="2" borderId="48"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2" borderId="43"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21"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7" fillId="2" borderId="0" xfId="3" applyFont="1" applyFill="1" applyAlignment="1">
      <alignment horizontal="left"/>
    </xf>
    <xf numFmtId="0" fontId="7" fillId="2" borderId="4" xfId="3" applyFont="1" applyFill="1" applyBorder="1" applyAlignment="1">
      <alignment horizontal="left"/>
    </xf>
    <xf numFmtId="0" fontId="7" fillId="2" borderId="2" xfId="3" applyFont="1" applyFill="1" applyBorder="1" applyAlignment="1">
      <alignment horizontal="left" vertical="center"/>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8"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xf>
    <xf numFmtId="0" fontId="1" fillId="0" borderId="50"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58" xfId="0" applyFont="1" applyBorder="1" applyAlignment="1">
      <alignment horizontal="center" vertical="top" wrapText="1"/>
    </xf>
    <xf numFmtId="0" fontId="12" fillId="0" borderId="47"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13" fillId="0" borderId="3" xfId="0" applyFont="1" applyBorder="1" applyAlignment="1">
      <alignment horizontal="left" wrapText="1"/>
    </xf>
    <xf numFmtId="0" fontId="13" fillId="0" borderId="5" xfId="0" applyFont="1" applyBorder="1" applyAlignment="1">
      <alignment horizontal="left"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62" xfId="0" applyFont="1" applyBorder="1" applyAlignment="1">
      <alignment horizontal="center" vertic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50" xfId="0" applyFont="1" applyBorder="1" applyAlignment="1">
      <alignment horizontal="center"/>
    </xf>
    <xf numFmtId="0" fontId="6" fillId="0" borderId="49" xfId="0" applyFont="1" applyBorder="1" applyAlignment="1">
      <alignment horizontal="left" vertical="center" wrapText="1"/>
    </xf>
    <xf numFmtId="0" fontId="6" fillId="0" borderId="30" xfId="0" applyFont="1" applyBorder="1" applyAlignment="1">
      <alignment horizontal="left" vertical="center" wrapText="1"/>
    </xf>
    <xf numFmtId="0" fontId="13" fillId="0" borderId="49" xfId="0" applyFont="1" applyBorder="1" applyAlignment="1">
      <alignment horizontal="left" vertical="center" wrapText="1"/>
    </xf>
    <xf numFmtId="0" fontId="13" fillId="0" borderId="30" xfId="0" applyFont="1" applyBorder="1" applyAlignment="1">
      <alignment horizontal="left" vertical="center" wrapText="1"/>
    </xf>
    <xf numFmtId="0" fontId="7" fillId="2" borderId="56" xfId="3" applyFont="1" applyFill="1" applyBorder="1" applyAlignment="1">
      <alignment horizontal="left"/>
    </xf>
    <xf numFmtId="0" fontId="7" fillId="0" borderId="0" xfId="0" applyFont="1" applyBorder="1" applyAlignment="1">
      <alignment horizontal="left" vertical="center"/>
    </xf>
    <xf numFmtId="0" fontId="20" fillId="0" borderId="0" xfId="0" applyFont="1" applyAlignment="1">
      <alignment horizontal="center" vertical="top"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15" fillId="0" borderId="0" xfId="0" applyFont="1" applyAlignment="1">
      <alignment horizont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23" fillId="0" borderId="0" xfId="0" applyFont="1" applyAlignment="1">
      <alignment horizontal="left"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15" fillId="0" borderId="0" xfId="0" applyFont="1" applyFill="1" applyAlignment="1">
      <alignment horizontal="left" vertical="center"/>
    </xf>
    <xf numFmtId="0" fontId="7" fillId="0" borderId="0" xfId="0" applyFont="1" applyFill="1" applyAlignment="1">
      <alignment horizontal="right"/>
    </xf>
    <xf numFmtId="0" fontId="21" fillId="0" borderId="0" xfId="0" applyFont="1" applyFill="1" applyAlignment="1">
      <alignment horizontal="left" vertical="center" wrapText="1"/>
    </xf>
    <xf numFmtId="0" fontId="23" fillId="0" borderId="0" xfId="0" applyFont="1" applyFill="1" applyAlignment="1">
      <alignment horizontal="left" vertical="center" wrapText="1"/>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2"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0" xfId="0" applyFont="1" applyFill="1" applyAlignment="1">
      <alignment horizontal="left"/>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8" xfId="0" applyFont="1" applyFill="1" applyBorder="1" applyAlignment="1">
      <alignment horizontal="center" vertical="center"/>
    </xf>
    <xf numFmtId="49" fontId="25" fillId="0" borderId="12" xfId="0" applyNumberFormat="1" applyFont="1" applyFill="1" applyBorder="1" applyAlignment="1">
      <alignment horizontal="center" vertical="center"/>
    </xf>
    <xf numFmtId="49" fontId="25" fillId="0" borderId="18" xfId="0" applyNumberFormat="1" applyFont="1" applyFill="1" applyBorder="1" applyAlignment="1">
      <alignment horizontal="center" vertical="center"/>
    </xf>
    <xf numFmtId="0" fontId="41" fillId="0" borderId="12" xfId="0" quotePrefix="1" applyFont="1" applyFill="1" applyBorder="1" applyAlignment="1">
      <alignment horizontal="center" vertical="center" wrapText="1"/>
    </xf>
    <xf numFmtId="0" fontId="41" fillId="0" borderId="18" xfId="0" quotePrefix="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27"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25" fillId="0" borderId="26" xfId="0" applyFont="1" applyFill="1" applyBorder="1" applyAlignment="1">
      <alignment horizontal="center" vertical="center"/>
    </xf>
    <xf numFmtId="0" fontId="25" fillId="0" borderId="27" xfId="0" applyFont="1" applyFill="1" applyBorder="1" applyAlignment="1">
      <alignment horizontal="center" vertical="center"/>
    </xf>
    <xf numFmtId="49" fontId="25" fillId="0" borderId="27" xfId="0" applyNumberFormat="1" applyFont="1" applyFill="1" applyBorder="1" applyAlignment="1">
      <alignment horizontal="center" vertical="center"/>
    </xf>
    <xf numFmtId="0" fontId="41" fillId="0" borderId="12"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18" xfId="0"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27"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3" fontId="25" fillId="0" borderId="12" xfId="0" applyNumberFormat="1" applyFont="1" applyFill="1" applyBorder="1" applyAlignment="1">
      <alignment horizontal="center" vertical="center" wrapText="1"/>
    </xf>
    <xf numFmtId="3" fontId="25" fillId="0" borderId="18" xfId="0" applyNumberFormat="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41" fillId="2" borderId="12" xfId="0" quotePrefix="1" applyFont="1" applyFill="1" applyBorder="1" applyAlignment="1">
      <alignment horizontal="center" vertical="center" wrapText="1"/>
    </xf>
    <xf numFmtId="0" fontId="41" fillId="2" borderId="18"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49" fontId="25" fillId="0" borderId="11" xfId="0" applyNumberFormat="1" applyFont="1" applyFill="1" applyBorder="1" applyAlignment="1">
      <alignment horizontal="center" vertical="center"/>
    </xf>
    <xf numFmtId="49" fontId="25" fillId="0" borderId="17" xfId="0" applyNumberFormat="1" applyFont="1" applyFill="1" applyBorder="1" applyAlignment="1">
      <alignment horizontal="center" vertical="center"/>
    </xf>
    <xf numFmtId="3" fontId="41" fillId="0" borderId="12" xfId="0" applyNumberFormat="1" applyFont="1" applyFill="1" applyBorder="1" applyAlignment="1">
      <alignment horizontal="center" vertical="center" wrapText="1"/>
    </xf>
    <xf numFmtId="3" fontId="41" fillId="0" borderId="18" xfId="0"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41" fillId="0" borderId="27" xfId="0" quotePrefix="1" applyFont="1" applyFill="1" applyBorder="1" applyAlignment="1">
      <alignment horizontal="center" vertical="center" wrapText="1"/>
    </xf>
    <xf numFmtId="3" fontId="41" fillId="0" borderId="12" xfId="0" quotePrefix="1"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9" fontId="7" fillId="0" borderId="37" xfId="0" applyNumberFormat="1" applyFont="1" applyBorder="1" applyAlignment="1">
      <alignment horizontal="center" vertical="center" wrapText="1"/>
    </xf>
    <xf numFmtId="9" fontId="7" fillId="0" borderId="25" xfId="0" applyNumberFormat="1" applyFont="1" applyBorder="1" applyAlignment="1">
      <alignment horizontal="center" vertical="center" wrapText="1"/>
    </xf>
    <xf numFmtId="0" fontId="20" fillId="0" borderId="0" xfId="0" applyFont="1" applyAlignment="1">
      <alignment horizontal="center" vertical="center" wrapText="1"/>
    </xf>
    <xf numFmtId="0" fontId="37"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13" fillId="0" borderId="27" xfId="0" applyFont="1" applyBorder="1" applyAlignment="1">
      <alignment horizontal="left" vertical="center" wrapText="1"/>
    </xf>
    <xf numFmtId="0" fontId="15" fillId="0" borderId="0" xfId="0" applyFont="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9" fontId="9" fillId="0" borderId="42" xfId="0" applyNumberFormat="1" applyFont="1" applyBorder="1" applyAlignment="1">
      <alignment horizontal="center" vertical="center" wrapText="1"/>
    </xf>
    <xf numFmtId="9" fontId="9" fillId="0" borderId="46" xfId="0" applyNumberFormat="1" applyFont="1" applyBorder="1" applyAlignment="1">
      <alignment horizontal="center" vertical="center" wrapText="1"/>
    </xf>
    <xf numFmtId="2" fontId="9" fillId="0" borderId="37" xfId="0" applyNumberFormat="1" applyFont="1" applyBorder="1" applyAlignment="1">
      <alignment horizontal="center" vertical="center" wrapText="1"/>
    </xf>
    <xf numFmtId="2" fontId="9" fillId="0" borderId="25" xfId="0" applyNumberFormat="1" applyFont="1" applyBorder="1" applyAlignment="1">
      <alignment horizontal="center" vertical="center" wrapText="1"/>
    </xf>
    <xf numFmtId="0" fontId="9" fillId="0" borderId="52" xfId="0" applyFont="1" applyBorder="1" applyAlignment="1">
      <alignment horizontal="center" vertical="center"/>
    </xf>
    <xf numFmtId="0" fontId="9" fillId="0" borderId="29" xfId="0" applyFont="1" applyBorder="1" applyAlignment="1">
      <alignment horizontal="center" vertical="center"/>
    </xf>
    <xf numFmtId="3" fontId="5" fillId="0" borderId="12" xfId="0" applyNumberFormat="1" applyFont="1" applyBorder="1" applyAlignment="1">
      <alignment horizontal="center"/>
    </xf>
  </cellXfs>
  <cellStyles count="7">
    <cellStyle name="Денежный 2" xfId="5" xr:uid="{00000000-0005-0000-0000-000000000000}"/>
    <cellStyle name="Звичайний" xfId="0" builtinId="0"/>
    <cellStyle name="Обычный 2" xfId="3" xr:uid="{00000000-0005-0000-0000-000002000000}"/>
    <cellStyle name="Обычный 9 2 4 2 2" xfId="2" xr:uid="{00000000-0005-0000-0000-000003000000}"/>
    <cellStyle name="Процентный 2" xfId="4" xr:uid="{00000000-0005-0000-0000-000004000000}"/>
    <cellStyle name="Финансовый 2" xfId="1" xr:uid="{00000000-0005-0000-0000-000005000000}"/>
    <cellStyle name="Фінансовий" xfId="6"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N93"/>
  <sheetViews>
    <sheetView view="pageBreakPreview" zoomScaleNormal="100" zoomScaleSheetLayoutView="100" workbookViewId="0">
      <selection activeCell="D70" sqref="D70"/>
    </sheetView>
  </sheetViews>
  <sheetFormatPr defaultColWidth="8.85546875" defaultRowHeight="12.75" x14ac:dyDescent="0.2"/>
  <cols>
    <col min="1" max="1" width="11.28515625" customWidth="1"/>
    <col min="2" max="2" width="55.42578125" customWidth="1"/>
    <col min="3" max="3" width="13.5703125" customWidth="1"/>
    <col min="4" max="4" width="13.28515625" customWidth="1"/>
    <col min="5" max="5" width="13.7109375" customWidth="1"/>
    <col min="6" max="6" width="14.85546875" customWidth="1"/>
    <col min="7" max="7" width="14.42578125" customWidth="1"/>
    <col min="8" max="8" width="14.140625" customWidth="1"/>
    <col min="9" max="9" width="13.7109375" customWidth="1"/>
    <col min="10" max="10" width="12.7109375" customWidth="1"/>
    <col min="11" max="11" width="15.5703125" customWidth="1"/>
  </cols>
  <sheetData>
    <row r="1" spans="1:14" ht="15.75" x14ac:dyDescent="0.2">
      <c r="G1" s="231"/>
      <c r="H1" s="1127" t="s">
        <v>142</v>
      </c>
      <c r="I1" s="1127"/>
      <c r="J1" s="1127"/>
      <c r="K1" s="1127"/>
      <c r="L1" s="1127"/>
      <c r="M1" s="1127"/>
      <c r="N1" s="1127"/>
    </row>
    <row r="2" spans="1:14" ht="15.6" customHeight="1" x14ac:dyDescent="0.2">
      <c r="G2" s="355"/>
      <c r="H2" s="1126" t="s">
        <v>459</v>
      </c>
      <c r="I2" s="1126"/>
      <c r="J2" s="1126"/>
      <c r="K2" s="1126"/>
      <c r="L2" s="718"/>
      <c r="M2" s="718"/>
      <c r="N2" s="718"/>
    </row>
    <row r="3" spans="1:14" ht="15.6" customHeight="1" x14ac:dyDescent="0.2">
      <c r="G3" s="355"/>
      <c r="H3" s="1126" t="s">
        <v>653</v>
      </c>
      <c r="I3" s="1126"/>
      <c r="J3" s="1126"/>
      <c r="K3" s="1085"/>
      <c r="L3" s="959"/>
      <c r="M3" s="959"/>
      <c r="N3" s="959"/>
    </row>
    <row r="4" spans="1:14" ht="15.75" x14ac:dyDescent="0.25">
      <c r="G4" s="5"/>
      <c r="H4" s="1141" t="s">
        <v>735</v>
      </c>
      <c r="I4" s="1141"/>
      <c r="J4" s="1141"/>
      <c r="K4" s="1141"/>
      <c r="L4" s="718"/>
      <c r="M4" s="718"/>
      <c r="N4" s="718"/>
    </row>
    <row r="5" spans="1:14" ht="15.75" x14ac:dyDescent="0.25">
      <c r="G5" s="5"/>
      <c r="H5" s="1141" t="s">
        <v>723</v>
      </c>
      <c r="I5" s="1141"/>
      <c r="J5" s="1141"/>
      <c r="K5" s="1141"/>
      <c r="L5" s="718"/>
      <c r="M5" s="718"/>
      <c r="N5" s="718"/>
    </row>
    <row r="6" spans="1:14" ht="15.75" x14ac:dyDescent="0.25">
      <c r="G6" s="356"/>
      <c r="H6" s="356"/>
      <c r="J6" s="67"/>
      <c r="K6" s="1087"/>
      <c r="L6" s="1137"/>
      <c r="M6" s="1137"/>
      <c r="N6" s="1137"/>
    </row>
    <row r="7" spans="1:14" ht="15.75" x14ac:dyDescent="0.25">
      <c r="G7" s="67"/>
      <c r="H7" s="67"/>
      <c r="I7" s="67"/>
      <c r="J7" s="67"/>
      <c r="K7" s="1087"/>
      <c r="L7" s="1137"/>
      <c r="M7" s="1137"/>
      <c r="N7" s="1137"/>
    </row>
    <row r="8" spans="1:14" ht="34.5" customHeight="1" x14ac:dyDescent="0.3">
      <c r="A8" s="1138" t="s">
        <v>724</v>
      </c>
      <c r="B8" s="1139"/>
      <c r="C8" s="1139"/>
      <c r="D8" s="1139"/>
      <c r="E8" s="1139"/>
      <c r="F8" s="1139"/>
      <c r="G8" s="1139"/>
      <c r="H8" s="1139"/>
      <c r="I8" s="1139"/>
      <c r="J8" s="1139"/>
      <c r="K8" s="1086"/>
      <c r="L8" s="1140"/>
      <c r="M8" s="1140"/>
      <c r="N8" s="1140"/>
    </row>
    <row r="9" spans="1:14" ht="15.75" x14ac:dyDescent="0.25">
      <c r="A9" s="1143" t="s">
        <v>143</v>
      </c>
      <c r="B9" s="1143"/>
      <c r="C9" s="1"/>
      <c r="D9" s="1"/>
      <c r="E9" s="1"/>
      <c r="F9" s="1"/>
      <c r="G9" s="1"/>
      <c r="H9" s="1"/>
      <c r="I9" s="1"/>
      <c r="J9" s="1"/>
      <c r="K9" s="1"/>
      <c r="L9" s="1141"/>
      <c r="M9" s="1141"/>
      <c r="N9" s="1141"/>
    </row>
    <row r="10" spans="1:14" ht="16.5" thickBot="1" x14ac:dyDescent="0.3">
      <c r="A10" s="1" t="s">
        <v>0</v>
      </c>
      <c r="B10" s="1"/>
      <c r="C10" s="1"/>
      <c r="D10" s="1"/>
      <c r="E10" s="1"/>
      <c r="F10" s="1"/>
      <c r="G10" s="1"/>
      <c r="H10" s="1"/>
      <c r="I10" s="1"/>
      <c r="J10" s="2" t="s">
        <v>235</v>
      </c>
      <c r="K10" s="2"/>
      <c r="L10" s="1141"/>
      <c r="M10" s="1141"/>
      <c r="N10" s="1141"/>
    </row>
    <row r="11" spans="1:14" ht="15.6" customHeight="1" x14ac:dyDescent="0.2">
      <c r="A11" s="1144" t="s">
        <v>262</v>
      </c>
      <c r="B11" s="1146" t="s">
        <v>263</v>
      </c>
      <c r="C11" s="1133" t="s">
        <v>1</v>
      </c>
      <c r="D11" s="1133"/>
      <c r="E11" s="1133"/>
      <c r="F11" s="1132" t="s">
        <v>2</v>
      </c>
      <c r="G11" s="1133"/>
      <c r="H11" s="1134"/>
      <c r="I11" s="1133" t="s">
        <v>3</v>
      </c>
      <c r="J11" s="1133"/>
      <c r="K11" s="1134"/>
    </row>
    <row r="12" spans="1:14" ht="15.6" customHeight="1" x14ac:dyDescent="0.2">
      <c r="A12" s="1145"/>
      <c r="B12" s="1147"/>
      <c r="C12" s="1148" t="s">
        <v>457</v>
      </c>
      <c r="D12" s="1130" t="s">
        <v>725</v>
      </c>
      <c r="E12" s="1150" t="s">
        <v>405</v>
      </c>
      <c r="F12" s="1128" t="s">
        <v>457</v>
      </c>
      <c r="G12" s="1130" t="s">
        <v>726</v>
      </c>
      <c r="H12" s="1135" t="s">
        <v>405</v>
      </c>
      <c r="I12" s="1148" t="s">
        <v>457</v>
      </c>
      <c r="J12" s="1130" t="s">
        <v>727</v>
      </c>
      <c r="K12" s="1135" t="s">
        <v>405</v>
      </c>
    </row>
    <row r="13" spans="1:14" ht="31.15" customHeight="1" x14ac:dyDescent="0.2">
      <c r="A13" s="1145"/>
      <c r="B13" s="1147"/>
      <c r="C13" s="1149"/>
      <c r="D13" s="1131"/>
      <c r="E13" s="1151"/>
      <c r="F13" s="1129"/>
      <c r="G13" s="1131"/>
      <c r="H13" s="1136"/>
      <c r="I13" s="1149"/>
      <c r="J13" s="1131"/>
      <c r="K13" s="1136"/>
    </row>
    <row r="14" spans="1:14" ht="16.5" thickBot="1" x14ac:dyDescent="0.25">
      <c r="A14" s="8">
        <v>1</v>
      </c>
      <c r="B14" s="307">
        <v>2</v>
      </c>
      <c r="C14" s="319">
        <v>3</v>
      </c>
      <c r="D14" s="9">
        <v>4</v>
      </c>
      <c r="E14" s="318">
        <v>5</v>
      </c>
      <c r="F14" s="8">
        <v>6</v>
      </c>
      <c r="G14" s="9">
        <v>7</v>
      </c>
      <c r="H14" s="307">
        <v>8</v>
      </c>
      <c r="I14" s="319">
        <v>9</v>
      </c>
      <c r="J14" s="9">
        <v>10</v>
      </c>
      <c r="K14" s="307">
        <v>11</v>
      </c>
    </row>
    <row r="15" spans="1:14" ht="16.5" thickBot="1" x14ac:dyDescent="0.25">
      <c r="A15" s="302" t="s">
        <v>264</v>
      </c>
      <c r="B15" s="320" t="s">
        <v>265</v>
      </c>
      <c r="C15" s="608">
        <f>F15+I15</f>
        <v>553681600</v>
      </c>
      <c r="D15" s="306">
        <f>G15+J15</f>
        <v>423452085.36000001</v>
      </c>
      <c r="E15" s="609">
        <f>D15/C15*100</f>
        <v>76.479349387807005</v>
      </c>
      <c r="F15" s="610">
        <f>F16+F21+F25</f>
        <v>553222300</v>
      </c>
      <c r="G15" s="306">
        <f>G16+G21+G25+G19</f>
        <v>423128960.61000001</v>
      </c>
      <c r="H15" s="611">
        <f>G15/F15*100</f>
        <v>76.484436836692964</v>
      </c>
      <c r="I15" s="612">
        <f>I40</f>
        <v>459300</v>
      </c>
      <c r="J15" s="613">
        <f>J40</f>
        <v>323124.75</v>
      </c>
      <c r="K15" s="614">
        <f>J15/I15*100</f>
        <v>70.351567602873942</v>
      </c>
      <c r="L15" s="132"/>
    </row>
    <row r="16" spans="1:14" ht="31.5" x14ac:dyDescent="0.2">
      <c r="A16" s="308" t="s">
        <v>266</v>
      </c>
      <c r="B16" s="321" t="s">
        <v>267</v>
      </c>
      <c r="C16" s="615">
        <f>F16+I16</f>
        <v>344028800</v>
      </c>
      <c r="D16" s="616">
        <f t="shared" ref="D16:D87" si="0">G16+J16</f>
        <v>256331371.48999998</v>
      </c>
      <c r="E16" s="617">
        <f t="shared" ref="E16:E86" si="1">D16/C16*100</f>
        <v>74.508695635365413</v>
      </c>
      <c r="F16" s="618">
        <f>F17+F18</f>
        <v>344028800</v>
      </c>
      <c r="G16" s="616">
        <f>G17+G18</f>
        <v>256331371.48999998</v>
      </c>
      <c r="H16" s="619">
        <f t="shared" ref="H16:H89" si="2">G16/F16*100</f>
        <v>74.508695635365413</v>
      </c>
      <c r="I16" s="620"/>
      <c r="J16" s="621"/>
      <c r="K16" s="622"/>
      <c r="L16" s="132"/>
    </row>
    <row r="17" spans="1:12" ht="21" customHeight="1" x14ac:dyDescent="0.2">
      <c r="A17" s="309" t="s">
        <v>268</v>
      </c>
      <c r="B17" s="322" t="s">
        <v>269</v>
      </c>
      <c r="C17" s="623">
        <f t="shared" ref="C17:C24" si="3">F17</f>
        <v>343014800</v>
      </c>
      <c r="D17" s="624">
        <f t="shared" si="0"/>
        <v>256082996.59999999</v>
      </c>
      <c r="E17" s="625">
        <f t="shared" si="1"/>
        <v>74.656544440648048</v>
      </c>
      <c r="F17" s="626">
        <v>343014800</v>
      </c>
      <c r="G17" s="301">
        <v>256082996.59999999</v>
      </c>
      <c r="H17" s="627">
        <f t="shared" si="2"/>
        <v>74.656544440648048</v>
      </c>
      <c r="I17" s="628"/>
      <c r="J17" s="629"/>
      <c r="K17" s="630"/>
      <c r="L17" s="132"/>
    </row>
    <row r="18" spans="1:12" ht="30" customHeight="1" x14ac:dyDescent="0.2">
      <c r="A18" s="309" t="s">
        <v>270</v>
      </c>
      <c r="B18" s="322" t="s">
        <v>271</v>
      </c>
      <c r="C18" s="623">
        <f t="shared" si="3"/>
        <v>1014000</v>
      </c>
      <c r="D18" s="624">
        <f t="shared" si="0"/>
        <v>248374.89</v>
      </c>
      <c r="E18" s="625">
        <f t="shared" si="1"/>
        <v>24.494565088757398</v>
      </c>
      <c r="F18" s="626">
        <v>1014000</v>
      </c>
      <c r="G18" s="301">
        <v>248374.89</v>
      </c>
      <c r="H18" s="627">
        <f t="shared" si="2"/>
        <v>24.494565088757398</v>
      </c>
      <c r="I18" s="623"/>
      <c r="J18" s="629"/>
      <c r="K18" s="630"/>
      <c r="L18" s="132"/>
    </row>
    <row r="19" spans="1:12" ht="31.5" x14ac:dyDescent="0.2">
      <c r="A19" s="310">
        <v>13000000</v>
      </c>
      <c r="B19" s="323" t="s">
        <v>429</v>
      </c>
      <c r="C19" s="631">
        <v>0</v>
      </c>
      <c r="D19" s="300">
        <f t="shared" si="0"/>
        <v>1707.14</v>
      </c>
      <c r="E19" s="632" t="s">
        <v>257</v>
      </c>
      <c r="F19" s="633">
        <v>0</v>
      </c>
      <c r="G19" s="634">
        <f>G20</f>
        <v>1707.14</v>
      </c>
      <c r="H19" s="635" t="s">
        <v>257</v>
      </c>
      <c r="I19" s="631"/>
      <c r="J19" s="634"/>
      <c r="K19" s="636"/>
      <c r="L19" s="132"/>
    </row>
    <row r="20" spans="1:12" ht="36.75" customHeight="1" x14ac:dyDescent="0.2">
      <c r="A20" s="297">
        <v>13030000</v>
      </c>
      <c r="B20" s="324" t="s">
        <v>436</v>
      </c>
      <c r="C20" s="623">
        <v>0</v>
      </c>
      <c r="D20" s="624">
        <f t="shared" si="0"/>
        <v>1707.14</v>
      </c>
      <c r="E20" s="625" t="s">
        <v>257</v>
      </c>
      <c r="F20" s="626">
        <v>0</v>
      </c>
      <c r="G20" s="301">
        <v>1707.14</v>
      </c>
      <c r="H20" s="635" t="s">
        <v>257</v>
      </c>
      <c r="I20" s="623"/>
      <c r="J20" s="629"/>
      <c r="K20" s="630"/>
      <c r="L20" s="132"/>
    </row>
    <row r="21" spans="1:12" ht="15.75" x14ac:dyDescent="0.2">
      <c r="A21" s="311" t="s">
        <v>272</v>
      </c>
      <c r="B21" s="323" t="s">
        <v>273</v>
      </c>
      <c r="C21" s="631">
        <f>F21</f>
        <v>27243700</v>
      </c>
      <c r="D21" s="300">
        <f t="shared" si="0"/>
        <v>23616922.899999999</v>
      </c>
      <c r="E21" s="632">
        <f>H21</f>
        <v>86.687648520575394</v>
      </c>
      <c r="F21" s="633">
        <f>F22+F23+F24</f>
        <v>27243700</v>
      </c>
      <c r="G21" s="634">
        <f>G22+G23+G24</f>
        <v>23616922.899999999</v>
      </c>
      <c r="H21" s="637">
        <f t="shared" si="2"/>
        <v>86.687648520575394</v>
      </c>
      <c r="I21" s="628"/>
      <c r="J21" s="629"/>
      <c r="K21" s="630"/>
      <c r="L21" s="132"/>
    </row>
    <row r="22" spans="1:12" ht="33.75" customHeight="1" x14ac:dyDescent="0.2">
      <c r="A22" s="309" t="s">
        <v>274</v>
      </c>
      <c r="B22" s="322" t="s">
        <v>275</v>
      </c>
      <c r="C22" s="623">
        <f t="shared" si="3"/>
        <v>1040800</v>
      </c>
      <c r="D22" s="624">
        <f t="shared" si="0"/>
        <v>1019457</v>
      </c>
      <c r="E22" s="625">
        <f t="shared" si="1"/>
        <v>97.949365872405849</v>
      </c>
      <c r="F22" s="626">
        <v>1040800</v>
      </c>
      <c r="G22" s="301">
        <v>1019457</v>
      </c>
      <c r="H22" s="627">
        <f t="shared" si="2"/>
        <v>97.949365872405849</v>
      </c>
      <c r="I22" s="623"/>
      <c r="J22" s="629"/>
      <c r="K22" s="630"/>
      <c r="L22" s="132"/>
    </row>
    <row r="23" spans="1:12" ht="31.5" x14ac:dyDescent="0.2">
      <c r="A23" s="309" t="s">
        <v>276</v>
      </c>
      <c r="B23" s="322" t="s">
        <v>277</v>
      </c>
      <c r="C23" s="623">
        <f t="shared" si="3"/>
        <v>8442600</v>
      </c>
      <c r="D23" s="624">
        <f t="shared" si="0"/>
        <v>7499197.0800000001</v>
      </c>
      <c r="E23" s="625">
        <f t="shared" si="1"/>
        <v>88.825682609622618</v>
      </c>
      <c r="F23" s="626">
        <v>8442600</v>
      </c>
      <c r="G23" s="301">
        <v>7499197.0800000001</v>
      </c>
      <c r="H23" s="627">
        <f t="shared" si="2"/>
        <v>88.825682609622618</v>
      </c>
      <c r="I23" s="623"/>
      <c r="J23" s="629"/>
      <c r="K23" s="630"/>
      <c r="L23" s="132"/>
    </row>
    <row r="24" spans="1:12" ht="47.25" x14ac:dyDescent="0.2">
      <c r="A24" s="309" t="s">
        <v>278</v>
      </c>
      <c r="B24" s="322" t="s">
        <v>279</v>
      </c>
      <c r="C24" s="623">
        <f t="shared" si="3"/>
        <v>17760300</v>
      </c>
      <c r="D24" s="624">
        <f t="shared" si="0"/>
        <v>15098268.82</v>
      </c>
      <c r="E24" s="625">
        <f t="shared" si="1"/>
        <v>85.011338885041354</v>
      </c>
      <c r="F24" s="626">
        <v>17760300</v>
      </c>
      <c r="G24" s="301">
        <v>15098268.82</v>
      </c>
      <c r="H24" s="627">
        <f t="shared" si="2"/>
        <v>85.011338885041354</v>
      </c>
      <c r="I24" s="623"/>
      <c r="J24" s="629"/>
      <c r="K24" s="630"/>
      <c r="L24" s="132"/>
    </row>
    <row r="25" spans="1:12" ht="50.25" customHeight="1" x14ac:dyDescent="0.2">
      <c r="A25" s="311" t="s">
        <v>280</v>
      </c>
      <c r="B25" s="323" t="s">
        <v>281</v>
      </c>
      <c r="C25" s="631">
        <f>F25</f>
        <v>181949800</v>
      </c>
      <c r="D25" s="300">
        <f t="shared" si="0"/>
        <v>143178959.08000001</v>
      </c>
      <c r="E25" s="632">
        <f t="shared" si="1"/>
        <v>78.691462744119534</v>
      </c>
      <c r="F25" s="633">
        <f>F26+F38+F39</f>
        <v>181949800</v>
      </c>
      <c r="G25" s="634">
        <f>G26+G38+G39</f>
        <v>143178959.08000001</v>
      </c>
      <c r="H25" s="637">
        <f t="shared" si="2"/>
        <v>78.691462744119534</v>
      </c>
      <c r="I25" s="628"/>
      <c r="J25" s="629"/>
      <c r="K25" s="630"/>
      <c r="L25" s="132"/>
    </row>
    <row r="26" spans="1:12" ht="15.75" x14ac:dyDescent="0.2">
      <c r="A26" s="309" t="s">
        <v>282</v>
      </c>
      <c r="B26" s="322" t="s">
        <v>283</v>
      </c>
      <c r="C26" s="623">
        <f>F26</f>
        <v>141819900</v>
      </c>
      <c r="D26" s="624">
        <f t="shared" si="0"/>
        <v>111470664.94000001</v>
      </c>
      <c r="E26" s="625">
        <f t="shared" si="1"/>
        <v>78.600157622449331</v>
      </c>
      <c r="F26" s="626">
        <f>F27+F32+F37</f>
        <v>141819900</v>
      </c>
      <c r="G26" s="301">
        <f>G27+G32+G37</f>
        <v>111470664.94000001</v>
      </c>
      <c r="H26" s="627">
        <f t="shared" si="2"/>
        <v>78.600157622449331</v>
      </c>
      <c r="I26" s="623"/>
      <c r="J26" s="629"/>
      <c r="K26" s="630"/>
      <c r="L26" s="132"/>
    </row>
    <row r="27" spans="1:12" ht="35.25" customHeight="1" x14ac:dyDescent="0.2">
      <c r="A27" s="309"/>
      <c r="B27" s="322" t="s">
        <v>284</v>
      </c>
      <c r="C27" s="623">
        <f>F27+I27</f>
        <v>9718800</v>
      </c>
      <c r="D27" s="624">
        <f t="shared" si="0"/>
        <v>8306770.4000000004</v>
      </c>
      <c r="E27" s="625">
        <f t="shared" si="1"/>
        <v>85.471152817220243</v>
      </c>
      <c r="F27" s="626">
        <f>F28+F29+F30+F31</f>
        <v>9718800</v>
      </c>
      <c r="G27" s="301">
        <f>G28+G29+G30+G31</f>
        <v>8306770.4000000004</v>
      </c>
      <c r="H27" s="627">
        <f t="shared" si="2"/>
        <v>85.471152817220243</v>
      </c>
      <c r="I27" s="623"/>
      <c r="J27" s="629"/>
      <c r="K27" s="630"/>
      <c r="L27" s="132"/>
    </row>
    <row r="28" spans="1:12" ht="54" customHeight="1" x14ac:dyDescent="0.2">
      <c r="A28" s="297">
        <v>18010100</v>
      </c>
      <c r="B28" s="322" t="s">
        <v>285</v>
      </c>
      <c r="C28" s="623">
        <f t="shared" ref="C28:C31" si="4">F28+I28</f>
        <v>22000</v>
      </c>
      <c r="D28" s="624">
        <f t="shared" si="0"/>
        <v>33103.07</v>
      </c>
      <c r="E28" s="625">
        <f t="shared" si="1"/>
        <v>150.46850000000001</v>
      </c>
      <c r="F28" s="626">
        <v>22000</v>
      </c>
      <c r="G28" s="301">
        <v>33103.07</v>
      </c>
      <c r="H28" s="627">
        <f t="shared" si="2"/>
        <v>150.46850000000001</v>
      </c>
      <c r="I28" s="623"/>
      <c r="J28" s="629"/>
      <c r="K28" s="630"/>
      <c r="L28" s="132"/>
    </row>
    <row r="29" spans="1:12" ht="47.25" x14ac:dyDescent="0.2">
      <c r="A29" s="297">
        <v>18010200</v>
      </c>
      <c r="B29" s="322" t="s">
        <v>286</v>
      </c>
      <c r="C29" s="623">
        <f t="shared" si="4"/>
        <v>786300</v>
      </c>
      <c r="D29" s="624">
        <f t="shared" si="0"/>
        <v>748460.91</v>
      </c>
      <c r="E29" s="625">
        <f t="shared" si="1"/>
        <v>95.187703166730259</v>
      </c>
      <c r="F29" s="626">
        <v>786300</v>
      </c>
      <c r="G29" s="301">
        <v>748460.91</v>
      </c>
      <c r="H29" s="627">
        <f t="shared" si="2"/>
        <v>95.187703166730259</v>
      </c>
      <c r="I29" s="623"/>
      <c r="J29" s="629"/>
      <c r="K29" s="630"/>
      <c r="L29" s="132"/>
    </row>
    <row r="30" spans="1:12" ht="47.25" x14ac:dyDescent="0.2">
      <c r="A30" s="297">
        <v>18010300</v>
      </c>
      <c r="B30" s="322" t="s">
        <v>287</v>
      </c>
      <c r="C30" s="623">
        <f t="shared" si="4"/>
        <v>2804500</v>
      </c>
      <c r="D30" s="624">
        <f t="shared" si="0"/>
        <v>2664377.7400000002</v>
      </c>
      <c r="E30" s="625">
        <f t="shared" si="1"/>
        <v>95.003663398110177</v>
      </c>
      <c r="F30" s="626">
        <v>2804500</v>
      </c>
      <c r="G30" s="301">
        <v>2664377.7400000002</v>
      </c>
      <c r="H30" s="627">
        <f t="shared" si="2"/>
        <v>95.003663398110177</v>
      </c>
      <c r="I30" s="623"/>
      <c r="J30" s="629"/>
      <c r="K30" s="630"/>
      <c r="L30" s="132"/>
    </row>
    <row r="31" spans="1:12" ht="54.75" customHeight="1" x14ac:dyDescent="0.2">
      <c r="A31" s="297">
        <v>18010400</v>
      </c>
      <c r="B31" s="322" t="s">
        <v>288</v>
      </c>
      <c r="C31" s="623">
        <f t="shared" si="4"/>
        <v>6106000</v>
      </c>
      <c r="D31" s="624">
        <f t="shared" si="0"/>
        <v>4860828.68</v>
      </c>
      <c r="E31" s="625">
        <f t="shared" si="1"/>
        <v>79.607413691451029</v>
      </c>
      <c r="F31" s="626">
        <v>6106000</v>
      </c>
      <c r="G31" s="301">
        <v>4860828.68</v>
      </c>
      <c r="H31" s="627">
        <f t="shared" si="2"/>
        <v>79.607413691451029</v>
      </c>
      <c r="I31" s="623"/>
      <c r="J31" s="629"/>
      <c r="K31" s="630"/>
      <c r="L31" s="132"/>
    </row>
    <row r="32" spans="1:12" ht="15.75" x14ac:dyDescent="0.2">
      <c r="A32" s="297"/>
      <c r="B32" s="322" t="s">
        <v>289</v>
      </c>
      <c r="C32" s="623">
        <f>F32+I32</f>
        <v>132001100</v>
      </c>
      <c r="D32" s="624">
        <f t="shared" si="0"/>
        <v>103147227.87</v>
      </c>
      <c r="E32" s="625">
        <f t="shared" si="1"/>
        <v>78.141188118886902</v>
      </c>
      <c r="F32" s="626">
        <f>F33+F34+F35+F36</f>
        <v>132001100</v>
      </c>
      <c r="G32" s="301">
        <f>G33+G34+G35+G36</f>
        <v>103147227.87</v>
      </c>
      <c r="H32" s="627">
        <f t="shared" si="2"/>
        <v>78.141188118886902</v>
      </c>
      <c r="I32" s="623"/>
      <c r="J32" s="629"/>
      <c r="K32" s="630"/>
      <c r="L32" s="132"/>
    </row>
    <row r="33" spans="1:12" ht="15.75" x14ac:dyDescent="0.2">
      <c r="A33" s="297">
        <v>18010500</v>
      </c>
      <c r="B33" s="322" t="s">
        <v>290</v>
      </c>
      <c r="C33" s="623">
        <f t="shared" ref="C33:C37" si="5">F33+I33</f>
        <v>88829300</v>
      </c>
      <c r="D33" s="624">
        <f t="shared" si="0"/>
        <v>70783577.439999998</v>
      </c>
      <c r="E33" s="625">
        <f t="shared" si="1"/>
        <v>79.684943413941127</v>
      </c>
      <c r="F33" s="626">
        <v>88829300</v>
      </c>
      <c r="G33" s="301">
        <v>70783577.439999998</v>
      </c>
      <c r="H33" s="627">
        <f t="shared" si="2"/>
        <v>79.684943413941127</v>
      </c>
      <c r="I33" s="623"/>
      <c r="J33" s="629"/>
      <c r="K33" s="630"/>
      <c r="L33" s="132"/>
    </row>
    <row r="34" spans="1:12" ht="15.75" x14ac:dyDescent="0.2">
      <c r="A34" s="297">
        <v>18010600</v>
      </c>
      <c r="B34" s="322" t="s">
        <v>291</v>
      </c>
      <c r="C34" s="623">
        <f t="shared" si="5"/>
        <v>39043000</v>
      </c>
      <c r="D34" s="624">
        <f t="shared" si="0"/>
        <v>29813342.760000002</v>
      </c>
      <c r="E34" s="625">
        <f t="shared" si="1"/>
        <v>76.360276515636599</v>
      </c>
      <c r="F34" s="626">
        <v>39043000</v>
      </c>
      <c r="G34" s="301">
        <v>29813342.760000002</v>
      </c>
      <c r="H34" s="627">
        <f t="shared" si="2"/>
        <v>76.360276515636599</v>
      </c>
      <c r="I34" s="623"/>
      <c r="J34" s="629"/>
      <c r="K34" s="630"/>
      <c r="L34" s="132"/>
    </row>
    <row r="35" spans="1:12" ht="15.75" x14ac:dyDescent="0.2">
      <c r="A35" s="297">
        <v>18010700</v>
      </c>
      <c r="B35" s="322" t="s">
        <v>292</v>
      </c>
      <c r="C35" s="623">
        <f t="shared" si="5"/>
        <v>1874200</v>
      </c>
      <c r="D35" s="624">
        <f t="shared" si="0"/>
        <v>1160829.51</v>
      </c>
      <c r="E35" s="625">
        <f t="shared" si="1"/>
        <v>61.937333795752856</v>
      </c>
      <c r="F35" s="626">
        <v>1874200</v>
      </c>
      <c r="G35" s="301">
        <v>1160829.51</v>
      </c>
      <c r="H35" s="627">
        <f t="shared" si="2"/>
        <v>61.937333795752856</v>
      </c>
      <c r="I35" s="623"/>
      <c r="J35" s="629"/>
      <c r="K35" s="630"/>
      <c r="L35" s="132"/>
    </row>
    <row r="36" spans="1:12" ht="15.75" x14ac:dyDescent="0.2">
      <c r="A36" s="297">
        <v>18010900</v>
      </c>
      <c r="B36" s="322" t="s">
        <v>293</v>
      </c>
      <c r="C36" s="623">
        <f t="shared" si="5"/>
        <v>2254600</v>
      </c>
      <c r="D36" s="624">
        <f t="shared" si="0"/>
        <v>1389478.16</v>
      </c>
      <c r="E36" s="625">
        <f t="shared" si="1"/>
        <v>61.628588663177496</v>
      </c>
      <c r="F36" s="626">
        <v>2254600</v>
      </c>
      <c r="G36" s="301">
        <v>1389478.16</v>
      </c>
      <c r="H36" s="627">
        <f t="shared" si="2"/>
        <v>61.628588663177496</v>
      </c>
      <c r="I36" s="623"/>
      <c r="J36" s="629"/>
      <c r="K36" s="630"/>
      <c r="L36" s="132"/>
    </row>
    <row r="37" spans="1:12" ht="15.75" x14ac:dyDescent="0.2">
      <c r="A37" s="297">
        <v>18011000</v>
      </c>
      <c r="B37" s="322" t="s">
        <v>428</v>
      </c>
      <c r="C37" s="623">
        <f t="shared" si="5"/>
        <v>100000</v>
      </c>
      <c r="D37" s="624">
        <f>G37</f>
        <v>16666.669999999998</v>
      </c>
      <c r="E37" s="625">
        <f>H37</f>
        <v>16.666669999999996</v>
      </c>
      <c r="F37" s="638">
        <v>100000</v>
      </c>
      <c r="G37" s="301">
        <v>16666.669999999998</v>
      </c>
      <c r="H37" s="627">
        <f>G37/F37*100</f>
        <v>16.666669999999996</v>
      </c>
      <c r="I37" s="623"/>
      <c r="J37" s="629"/>
      <c r="K37" s="630"/>
      <c r="L37" s="132"/>
    </row>
    <row r="38" spans="1:12" ht="15.75" x14ac:dyDescent="0.2">
      <c r="A38" s="309" t="s">
        <v>294</v>
      </c>
      <c r="B38" s="322" t="s">
        <v>295</v>
      </c>
      <c r="C38" s="623">
        <f>F38</f>
        <v>35900</v>
      </c>
      <c r="D38" s="624">
        <f t="shared" si="0"/>
        <v>67367</v>
      </c>
      <c r="E38" s="625">
        <f t="shared" si="1"/>
        <v>187.65181058495821</v>
      </c>
      <c r="F38" s="626">
        <v>35900</v>
      </c>
      <c r="G38" s="301">
        <v>67367</v>
      </c>
      <c r="H38" s="627">
        <f t="shared" si="2"/>
        <v>187.65181058495821</v>
      </c>
      <c r="I38" s="623"/>
      <c r="J38" s="629"/>
      <c r="K38" s="630"/>
      <c r="L38" s="132"/>
    </row>
    <row r="39" spans="1:12" ht="15.75" x14ac:dyDescent="0.2">
      <c r="A39" s="309" t="s">
        <v>296</v>
      </c>
      <c r="B39" s="322" t="s">
        <v>297</v>
      </c>
      <c r="C39" s="623">
        <f>F39</f>
        <v>40094000</v>
      </c>
      <c r="D39" s="624">
        <f t="shared" si="0"/>
        <v>31640927.140000001</v>
      </c>
      <c r="E39" s="625">
        <f t="shared" si="1"/>
        <v>78.916863221429651</v>
      </c>
      <c r="F39" s="626">
        <v>40094000</v>
      </c>
      <c r="G39" s="301">
        <v>31640927.140000001</v>
      </c>
      <c r="H39" s="627">
        <f t="shared" si="2"/>
        <v>78.916863221429651</v>
      </c>
      <c r="I39" s="623"/>
      <c r="J39" s="629"/>
      <c r="K39" s="630"/>
      <c r="L39" s="132"/>
    </row>
    <row r="40" spans="1:12" ht="15.75" x14ac:dyDescent="0.2">
      <c r="A40" s="311" t="s">
        <v>298</v>
      </c>
      <c r="B40" s="323" t="s">
        <v>299</v>
      </c>
      <c r="C40" s="631">
        <f>I40</f>
        <v>459300</v>
      </c>
      <c r="D40" s="639">
        <f t="shared" si="0"/>
        <v>323124.75</v>
      </c>
      <c r="E40" s="640">
        <f t="shared" si="1"/>
        <v>70.351567602873942</v>
      </c>
      <c r="F40" s="633"/>
      <c r="G40" s="634"/>
      <c r="H40" s="635"/>
      <c r="I40" s="631">
        <f>I41</f>
        <v>459300</v>
      </c>
      <c r="J40" s="634">
        <f>J41</f>
        <v>323124.75</v>
      </c>
      <c r="K40" s="636">
        <f>J40/I40*100</f>
        <v>70.351567602873942</v>
      </c>
      <c r="L40" s="132"/>
    </row>
    <row r="41" spans="1:12" ht="16.5" thickBot="1" x14ac:dyDescent="0.25">
      <c r="A41" s="312" t="s">
        <v>300</v>
      </c>
      <c r="B41" s="325" t="s">
        <v>301</v>
      </c>
      <c r="C41" s="641">
        <f>I41</f>
        <v>459300</v>
      </c>
      <c r="D41" s="642">
        <f t="shared" si="0"/>
        <v>323124.75</v>
      </c>
      <c r="E41" s="643">
        <f t="shared" si="1"/>
        <v>70.351567602873942</v>
      </c>
      <c r="F41" s="644"/>
      <c r="G41" s="304"/>
      <c r="H41" s="645"/>
      <c r="I41" s="641">
        <v>459300</v>
      </c>
      <c r="J41" s="304">
        <v>323124.75</v>
      </c>
      <c r="K41" s="646">
        <f t="shared" ref="K41:K42" si="6">J41/I41*100</f>
        <v>70.351567602873942</v>
      </c>
      <c r="L41" s="132"/>
    </row>
    <row r="42" spans="1:12" ht="16.5" thickBot="1" x14ac:dyDescent="0.25">
      <c r="A42" s="302" t="s">
        <v>302</v>
      </c>
      <c r="B42" s="320" t="s">
        <v>303</v>
      </c>
      <c r="C42" s="612">
        <f>F42+I42</f>
        <v>15638200</v>
      </c>
      <c r="D42" s="306">
        <f t="shared" si="0"/>
        <v>15696957.450000003</v>
      </c>
      <c r="E42" s="609">
        <f t="shared" si="1"/>
        <v>100.37573026307378</v>
      </c>
      <c r="F42" s="647">
        <f>F43+F48+F55</f>
        <v>3922800</v>
      </c>
      <c r="G42" s="613">
        <f>G43+G48+G55</f>
        <v>4608164.3600000003</v>
      </c>
      <c r="H42" s="611">
        <f t="shared" si="2"/>
        <v>117.47130519017031</v>
      </c>
      <c r="I42" s="612">
        <f>I55+I60</f>
        <v>11715400</v>
      </c>
      <c r="J42" s="613">
        <f>J55+J60</f>
        <v>11088793.090000002</v>
      </c>
      <c r="K42" s="614">
        <f t="shared" si="6"/>
        <v>94.651425388804483</v>
      </c>
      <c r="L42" s="132"/>
    </row>
    <row r="43" spans="1:12" ht="31.5" x14ac:dyDescent="0.2">
      <c r="A43" s="308" t="s">
        <v>304</v>
      </c>
      <c r="B43" s="321" t="s">
        <v>305</v>
      </c>
      <c r="C43" s="648">
        <f t="shared" ref="C43:C54" si="7">F43</f>
        <v>1175200</v>
      </c>
      <c r="D43" s="616">
        <f t="shared" si="0"/>
        <v>893286.84</v>
      </c>
      <c r="E43" s="617">
        <f t="shared" si="1"/>
        <v>76.011473791695025</v>
      </c>
      <c r="F43" s="649">
        <f>F44+F45+F47+F46</f>
        <v>1175200</v>
      </c>
      <c r="G43" s="650">
        <f>G44+G45+G47+G46</f>
        <v>893286.84</v>
      </c>
      <c r="H43" s="619">
        <f t="shared" si="2"/>
        <v>76.011473791695025</v>
      </c>
      <c r="I43" s="620"/>
      <c r="J43" s="621"/>
      <c r="K43" s="622"/>
      <c r="L43" s="132"/>
    </row>
    <row r="44" spans="1:12" ht="47.25" x14ac:dyDescent="0.2">
      <c r="A44" s="309" t="s">
        <v>306</v>
      </c>
      <c r="B44" s="322" t="s">
        <v>307</v>
      </c>
      <c r="C44" s="623">
        <f t="shared" si="7"/>
        <v>235600</v>
      </c>
      <c r="D44" s="624">
        <f t="shared" si="0"/>
        <v>52290.14</v>
      </c>
      <c r="E44" s="625">
        <f t="shared" si="1"/>
        <v>22.194456706281834</v>
      </c>
      <c r="F44" s="626">
        <v>235600</v>
      </c>
      <c r="G44" s="301">
        <v>52290.14</v>
      </c>
      <c r="H44" s="627">
        <f t="shared" si="2"/>
        <v>22.194456706281834</v>
      </c>
      <c r="I44" s="623"/>
      <c r="J44" s="301"/>
      <c r="K44" s="651"/>
      <c r="L44" s="132"/>
    </row>
    <row r="45" spans="1:12" ht="28.5" customHeight="1" x14ac:dyDescent="0.2">
      <c r="A45" s="309" t="s">
        <v>308</v>
      </c>
      <c r="B45" s="322" t="s">
        <v>309</v>
      </c>
      <c r="C45" s="623">
        <f t="shared" si="7"/>
        <v>54600</v>
      </c>
      <c r="D45" s="624">
        <f t="shared" si="0"/>
        <v>16349</v>
      </c>
      <c r="E45" s="625">
        <f t="shared" si="1"/>
        <v>29.943223443223445</v>
      </c>
      <c r="F45" s="626">
        <v>54600</v>
      </c>
      <c r="G45" s="301">
        <v>16349</v>
      </c>
      <c r="H45" s="627">
        <f t="shared" si="2"/>
        <v>29.943223443223445</v>
      </c>
      <c r="I45" s="623"/>
      <c r="J45" s="301"/>
      <c r="K45" s="651"/>
      <c r="L45" s="132"/>
    </row>
    <row r="46" spans="1:12" ht="80.25" customHeight="1" x14ac:dyDescent="0.2">
      <c r="A46" s="297">
        <v>21081500</v>
      </c>
      <c r="B46" s="1090" t="s">
        <v>430</v>
      </c>
      <c r="C46" s="623">
        <f t="shared" si="7"/>
        <v>0</v>
      </c>
      <c r="D46" s="624">
        <f t="shared" si="0"/>
        <v>104196.45</v>
      </c>
      <c r="E46" s="625" t="s">
        <v>257</v>
      </c>
      <c r="F46" s="626">
        <v>0</v>
      </c>
      <c r="G46" s="301">
        <v>104196.45</v>
      </c>
      <c r="H46" s="627" t="s">
        <v>257</v>
      </c>
      <c r="I46" s="623"/>
      <c r="J46" s="301"/>
      <c r="K46" s="651"/>
      <c r="L46" s="132"/>
    </row>
    <row r="47" spans="1:12" ht="15.75" x14ac:dyDescent="0.2">
      <c r="A47" s="309" t="s">
        <v>310</v>
      </c>
      <c r="B47" s="322" t="s">
        <v>311</v>
      </c>
      <c r="C47" s="623">
        <f t="shared" si="7"/>
        <v>885000</v>
      </c>
      <c r="D47" s="624">
        <f t="shared" si="0"/>
        <v>720451.25</v>
      </c>
      <c r="E47" s="625">
        <f t="shared" si="1"/>
        <v>81.406920903954799</v>
      </c>
      <c r="F47" s="626">
        <v>885000</v>
      </c>
      <c r="G47" s="301">
        <v>720451.25</v>
      </c>
      <c r="H47" s="627">
        <f t="shared" si="2"/>
        <v>81.406920903954799</v>
      </c>
      <c r="I47" s="623"/>
      <c r="J47" s="301"/>
      <c r="K47" s="651"/>
      <c r="L47" s="132"/>
    </row>
    <row r="48" spans="1:12" ht="31.5" x14ac:dyDescent="0.2">
      <c r="A48" s="311" t="s">
        <v>312</v>
      </c>
      <c r="B48" s="323" t="s">
        <v>313</v>
      </c>
      <c r="C48" s="631">
        <f t="shared" si="7"/>
        <v>2057400</v>
      </c>
      <c r="D48" s="300">
        <f t="shared" si="0"/>
        <v>1928003.3800000001</v>
      </c>
      <c r="E48" s="632">
        <f t="shared" si="1"/>
        <v>93.71067269369108</v>
      </c>
      <c r="F48" s="633">
        <f>F49+F50+F51+F53+F54+F52</f>
        <v>2057400</v>
      </c>
      <c r="G48" s="634">
        <f>G49+G50+G51+G53+G54+G52</f>
        <v>1928003.3800000001</v>
      </c>
      <c r="H48" s="637">
        <f t="shared" si="2"/>
        <v>93.71067269369108</v>
      </c>
      <c r="I48" s="628"/>
      <c r="J48" s="629"/>
      <c r="K48" s="630"/>
      <c r="L48" s="132"/>
    </row>
    <row r="49" spans="1:12" ht="47.25" x14ac:dyDescent="0.2">
      <c r="A49" s="309" t="s">
        <v>314</v>
      </c>
      <c r="B49" s="322" t="s">
        <v>315</v>
      </c>
      <c r="C49" s="623">
        <f t="shared" si="7"/>
        <v>112600</v>
      </c>
      <c r="D49" s="624">
        <f t="shared" si="0"/>
        <v>95183</v>
      </c>
      <c r="E49" s="625">
        <f t="shared" si="1"/>
        <v>84.531971580817057</v>
      </c>
      <c r="F49" s="626">
        <v>112600</v>
      </c>
      <c r="G49" s="301">
        <v>95183</v>
      </c>
      <c r="H49" s="627">
        <f t="shared" si="2"/>
        <v>84.531971580817057</v>
      </c>
      <c r="I49" s="623"/>
      <c r="J49" s="301"/>
      <c r="K49" s="651"/>
      <c r="L49" s="132"/>
    </row>
    <row r="50" spans="1:12" ht="15.75" x14ac:dyDescent="0.2">
      <c r="A50" s="309" t="s">
        <v>316</v>
      </c>
      <c r="B50" s="322" t="s">
        <v>317</v>
      </c>
      <c r="C50" s="623">
        <f t="shared" si="7"/>
        <v>220500</v>
      </c>
      <c r="D50" s="624">
        <f t="shared" si="0"/>
        <v>430746.22</v>
      </c>
      <c r="E50" s="625">
        <f t="shared" si="1"/>
        <v>195.34975963718819</v>
      </c>
      <c r="F50" s="626">
        <v>220500</v>
      </c>
      <c r="G50" s="301">
        <v>430746.22</v>
      </c>
      <c r="H50" s="627">
        <f t="shared" si="2"/>
        <v>195.34975963718819</v>
      </c>
      <c r="I50" s="623"/>
      <c r="J50" s="301"/>
      <c r="K50" s="651"/>
      <c r="L50" s="132"/>
    </row>
    <row r="51" spans="1:12" ht="31.5" x14ac:dyDescent="0.2">
      <c r="A51" s="309" t="s">
        <v>318</v>
      </c>
      <c r="B51" s="322" t="s">
        <v>319</v>
      </c>
      <c r="C51" s="623">
        <f t="shared" si="7"/>
        <v>583600</v>
      </c>
      <c r="D51" s="624">
        <f t="shared" si="0"/>
        <v>491312.8</v>
      </c>
      <c r="E51" s="625">
        <f t="shared" si="1"/>
        <v>84.1865661411926</v>
      </c>
      <c r="F51" s="626">
        <v>583600</v>
      </c>
      <c r="G51" s="301">
        <v>491312.8</v>
      </c>
      <c r="H51" s="627">
        <f t="shared" si="2"/>
        <v>84.1865661411926</v>
      </c>
      <c r="I51" s="623"/>
      <c r="J51" s="301"/>
      <c r="K51" s="651"/>
      <c r="L51" s="132"/>
    </row>
    <row r="52" spans="1:12" ht="47.25" x14ac:dyDescent="0.2">
      <c r="A52" s="297">
        <v>22012900</v>
      </c>
      <c r="B52" s="322" t="s">
        <v>431</v>
      </c>
      <c r="C52" s="623">
        <f t="shared" si="7"/>
        <v>0</v>
      </c>
      <c r="D52" s="624">
        <f t="shared" si="0"/>
        <v>15140</v>
      </c>
      <c r="E52" s="625" t="s">
        <v>257</v>
      </c>
      <c r="F52" s="626">
        <v>0</v>
      </c>
      <c r="G52" s="301">
        <v>15140</v>
      </c>
      <c r="H52" s="627" t="s">
        <v>257</v>
      </c>
      <c r="I52" s="623"/>
      <c r="J52" s="301"/>
      <c r="K52" s="651"/>
      <c r="L52" s="132"/>
    </row>
    <row r="53" spans="1:12" ht="47.25" x14ac:dyDescent="0.2">
      <c r="A53" s="309" t="s">
        <v>320</v>
      </c>
      <c r="B53" s="322" t="s">
        <v>321</v>
      </c>
      <c r="C53" s="623">
        <f t="shared" si="7"/>
        <v>809900</v>
      </c>
      <c r="D53" s="624">
        <f t="shared" si="0"/>
        <v>633347.87</v>
      </c>
      <c r="E53" s="625">
        <f t="shared" si="1"/>
        <v>78.200749475243853</v>
      </c>
      <c r="F53" s="626">
        <v>809900</v>
      </c>
      <c r="G53" s="301">
        <v>633347.87</v>
      </c>
      <c r="H53" s="627">
        <f t="shared" si="2"/>
        <v>78.200749475243853</v>
      </c>
      <c r="I53" s="623"/>
      <c r="J53" s="301"/>
      <c r="K53" s="651"/>
      <c r="L53" s="132"/>
    </row>
    <row r="54" spans="1:12" ht="15.75" x14ac:dyDescent="0.2">
      <c r="A54" s="309" t="s">
        <v>322</v>
      </c>
      <c r="B54" s="322" t="s">
        <v>323</v>
      </c>
      <c r="C54" s="623">
        <f t="shared" si="7"/>
        <v>330800</v>
      </c>
      <c r="D54" s="624">
        <f t="shared" si="0"/>
        <v>262273.49</v>
      </c>
      <c r="E54" s="625">
        <f t="shared" si="1"/>
        <v>79.284610036275694</v>
      </c>
      <c r="F54" s="626">
        <v>330800</v>
      </c>
      <c r="G54" s="301">
        <v>262273.49</v>
      </c>
      <c r="H54" s="627">
        <f t="shared" si="2"/>
        <v>79.284610036275694</v>
      </c>
      <c r="I54" s="628"/>
      <c r="J54" s="629"/>
      <c r="K54" s="630"/>
      <c r="L54" s="132"/>
    </row>
    <row r="55" spans="1:12" ht="31.5" x14ac:dyDescent="0.2">
      <c r="A55" s="311" t="s">
        <v>324</v>
      </c>
      <c r="B55" s="323" t="s">
        <v>325</v>
      </c>
      <c r="C55" s="631">
        <f>F55+I55</f>
        <v>690200</v>
      </c>
      <c r="D55" s="300">
        <f>G55+J55</f>
        <v>1857159.4500000002</v>
      </c>
      <c r="E55" s="1101" t="s">
        <v>734</v>
      </c>
      <c r="F55" s="633">
        <f>F56+F58</f>
        <v>690200</v>
      </c>
      <c r="G55" s="634">
        <f>G56+G58</f>
        <v>1786874.1400000001</v>
      </c>
      <c r="H55" s="1100" t="s">
        <v>728</v>
      </c>
      <c r="I55" s="631">
        <f>I57</f>
        <v>0</v>
      </c>
      <c r="J55" s="634">
        <f>J57</f>
        <v>70285.31</v>
      </c>
      <c r="K55" s="636" t="s">
        <v>257</v>
      </c>
      <c r="L55" s="132"/>
    </row>
    <row r="56" spans="1:12" ht="45" customHeight="1" x14ac:dyDescent="0.2">
      <c r="A56" s="309" t="s">
        <v>326</v>
      </c>
      <c r="B56" s="322" t="s">
        <v>327</v>
      </c>
      <c r="C56" s="623">
        <f>F56</f>
        <v>274100</v>
      </c>
      <c r="D56" s="624">
        <f t="shared" si="0"/>
        <v>718510.41</v>
      </c>
      <c r="E56" s="652" t="str">
        <f>H56</f>
        <v>збільшення у 2,6 разів</v>
      </c>
      <c r="F56" s="626">
        <v>274100</v>
      </c>
      <c r="G56" s="301">
        <v>718510.41</v>
      </c>
      <c r="H56" s="653" t="s">
        <v>728</v>
      </c>
      <c r="I56" s="623"/>
      <c r="J56" s="301"/>
      <c r="K56" s="651"/>
      <c r="L56" s="132"/>
    </row>
    <row r="57" spans="1:12" ht="52.5" customHeight="1" x14ac:dyDescent="0.2">
      <c r="A57" s="297">
        <v>24062100</v>
      </c>
      <c r="B57" s="322" t="s">
        <v>729</v>
      </c>
      <c r="C57" s="623">
        <f>F57</f>
        <v>0</v>
      </c>
      <c r="D57" s="624">
        <f t="shared" si="0"/>
        <v>70285.31</v>
      </c>
      <c r="E57" s="652" t="s">
        <v>257</v>
      </c>
      <c r="F57" s="626"/>
      <c r="G57" s="301"/>
      <c r="H57" s="653"/>
      <c r="I57" s="623">
        <v>0</v>
      </c>
      <c r="J57" s="301">
        <v>70285.31</v>
      </c>
      <c r="K57" s="651" t="s">
        <v>257</v>
      </c>
      <c r="L57" s="132"/>
    </row>
    <row r="58" spans="1:12" ht="31.5" customHeight="1" x14ac:dyDescent="0.2">
      <c r="A58" s="309" t="s">
        <v>328</v>
      </c>
      <c r="B58" s="322" t="s">
        <v>329</v>
      </c>
      <c r="C58" s="623">
        <f>F58</f>
        <v>416100</v>
      </c>
      <c r="D58" s="624">
        <f t="shared" si="0"/>
        <v>1068363.73</v>
      </c>
      <c r="E58" s="652" t="str">
        <f>H58</f>
        <v>збільшення у 2,6 разів</v>
      </c>
      <c r="F58" s="626">
        <v>416100</v>
      </c>
      <c r="G58" s="301">
        <v>1068363.73</v>
      </c>
      <c r="H58" s="653" t="s">
        <v>728</v>
      </c>
      <c r="I58" s="623"/>
      <c r="J58" s="301"/>
      <c r="K58" s="651"/>
      <c r="L58" s="132"/>
    </row>
    <row r="59" spans="1:12" ht="31.5" hidden="1" x14ac:dyDescent="0.2">
      <c r="A59" s="309" t="s">
        <v>330</v>
      </c>
      <c r="B59" s="322" t="s">
        <v>331</v>
      </c>
      <c r="C59" s="623"/>
      <c r="D59" s="624"/>
      <c r="E59" s="625"/>
      <c r="F59" s="626"/>
      <c r="G59" s="301"/>
      <c r="H59" s="635"/>
      <c r="I59" s="623"/>
      <c r="J59" s="301"/>
      <c r="K59" s="651"/>
      <c r="L59" s="132"/>
    </row>
    <row r="60" spans="1:12" ht="26.25" customHeight="1" x14ac:dyDescent="0.2">
      <c r="A60" s="311" t="s">
        <v>332</v>
      </c>
      <c r="B60" s="323" t="s">
        <v>333</v>
      </c>
      <c r="C60" s="631">
        <f>I60</f>
        <v>11715400</v>
      </c>
      <c r="D60" s="639">
        <f t="shared" si="0"/>
        <v>11018507.780000001</v>
      </c>
      <c r="E60" s="640">
        <f t="shared" si="1"/>
        <v>94.051485907438078</v>
      </c>
      <c r="F60" s="633"/>
      <c r="G60" s="634"/>
      <c r="H60" s="635"/>
      <c r="I60" s="631">
        <f>I61+I62</f>
        <v>11715400</v>
      </c>
      <c r="J60" s="634">
        <f>J61+J62</f>
        <v>11018507.780000001</v>
      </c>
      <c r="K60" s="636">
        <f>J60/I60*100</f>
        <v>94.051485907438078</v>
      </c>
      <c r="L60" s="132"/>
    </row>
    <row r="61" spans="1:12" ht="33" customHeight="1" x14ac:dyDescent="0.2">
      <c r="A61" s="309" t="s">
        <v>334</v>
      </c>
      <c r="B61" s="322" t="s">
        <v>335</v>
      </c>
      <c r="C61" s="623">
        <f>I61</f>
        <v>11715400</v>
      </c>
      <c r="D61" s="624">
        <f t="shared" si="0"/>
        <v>4893350.8</v>
      </c>
      <c r="E61" s="625">
        <f t="shared" si="1"/>
        <v>41.768533724840808</v>
      </c>
      <c r="F61" s="626"/>
      <c r="G61" s="301"/>
      <c r="H61" s="635"/>
      <c r="I61" s="623">
        <v>11715400</v>
      </c>
      <c r="J61" s="301">
        <v>4893350.8</v>
      </c>
      <c r="K61" s="651">
        <f>J61/I61*100</f>
        <v>41.768533724840808</v>
      </c>
      <c r="L61" s="132"/>
    </row>
    <row r="62" spans="1:12" ht="24.75" customHeight="1" thickBot="1" x14ac:dyDescent="0.25">
      <c r="A62" s="313">
        <v>25020000</v>
      </c>
      <c r="B62" s="325" t="s">
        <v>432</v>
      </c>
      <c r="C62" s="641">
        <v>0</v>
      </c>
      <c r="D62" s="642">
        <f t="shared" si="0"/>
        <v>6125156.9800000004</v>
      </c>
      <c r="E62" s="643" t="s">
        <v>257</v>
      </c>
      <c r="F62" s="644"/>
      <c r="G62" s="304"/>
      <c r="H62" s="645"/>
      <c r="I62" s="641">
        <v>0</v>
      </c>
      <c r="J62" s="304">
        <v>6125156.9800000004</v>
      </c>
      <c r="K62" s="646" t="s">
        <v>257</v>
      </c>
      <c r="L62" s="132"/>
    </row>
    <row r="63" spans="1:12" ht="16.5" thickBot="1" x14ac:dyDescent="0.25">
      <c r="A63" s="303" t="s">
        <v>336</v>
      </c>
      <c r="B63" s="326" t="s">
        <v>337</v>
      </c>
      <c r="C63" s="654">
        <f>C64</f>
        <v>8443400</v>
      </c>
      <c r="D63" s="306">
        <f t="shared" si="0"/>
        <v>6518566</v>
      </c>
      <c r="E63" s="609">
        <f t="shared" si="1"/>
        <v>77.203093540516861</v>
      </c>
      <c r="F63" s="655"/>
      <c r="G63" s="656"/>
      <c r="H63" s="611"/>
      <c r="I63" s="654">
        <f>I64</f>
        <v>8443400</v>
      </c>
      <c r="J63" s="656">
        <f>J64</f>
        <v>6518566</v>
      </c>
      <c r="K63" s="657">
        <v>0</v>
      </c>
      <c r="L63" s="132"/>
    </row>
    <row r="64" spans="1:12" ht="79.5" thickBot="1" x14ac:dyDescent="0.25">
      <c r="A64" s="316" t="s">
        <v>338</v>
      </c>
      <c r="B64" s="330" t="s">
        <v>339</v>
      </c>
      <c r="C64" s="658">
        <f>I64</f>
        <v>8443400</v>
      </c>
      <c r="D64" s="659">
        <f t="shared" si="0"/>
        <v>6518566</v>
      </c>
      <c r="E64" s="1091">
        <f t="shared" si="1"/>
        <v>77.203093540516861</v>
      </c>
      <c r="F64" s="660"/>
      <c r="G64" s="661"/>
      <c r="H64" s="662"/>
      <c r="I64" s="658">
        <v>8443400</v>
      </c>
      <c r="J64" s="661">
        <v>6518566</v>
      </c>
      <c r="K64" s="1092">
        <f>J64/I64*100</f>
        <v>77.203093540516861</v>
      </c>
      <c r="L64" s="132"/>
    </row>
    <row r="65" spans="1:12" ht="28.5" customHeight="1" thickBot="1" x14ac:dyDescent="0.25">
      <c r="A65" s="302"/>
      <c r="B65" s="320" t="s">
        <v>340</v>
      </c>
      <c r="C65" s="612">
        <f>F65+I65</f>
        <v>577763200</v>
      </c>
      <c r="D65" s="306">
        <f t="shared" si="0"/>
        <v>445760123.38000005</v>
      </c>
      <c r="E65" s="609">
        <f t="shared" si="1"/>
        <v>77.152737207908032</v>
      </c>
      <c r="F65" s="647">
        <f>F15+F42</f>
        <v>557145100</v>
      </c>
      <c r="G65" s="613">
        <f>G15+G42</f>
        <v>427737124.97000003</v>
      </c>
      <c r="H65" s="611">
        <f t="shared" si="2"/>
        <v>76.773021062197273</v>
      </c>
      <c r="I65" s="612">
        <f>I63+I42+I15</f>
        <v>20618100</v>
      </c>
      <c r="J65" s="613">
        <f>J63+J42+J15+J87</f>
        <v>18022998.410000004</v>
      </c>
      <c r="K65" s="614">
        <f>J65/I65*100</f>
        <v>87.413478497048729</v>
      </c>
      <c r="L65" s="132"/>
    </row>
    <row r="66" spans="1:12" ht="19.5" customHeight="1" thickBot="1" x14ac:dyDescent="0.25">
      <c r="A66" s="302" t="s">
        <v>341</v>
      </c>
      <c r="B66" s="320" t="s">
        <v>342</v>
      </c>
      <c r="C66" s="612">
        <f>F66+I66</f>
        <v>90163399</v>
      </c>
      <c r="D66" s="306">
        <f t="shared" si="0"/>
        <v>72207293.599999994</v>
      </c>
      <c r="E66" s="609">
        <f t="shared" si="1"/>
        <v>80.084928475245249</v>
      </c>
      <c r="F66" s="647">
        <f>F67</f>
        <v>86961299</v>
      </c>
      <c r="G66" s="613">
        <f>G67</f>
        <v>68263393.599999994</v>
      </c>
      <c r="H66" s="611">
        <f t="shared" si="2"/>
        <v>78.49859004521079</v>
      </c>
      <c r="I66" s="612">
        <f>I67</f>
        <v>3202100</v>
      </c>
      <c r="J66" s="613">
        <f>J67</f>
        <v>3943900</v>
      </c>
      <c r="K66" s="611">
        <f t="shared" ref="K66:K67" si="8">J66/I66*100</f>
        <v>123.16604728147153</v>
      </c>
      <c r="L66" s="132"/>
    </row>
    <row r="67" spans="1:12" ht="29.25" hidden="1" customHeight="1" x14ac:dyDescent="0.2">
      <c r="A67" s="308" t="s">
        <v>343</v>
      </c>
      <c r="B67" s="321" t="s">
        <v>344</v>
      </c>
      <c r="C67" s="648">
        <f t="shared" ref="C67:C86" si="9">F67</f>
        <v>86961299</v>
      </c>
      <c r="D67" s="663">
        <f t="shared" si="0"/>
        <v>72207293.599999994</v>
      </c>
      <c r="E67" s="664">
        <f t="shared" si="1"/>
        <v>83.033825886156549</v>
      </c>
      <c r="F67" s="649">
        <f>F70+F76+F78</f>
        <v>86961299</v>
      </c>
      <c r="G67" s="650">
        <f>G70+G76+G78</f>
        <v>68263393.599999994</v>
      </c>
      <c r="H67" s="619">
        <f t="shared" si="2"/>
        <v>78.49859004521079</v>
      </c>
      <c r="I67" s="648">
        <f>I70+I76+I78</f>
        <v>3202100</v>
      </c>
      <c r="J67" s="650">
        <f>J70+J76+J78</f>
        <v>3943900</v>
      </c>
      <c r="K67" s="619">
        <f t="shared" si="8"/>
        <v>123.16604728147153</v>
      </c>
      <c r="L67" s="132"/>
    </row>
    <row r="68" spans="1:12" ht="115.5" hidden="1" customHeight="1" x14ac:dyDescent="0.2">
      <c r="A68" s="314">
        <v>41020000</v>
      </c>
      <c r="B68" s="327" t="s">
        <v>345</v>
      </c>
      <c r="C68" s="628">
        <f t="shared" si="9"/>
        <v>0</v>
      </c>
      <c r="D68" s="300">
        <f t="shared" si="0"/>
        <v>0</v>
      </c>
      <c r="E68" s="632" t="e">
        <f t="shared" si="1"/>
        <v>#DIV/0!</v>
      </c>
      <c r="F68" s="665">
        <f>F69</f>
        <v>0</v>
      </c>
      <c r="G68" s="629">
        <f>G69</f>
        <v>0</v>
      </c>
      <c r="H68" s="635" t="e">
        <f t="shared" si="2"/>
        <v>#DIV/0!</v>
      </c>
      <c r="I68" s="628"/>
      <c r="J68" s="629"/>
      <c r="K68" s="630"/>
      <c r="L68" s="132"/>
    </row>
    <row r="69" spans="1:12" ht="27.75" hidden="1" customHeight="1" x14ac:dyDescent="0.2">
      <c r="A69" s="297">
        <v>41021400</v>
      </c>
      <c r="B69" s="322" t="s">
        <v>346</v>
      </c>
      <c r="C69" s="623"/>
      <c r="D69" s="300"/>
      <c r="E69" s="632"/>
      <c r="F69" s="626"/>
      <c r="G69" s="301"/>
      <c r="H69" s="627"/>
      <c r="I69" s="623"/>
      <c r="J69" s="301"/>
      <c r="K69" s="651"/>
      <c r="L69" s="132"/>
    </row>
    <row r="70" spans="1:12" ht="31.5" x14ac:dyDescent="0.2">
      <c r="A70" s="314" t="s">
        <v>347</v>
      </c>
      <c r="B70" s="327" t="s">
        <v>348</v>
      </c>
      <c r="C70" s="628">
        <f>F70+I70</f>
        <v>86525800</v>
      </c>
      <c r="D70" s="300">
        <f t="shared" si="0"/>
        <v>69125200</v>
      </c>
      <c r="E70" s="632">
        <f t="shared" si="1"/>
        <v>79.889697639316822</v>
      </c>
      <c r="F70" s="665">
        <f>F71+F72+F73+F74</f>
        <v>83323700</v>
      </c>
      <c r="G70" s="629">
        <f>G71+G72+G73+G74</f>
        <v>65181300</v>
      </c>
      <c r="H70" s="635">
        <f t="shared" si="2"/>
        <v>78.226602995306266</v>
      </c>
      <c r="I70" s="628">
        <f>I71+I72+I73+I74+I75</f>
        <v>3202100</v>
      </c>
      <c r="J70" s="629">
        <f>J71+J72+J73+J74+J75</f>
        <v>3943900</v>
      </c>
      <c r="K70" s="635">
        <f t="shared" ref="K70" si="10">J70/I70*100</f>
        <v>123.16604728147153</v>
      </c>
      <c r="L70" s="132"/>
    </row>
    <row r="71" spans="1:12" ht="31.5" x14ac:dyDescent="0.2">
      <c r="A71" s="309" t="s">
        <v>349</v>
      </c>
      <c r="B71" s="322" t="s">
        <v>350</v>
      </c>
      <c r="C71" s="623">
        <f>F71+I71</f>
        <v>79946900</v>
      </c>
      <c r="D71" s="624">
        <f t="shared" si="0"/>
        <v>60617300</v>
      </c>
      <c r="E71" s="625">
        <f t="shared" si="1"/>
        <v>75.821951820520866</v>
      </c>
      <c r="F71" s="626">
        <v>77435200</v>
      </c>
      <c r="G71" s="301">
        <v>58105600</v>
      </c>
      <c r="H71" s="627">
        <f t="shared" si="2"/>
        <v>75.037708948901795</v>
      </c>
      <c r="I71" s="623">
        <v>2511700</v>
      </c>
      <c r="J71" s="301">
        <v>2511700</v>
      </c>
      <c r="K71" s="651">
        <f>J71/I71*100</f>
        <v>100</v>
      </c>
      <c r="L71" s="132"/>
    </row>
    <row r="72" spans="1:12" ht="54.75" customHeight="1" x14ac:dyDescent="0.2">
      <c r="A72" s="297">
        <v>41035400</v>
      </c>
      <c r="B72" s="322" t="s">
        <v>607</v>
      </c>
      <c r="C72" s="623">
        <f>F72+I72</f>
        <v>480600</v>
      </c>
      <c r="D72" s="624">
        <f>G72+J72</f>
        <v>388100</v>
      </c>
      <c r="E72" s="625">
        <f t="shared" si="1"/>
        <v>80.753225135247604</v>
      </c>
      <c r="F72" s="626">
        <v>480600</v>
      </c>
      <c r="G72" s="301">
        <v>336700</v>
      </c>
      <c r="H72" s="627">
        <f t="shared" si="2"/>
        <v>70.058260507698705</v>
      </c>
      <c r="I72" s="623">
        <v>0</v>
      </c>
      <c r="J72" s="301">
        <v>51400</v>
      </c>
      <c r="K72" s="651" t="s">
        <v>257</v>
      </c>
      <c r="L72" s="132"/>
    </row>
    <row r="73" spans="1:12" ht="63" x14ac:dyDescent="0.2">
      <c r="A73" s="297">
        <v>41036000</v>
      </c>
      <c r="B73" s="322" t="s">
        <v>608</v>
      </c>
      <c r="C73" s="623">
        <f t="shared" ref="C73:E77" si="11">F73</f>
        <v>1352500</v>
      </c>
      <c r="D73" s="624">
        <f t="shared" si="0"/>
        <v>1352500</v>
      </c>
      <c r="E73" s="666">
        <f t="shared" si="1"/>
        <v>100</v>
      </c>
      <c r="F73" s="626">
        <v>1352500</v>
      </c>
      <c r="G73" s="301">
        <v>1352500</v>
      </c>
      <c r="H73" s="667">
        <f t="shared" si="2"/>
        <v>100</v>
      </c>
      <c r="I73" s="623"/>
      <c r="J73" s="301"/>
      <c r="K73" s="651"/>
      <c r="L73" s="132"/>
    </row>
    <row r="74" spans="1:12" ht="47.25" x14ac:dyDescent="0.2">
      <c r="A74" s="297">
        <v>41036300</v>
      </c>
      <c r="B74" s="322" t="s">
        <v>609</v>
      </c>
      <c r="C74" s="623">
        <f t="shared" si="11"/>
        <v>4055400</v>
      </c>
      <c r="D74" s="624">
        <f t="shared" si="0"/>
        <v>5386500</v>
      </c>
      <c r="E74" s="625">
        <f t="shared" si="1"/>
        <v>132.82290279627165</v>
      </c>
      <c r="F74" s="626">
        <v>4055400</v>
      </c>
      <c r="G74" s="301">
        <v>5386500</v>
      </c>
      <c r="H74" s="627">
        <f t="shared" si="2"/>
        <v>132.82290279627165</v>
      </c>
      <c r="I74" s="623"/>
      <c r="J74" s="301"/>
      <c r="K74" s="651"/>
      <c r="L74" s="132"/>
    </row>
    <row r="75" spans="1:12" ht="63" x14ac:dyDescent="0.2">
      <c r="A75" s="297">
        <v>41037400</v>
      </c>
      <c r="B75" s="322" t="s">
        <v>730</v>
      </c>
      <c r="C75" s="623">
        <f>I75+F75</f>
        <v>690400</v>
      </c>
      <c r="D75" s="624">
        <f>J75+G75</f>
        <v>1380800</v>
      </c>
      <c r="E75" s="625">
        <f t="shared" si="1"/>
        <v>200</v>
      </c>
      <c r="F75" s="626"/>
      <c r="G75" s="301"/>
      <c r="H75" s="627"/>
      <c r="I75" s="623">
        <v>690400</v>
      </c>
      <c r="J75" s="301">
        <v>1380800</v>
      </c>
      <c r="K75" s="651">
        <f>J75/I75*100</f>
        <v>200</v>
      </c>
      <c r="L75" s="132"/>
    </row>
    <row r="76" spans="1:12" ht="31.5" x14ac:dyDescent="0.2">
      <c r="A76" s="719">
        <v>41040000</v>
      </c>
      <c r="B76" s="668" t="s">
        <v>610</v>
      </c>
      <c r="C76" s="628">
        <f t="shared" si="11"/>
        <v>0</v>
      </c>
      <c r="D76" s="300">
        <f t="shared" si="11"/>
        <v>0</v>
      </c>
      <c r="E76" s="632" t="str">
        <f t="shared" si="11"/>
        <v>0</v>
      </c>
      <c r="F76" s="665">
        <f>F77</f>
        <v>0</v>
      </c>
      <c r="G76" s="629">
        <f>G77</f>
        <v>0</v>
      </c>
      <c r="H76" s="635" t="str">
        <f>H77</f>
        <v>0</v>
      </c>
      <c r="I76" s="623"/>
      <c r="J76" s="301"/>
      <c r="K76" s="651"/>
      <c r="L76" s="132"/>
    </row>
    <row r="77" spans="1:12" ht="15.75" x14ac:dyDescent="0.2">
      <c r="A77" s="669">
        <v>41040400</v>
      </c>
      <c r="B77" s="328" t="s">
        <v>611</v>
      </c>
      <c r="C77" s="623">
        <f t="shared" si="11"/>
        <v>0</v>
      </c>
      <c r="D77" s="624">
        <f t="shared" si="11"/>
        <v>0</v>
      </c>
      <c r="E77" s="625" t="str">
        <f t="shared" si="11"/>
        <v>0</v>
      </c>
      <c r="F77" s="626">
        <v>0</v>
      </c>
      <c r="G77" s="301">
        <v>0</v>
      </c>
      <c r="H77" s="627" t="s">
        <v>612</v>
      </c>
      <c r="I77" s="623"/>
      <c r="J77" s="301"/>
      <c r="K77" s="651"/>
      <c r="L77" s="132"/>
    </row>
    <row r="78" spans="1:12" ht="31.5" customHeight="1" x14ac:dyDescent="0.2">
      <c r="A78" s="315">
        <v>41050000</v>
      </c>
      <c r="B78" s="327" t="s">
        <v>435</v>
      </c>
      <c r="C78" s="628">
        <f>F78</f>
        <v>3637599</v>
      </c>
      <c r="D78" s="300">
        <f>G78+J78</f>
        <v>3082093.6</v>
      </c>
      <c r="E78" s="632">
        <f t="shared" si="1"/>
        <v>84.728789511983052</v>
      </c>
      <c r="F78" s="665">
        <f>F79+F81+F82+F83+F86+F84+F85</f>
        <v>3637599</v>
      </c>
      <c r="G78" s="665">
        <f>G79+G81+G82+G83+G86+G84+G85</f>
        <v>3082093.6</v>
      </c>
      <c r="H78" s="635">
        <f>G78/F78*100</f>
        <v>84.728789511983052</v>
      </c>
      <c r="I78" s="665"/>
      <c r="J78" s="628"/>
      <c r="K78" s="635"/>
      <c r="L78" s="132"/>
    </row>
    <row r="79" spans="1:12" ht="48" customHeight="1" x14ac:dyDescent="0.2">
      <c r="A79" s="297" t="s">
        <v>351</v>
      </c>
      <c r="B79" s="322" t="s">
        <v>352</v>
      </c>
      <c r="C79" s="623">
        <f>F79</f>
        <v>1773410</v>
      </c>
      <c r="D79" s="624">
        <f t="shared" si="0"/>
        <v>1347815</v>
      </c>
      <c r="E79" s="625">
        <f t="shared" si="1"/>
        <v>76.001319491826479</v>
      </c>
      <c r="F79" s="626">
        <v>1773410</v>
      </c>
      <c r="G79" s="301">
        <v>1347815</v>
      </c>
      <c r="H79" s="627">
        <f t="shared" si="2"/>
        <v>76.001319491826479</v>
      </c>
      <c r="I79" s="623"/>
      <c r="J79" s="301"/>
      <c r="K79" s="651"/>
      <c r="L79" s="132"/>
    </row>
    <row r="80" spans="1:12" ht="47.25" hidden="1" x14ac:dyDescent="0.2">
      <c r="A80" s="297">
        <v>41051100</v>
      </c>
      <c r="B80" s="322" t="s">
        <v>434</v>
      </c>
      <c r="C80" s="623">
        <v>0</v>
      </c>
      <c r="D80" s="624">
        <f t="shared" si="0"/>
        <v>0</v>
      </c>
      <c r="E80" s="625" t="s">
        <v>257</v>
      </c>
      <c r="F80" s="626"/>
      <c r="G80" s="301"/>
      <c r="H80" s="627"/>
      <c r="I80" s="623">
        <v>0</v>
      </c>
      <c r="J80" s="301"/>
      <c r="K80" s="651" t="s">
        <v>257</v>
      </c>
      <c r="L80" s="132"/>
    </row>
    <row r="81" spans="1:12" ht="66" customHeight="1" x14ac:dyDescent="0.2">
      <c r="A81" s="298">
        <v>41053900</v>
      </c>
      <c r="B81" s="328" t="s">
        <v>353</v>
      </c>
      <c r="C81" s="623">
        <f t="shared" si="9"/>
        <v>57773</v>
      </c>
      <c r="D81" s="624">
        <f t="shared" si="0"/>
        <v>87042</v>
      </c>
      <c r="E81" s="625">
        <f t="shared" si="1"/>
        <v>150.66207397919445</v>
      </c>
      <c r="F81" s="720">
        <v>57773</v>
      </c>
      <c r="G81" s="624">
        <v>87042</v>
      </c>
      <c r="H81" s="627">
        <f t="shared" si="2"/>
        <v>150.66207397919445</v>
      </c>
      <c r="I81" s="623"/>
      <c r="J81" s="301"/>
      <c r="K81" s="651"/>
      <c r="L81" s="132"/>
    </row>
    <row r="82" spans="1:12" ht="54.75" customHeight="1" x14ac:dyDescent="0.2">
      <c r="A82" s="299">
        <v>41053900</v>
      </c>
      <c r="B82" s="328" t="s">
        <v>354</v>
      </c>
      <c r="C82" s="623">
        <f t="shared" si="9"/>
        <v>164690</v>
      </c>
      <c r="D82" s="624">
        <f t="shared" si="0"/>
        <v>36075</v>
      </c>
      <c r="E82" s="625">
        <f t="shared" si="1"/>
        <v>21.904790819114702</v>
      </c>
      <c r="F82" s="720">
        <v>164690</v>
      </c>
      <c r="G82" s="624">
        <v>36075</v>
      </c>
      <c r="H82" s="627">
        <f t="shared" si="2"/>
        <v>21.904790819114702</v>
      </c>
      <c r="I82" s="623"/>
      <c r="J82" s="301"/>
      <c r="K82" s="651"/>
      <c r="L82" s="132"/>
    </row>
    <row r="83" spans="1:12" ht="63" customHeight="1" x14ac:dyDescent="0.2">
      <c r="A83" s="299">
        <v>41053900</v>
      </c>
      <c r="B83" s="328" t="s">
        <v>355</v>
      </c>
      <c r="C83" s="626">
        <f t="shared" si="9"/>
        <v>17623</v>
      </c>
      <c r="D83" s="624">
        <f t="shared" si="0"/>
        <v>13410.6</v>
      </c>
      <c r="E83" s="625">
        <f t="shared" si="1"/>
        <v>76.097145775407142</v>
      </c>
      <c r="F83" s="720">
        <v>17623</v>
      </c>
      <c r="G83" s="624">
        <v>13410.6</v>
      </c>
      <c r="H83" s="627">
        <f t="shared" si="2"/>
        <v>76.097145775407142</v>
      </c>
      <c r="I83" s="623"/>
      <c r="J83" s="301"/>
      <c r="K83" s="651"/>
      <c r="L83" s="132"/>
    </row>
    <row r="84" spans="1:12" ht="67.5" customHeight="1" x14ac:dyDescent="0.2">
      <c r="A84" s="299">
        <v>41057700</v>
      </c>
      <c r="B84" s="328" t="s">
        <v>623</v>
      </c>
      <c r="C84" s="626">
        <f t="shared" si="9"/>
        <v>79056</v>
      </c>
      <c r="D84" s="624">
        <f t="shared" si="0"/>
        <v>52704</v>
      </c>
      <c r="E84" s="625">
        <f t="shared" si="1"/>
        <v>66.666666666666657</v>
      </c>
      <c r="F84" s="720">
        <v>79056</v>
      </c>
      <c r="G84" s="624">
        <v>52704</v>
      </c>
      <c r="H84" s="627">
        <f t="shared" si="2"/>
        <v>66.666666666666657</v>
      </c>
      <c r="I84" s="623"/>
      <c r="J84" s="301"/>
      <c r="K84" s="651"/>
      <c r="L84" s="132"/>
    </row>
    <row r="85" spans="1:12" ht="63" x14ac:dyDescent="0.2">
      <c r="A85" s="299">
        <v>41057900</v>
      </c>
      <c r="B85" s="328" t="s">
        <v>624</v>
      </c>
      <c r="C85" s="626">
        <f t="shared" si="9"/>
        <v>1250000</v>
      </c>
      <c r="D85" s="624">
        <f t="shared" si="0"/>
        <v>1250000</v>
      </c>
      <c r="E85" s="625">
        <f>H85</f>
        <v>100</v>
      </c>
      <c r="F85" s="720">
        <v>1250000</v>
      </c>
      <c r="G85" s="624">
        <v>1250000</v>
      </c>
      <c r="H85" s="627">
        <f>G85/F85*100</f>
        <v>100</v>
      </c>
      <c r="I85" s="623"/>
      <c r="J85" s="301"/>
      <c r="K85" s="651"/>
      <c r="L85" s="132"/>
    </row>
    <row r="86" spans="1:12" ht="95.25" thickBot="1" x14ac:dyDescent="0.25">
      <c r="A86" s="670">
        <v>41059300</v>
      </c>
      <c r="B86" s="671" t="s">
        <v>613</v>
      </c>
      <c r="C86" s="626">
        <f t="shared" si="9"/>
        <v>295047</v>
      </c>
      <c r="D86" s="624">
        <f t="shared" si="0"/>
        <v>295047</v>
      </c>
      <c r="E86" s="625">
        <f t="shared" si="1"/>
        <v>100</v>
      </c>
      <c r="F86" s="626">
        <v>295047</v>
      </c>
      <c r="G86" s="301">
        <v>295047</v>
      </c>
      <c r="H86" s="627">
        <f t="shared" si="2"/>
        <v>100</v>
      </c>
      <c r="I86" s="641"/>
      <c r="J86" s="304"/>
      <c r="K86" s="646"/>
      <c r="L86" s="132"/>
    </row>
    <row r="87" spans="1:12" ht="16.5" thickBot="1" x14ac:dyDescent="0.25">
      <c r="A87" s="305">
        <v>50000000</v>
      </c>
      <c r="B87" s="329" t="s">
        <v>433</v>
      </c>
      <c r="C87" s="612">
        <v>0</v>
      </c>
      <c r="D87" s="306">
        <f t="shared" si="0"/>
        <v>92514.57</v>
      </c>
      <c r="E87" s="609" t="s">
        <v>257</v>
      </c>
      <c r="F87" s="647"/>
      <c r="G87" s="613"/>
      <c r="H87" s="611"/>
      <c r="I87" s="612">
        <v>0</v>
      </c>
      <c r="J87" s="613">
        <f>J88</f>
        <v>92514.57</v>
      </c>
      <c r="K87" s="614" t="s">
        <v>257</v>
      </c>
      <c r="L87" s="132"/>
    </row>
    <row r="88" spans="1:12" ht="52.5" customHeight="1" thickBot="1" x14ac:dyDescent="0.25">
      <c r="A88" s="673">
        <v>50110000</v>
      </c>
      <c r="B88" s="330" t="s">
        <v>614</v>
      </c>
      <c r="C88" s="658">
        <f>I88</f>
        <v>0</v>
      </c>
      <c r="D88" s="674">
        <f>J88</f>
        <v>92514.57</v>
      </c>
      <c r="E88" s="675" t="str">
        <f>K88</f>
        <v>х</v>
      </c>
      <c r="F88" s="660"/>
      <c r="G88" s="661"/>
      <c r="H88" s="662"/>
      <c r="I88" s="658">
        <v>0</v>
      </c>
      <c r="J88" s="661">
        <v>92514.57</v>
      </c>
      <c r="K88" s="672" t="s">
        <v>257</v>
      </c>
    </row>
    <row r="89" spans="1:12" ht="15.75" customHeight="1" thickBot="1" x14ac:dyDescent="0.25">
      <c r="A89" s="317" t="s">
        <v>6</v>
      </c>
      <c r="B89" s="320" t="s">
        <v>356</v>
      </c>
      <c r="C89" s="612">
        <f>F89+I89</f>
        <v>667926599</v>
      </c>
      <c r="D89" s="306">
        <f>G89+J89</f>
        <v>517967416.98000008</v>
      </c>
      <c r="E89" s="609">
        <f>D89/C89*100</f>
        <v>77.548553651776359</v>
      </c>
      <c r="F89" s="647">
        <f>F65+F66</f>
        <v>644106399</v>
      </c>
      <c r="G89" s="613">
        <f>G65+G66</f>
        <v>496000518.57000005</v>
      </c>
      <c r="H89" s="611">
        <f t="shared" si="2"/>
        <v>77.005991454216243</v>
      </c>
      <c r="I89" s="612">
        <f>I65+I66</f>
        <v>23820200</v>
      </c>
      <c r="J89" s="613">
        <f>J65+J66</f>
        <v>21966898.410000004</v>
      </c>
      <c r="K89" s="614">
        <f>J89/I89*100</f>
        <v>92.219622043475724</v>
      </c>
    </row>
    <row r="90" spans="1:12" ht="15.75" x14ac:dyDescent="0.25">
      <c r="A90" s="1"/>
      <c r="B90" s="1"/>
      <c r="C90" s="1"/>
      <c r="D90" s="1"/>
      <c r="E90" s="1"/>
      <c r="F90" s="1"/>
      <c r="G90" s="1"/>
      <c r="H90" s="1"/>
      <c r="I90" s="1"/>
      <c r="J90" s="1"/>
      <c r="K90" s="1"/>
    </row>
    <row r="91" spans="1:12" x14ac:dyDescent="0.2">
      <c r="A91" s="1142"/>
      <c r="B91" s="1142"/>
      <c r="C91" s="1142"/>
      <c r="D91" s="1142"/>
      <c r="E91" s="1142"/>
      <c r="F91" s="1142"/>
      <c r="G91" s="1142"/>
      <c r="H91" s="1142"/>
      <c r="I91" s="1142"/>
      <c r="J91" s="1142"/>
      <c r="K91" s="1088"/>
    </row>
    <row r="93" spans="1:12" ht="18.75" x14ac:dyDescent="0.2">
      <c r="A93" s="23" t="s">
        <v>441</v>
      </c>
      <c r="B93" s="23"/>
      <c r="C93" s="133"/>
      <c r="D93" s="133"/>
      <c r="E93" s="133"/>
      <c r="F93" s="1089"/>
      <c r="G93" s="1089"/>
      <c r="H93" s="1089"/>
      <c r="I93" s="1125" t="s">
        <v>413</v>
      </c>
      <c r="J93" s="1125"/>
      <c r="K93" s="1125"/>
    </row>
  </sheetData>
  <mergeCells count="29">
    <mergeCell ref="A91:J91"/>
    <mergeCell ref="A9:B9"/>
    <mergeCell ref="L9:N9"/>
    <mergeCell ref="L10:N10"/>
    <mergeCell ref="A11:A13"/>
    <mergeCell ref="B11:B13"/>
    <mergeCell ref="I12:I13"/>
    <mergeCell ref="J12:J13"/>
    <mergeCell ref="C12:C13"/>
    <mergeCell ref="D12:D13"/>
    <mergeCell ref="C11:E11"/>
    <mergeCell ref="E12:E13"/>
    <mergeCell ref="H12:H13"/>
    <mergeCell ref="I93:K93"/>
    <mergeCell ref="H3:J3"/>
    <mergeCell ref="L1:N1"/>
    <mergeCell ref="F12:F13"/>
    <mergeCell ref="G12:G13"/>
    <mergeCell ref="F11:H11"/>
    <mergeCell ref="K12:K13"/>
    <mergeCell ref="I11:K11"/>
    <mergeCell ref="L6:N6"/>
    <mergeCell ref="L7:N7"/>
    <mergeCell ref="A8:J8"/>
    <mergeCell ref="L8:N8"/>
    <mergeCell ref="H2:K2"/>
    <mergeCell ref="H1:K1"/>
    <mergeCell ref="H4:K4"/>
    <mergeCell ref="H5:K5"/>
  </mergeCells>
  <pageMargins left="1.1811023622047245" right="0.39370078740157483" top="0.78740157480314965" bottom="0.78740157480314965" header="0.31496062992125984" footer="0.31496062992125984"/>
  <pageSetup paperSize="9" scale="72" orientation="landscape" r:id="rId1"/>
  <rowBreaks count="2" manualBreakCount="2">
    <brk id="27" max="10" man="1"/>
    <brk id="62" max="10"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36"/>
  <sheetViews>
    <sheetView view="pageBreakPreview" zoomScale="90" zoomScaleNormal="100" zoomScaleSheetLayoutView="90" workbookViewId="0">
      <selection activeCell="J27" sqref="J27"/>
    </sheetView>
  </sheetViews>
  <sheetFormatPr defaultRowHeight="12.75" x14ac:dyDescent="0.2"/>
  <cols>
    <col min="1" max="1" width="14.140625" customWidth="1"/>
    <col min="2" max="2" width="47.7109375" customWidth="1"/>
    <col min="3" max="3" width="15.85546875" customWidth="1"/>
    <col min="4" max="4" width="14.85546875" customWidth="1"/>
    <col min="5" max="5" width="17" customWidth="1"/>
    <col min="6" max="6" width="13.85546875" customWidth="1"/>
    <col min="7" max="7" width="15.5703125" customWidth="1"/>
    <col min="8" max="8" width="15.140625" customWidth="1"/>
    <col min="9" max="9" width="14" customWidth="1"/>
    <col min="10" max="10" width="13.7109375" customWidth="1"/>
  </cols>
  <sheetData>
    <row r="2" spans="1:10" ht="15.75" x14ac:dyDescent="0.2">
      <c r="G2" s="3" t="s">
        <v>144</v>
      </c>
      <c r="H2" s="3"/>
      <c r="I2" s="4"/>
    </row>
    <row r="3" spans="1:10" ht="15.75" x14ac:dyDescent="0.2">
      <c r="G3" s="3" t="s">
        <v>459</v>
      </c>
      <c r="H3" s="3"/>
      <c r="I3" s="4"/>
    </row>
    <row r="4" spans="1:10" ht="15.75" x14ac:dyDescent="0.2">
      <c r="G4" s="1137" t="s">
        <v>653</v>
      </c>
      <c r="H4" s="1137"/>
      <c r="I4" s="1137"/>
    </row>
    <row r="5" spans="1:10" ht="15.75" x14ac:dyDescent="0.25">
      <c r="G5" s="1153" t="s">
        <v>736</v>
      </c>
      <c r="H5" s="1153"/>
      <c r="I5" s="1153"/>
    </row>
    <row r="6" spans="1:10" ht="15.75" x14ac:dyDescent="0.25">
      <c r="G6" s="6" t="s">
        <v>737</v>
      </c>
      <c r="H6" s="69"/>
      <c r="I6" s="61"/>
    </row>
    <row r="7" spans="1:10" ht="15.75" x14ac:dyDescent="0.2">
      <c r="G7" s="3"/>
      <c r="H7" s="3"/>
      <c r="I7" s="3"/>
    </row>
    <row r="8" spans="1:10" hidden="1" x14ac:dyDescent="0.2"/>
    <row r="9" spans="1:10" ht="20.25" x14ac:dyDescent="0.3">
      <c r="A9" s="1159" t="s">
        <v>688</v>
      </c>
      <c r="B9" s="1160"/>
      <c r="C9" s="1160"/>
      <c r="D9" s="1160"/>
      <c r="E9" s="1160"/>
      <c r="F9" s="1160"/>
      <c r="G9" s="1160"/>
      <c r="H9" s="1160"/>
      <c r="I9" s="129"/>
      <c r="J9" s="129"/>
    </row>
    <row r="10" spans="1:10" ht="20.25" x14ac:dyDescent="0.3">
      <c r="A10" s="128"/>
      <c r="B10" s="129"/>
      <c r="C10" s="129"/>
      <c r="D10" s="129"/>
      <c r="E10" s="129"/>
      <c r="F10" s="129"/>
      <c r="G10" s="129"/>
      <c r="H10" s="129"/>
      <c r="I10" s="129"/>
      <c r="J10" s="129"/>
    </row>
    <row r="11" spans="1:10" ht="15.75" x14ac:dyDescent="0.25">
      <c r="A11" s="134" t="s">
        <v>143</v>
      </c>
      <c r="B11" s="1"/>
      <c r="C11" s="1"/>
      <c r="D11" s="1"/>
      <c r="E11" s="1"/>
      <c r="F11" s="1"/>
      <c r="G11" s="1"/>
      <c r="H11" s="1"/>
      <c r="I11" s="1"/>
      <c r="J11" s="1"/>
    </row>
    <row r="12" spans="1:10" ht="16.5" thickBot="1" x14ac:dyDescent="0.3">
      <c r="A12" s="135" t="s">
        <v>0</v>
      </c>
      <c r="B12" s="1"/>
      <c r="C12" s="1"/>
      <c r="D12" s="1"/>
      <c r="E12" s="1"/>
      <c r="F12" s="1"/>
      <c r="G12" s="1"/>
      <c r="H12" s="2" t="s">
        <v>235</v>
      </c>
      <c r="I12" s="2"/>
      <c r="J12" s="2"/>
    </row>
    <row r="13" spans="1:10" ht="15.6" customHeight="1" x14ac:dyDescent="0.2">
      <c r="A13" s="1161" t="s">
        <v>262</v>
      </c>
      <c r="B13" s="1164" t="s">
        <v>357</v>
      </c>
      <c r="C13" s="1156" t="s">
        <v>1</v>
      </c>
      <c r="D13" s="1157"/>
      <c r="E13" s="1156" t="s">
        <v>2</v>
      </c>
      <c r="F13" s="1157"/>
      <c r="G13" s="1156" t="s">
        <v>3</v>
      </c>
      <c r="H13" s="1157"/>
      <c r="I13" s="1157"/>
      <c r="J13" s="1158"/>
    </row>
    <row r="14" spans="1:10" ht="15.6" customHeight="1" x14ac:dyDescent="0.2">
      <c r="A14" s="1162"/>
      <c r="B14" s="1165"/>
      <c r="C14" s="1130" t="s">
        <v>457</v>
      </c>
      <c r="D14" s="1130" t="s">
        <v>658</v>
      </c>
      <c r="E14" s="1130" t="s">
        <v>457</v>
      </c>
      <c r="F14" s="1130" t="s">
        <v>658</v>
      </c>
      <c r="G14" s="1130" t="s">
        <v>457</v>
      </c>
      <c r="H14" s="1130" t="s">
        <v>5</v>
      </c>
      <c r="I14" s="1130" t="s">
        <v>658</v>
      </c>
      <c r="J14" s="1135" t="s">
        <v>5</v>
      </c>
    </row>
    <row r="15" spans="1:10" ht="44.45" customHeight="1" thickBot="1" x14ac:dyDescent="0.25">
      <c r="A15" s="1163"/>
      <c r="B15" s="1166"/>
      <c r="C15" s="1154"/>
      <c r="D15" s="1154"/>
      <c r="E15" s="1154"/>
      <c r="F15" s="1154"/>
      <c r="G15" s="1154"/>
      <c r="H15" s="1154"/>
      <c r="I15" s="1154"/>
      <c r="J15" s="1155"/>
    </row>
    <row r="16" spans="1:10" ht="16.5" thickBot="1" x14ac:dyDescent="0.25">
      <c r="A16" s="208">
        <v>1</v>
      </c>
      <c r="B16" s="209">
        <v>2</v>
      </c>
      <c r="C16" s="209">
        <v>3</v>
      </c>
      <c r="D16" s="209">
        <v>4</v>
      </c>
      <c r="E16" s="209">
        <v>5</v>
      </c>
      <c r="F16" s="209">
        <v>6</v>
      </c>
      <c r="G16" s="209">
        <v>7</v>
      </c>
      <c r="H16" s="210">
        <v>6</v>
      </c>
      <c r="I16" s="209">
        <v>7</v>
      </c>
      <c r="J16" s="211">
        <v>8</v>
      </c>
    </row>
    <row r="17" spans="1:20" ht="15.75" x14ac:dyDescent="0.25">
      <c r="A17" s="1167" t="s">
        <v>358</v>
      </c>
      <c r="B17" s="1168"/>
      <c r="C17" s="1168"/>
      <c r="D17" s="1168"/>
      <c r="E17" s="1168"/>
      <c r="F17" s="1168"/>
      <c r="G17" s="1168"/>
      <c r="H17" s="1168"/>
      <c r="I17" s="212"/>
      <c r="J17" s="369"/>
    </row>
    <row r="18" spans="1:20" ht="15.75" x14ac:dyDescent="0.2">
      <c r="A18" s="136" t="s">
        <v>359</v>
      </c>
      <c r="B18" s="137" t="s">
        <v>360</v>
      </c>
      <c r="C18" s="131">
        <f>E18+G18</f>
        <v>160912491</v>
      </c>
      <c r="D18" s="131">
        <f>F18+I18</f>
        <v>112661844.69</v>
      </c>
      <c r="E18" s="131">
        <f>E19</f>
        <v>73855163</v>
      </c>
      <c r="F18" s="131">
        <f>F19</f>
        <v>56746631.229999997</v>
      </c>
      <c r="G18" s="131">
        <f>G19</f>
        <v>87057328</v>
      </c>
      <c r="H18" s="200">
        <f>H19</f>
        <v>83556728</v>
      </c>
      <c r="I18" s="200">
        <f t="shared" ref="I18:J18" si="0">I19</f>
        <v>55915213.459999993</v>
      </c>
      <c r="J18" s="370">
        <f t="shared" si="0"/>
        <v>52414613.619999997</v>
      </c>
    </row>
    <row r="19" spans="1:20" ht="31.5" x14ac:dyDescent="0.2">
      <c r="A19" s="138" t="s">
        <v>361</v>
      </c>
      <c r="B19" s="139" t="s">
        <v>362</v>
      </c>
      <c r="C19" s="131">
        <f>E19+G19</f>
        <v>160912491</v>
      </c>
      <c r="D19" s="131">
        <f t="shared" ref="D19:D23" si="1">F19+I19</f>
        <v>112661844.69</v>
      </c>
      <c r="E19" s="7">
        <f>E20-1000000+E22</f>
        <v>73855163</v>
      </c>
      <c r="F19" s="7">
        <f>F20-1000000+F22</f>
        <v>56746631.229999997</v>
      </c>
      <c r="G19" s="7">
        <f>G22+G20</f>
        <v>87057328</v>
      </c>
      <c r="H19" s="201">
        <f>H22+H20</f>
        <v>83556728</v>
      </c>
      <c r="I19" s="201">
        <f>I22+I20</f>
        <v>55915213.459999993</v>
      </c>
      <c r="J19" s="371">
        <f>J22</f>
        <v>52414613.619999997</v>
      </c>
    </row>
    <row r="20" spans="1:20" ht="15.75" x14ac:dyDescent="0.2">
      <c r="A20" s="138" t="s">
        <v>363</v>
      </c>
      <c r="B20" s="139" t="s">
        <v>364</v>
      </c>
      <c r="C20" s="131">
        <f>E20+G20</f>
        <v>161912491</v>
      </c>
      <c r="D20" s="131">
        <f t="shared" si="1"/>
        <v>113661844.69</v>
      </c>
      <c r="E20" s="11">
        <f>1000000+85018102+4560280+11188636+56644873</f>
        <v>158411891</v>
      </c>
      <c r="F20" s="7">
        <f>1000000+109161244.85</f>
        <v>110161244.84999999</v>
      </c>
      <c r="G20" s="7">
        <v>3500600</v>
      </c>
      <c r="H20" s="202">
        <v>0</v>
      </c>
      <c r="I20" s="206">
        <v>3500599.84</v>
      </c>
      <c r="J20" s="372"/>
    </row>
    <row r="21" spans="1:20" ht="15.75" x14ac:dyDescent="0.2">
      <c r="A21" s="138" t="s">
        <v>365</v>
      </c>
      <c r="B21" s="139" t="s">
        <v>366</v>
      </c>
      <c r="C21" s="131">
        <f t="shared" ref="C21:C23" si="2">E21+G21</f>
        <v>1000000</v>
      </c>
      <c r="D21" s="131">
        <f t="shared" si="1"/>
        <v>1000000</v>
      </c>
      <c r="E21" s="7">
        <v>1000000</v>
      </c>
      <c r="F21" s="7">
        <v>1000000</v>
      </c>
      <c r="G21" s="7">
        <v>0</v>
      </c>
      <c r="H21" s="202">
        <v>0</v>
      </c>
      <c r="I21" s="206">
        <v>0</v>
      </c>
      <c r="J21" s="372"/>
    </row>
    <row r="22" spans="1:20" ht="48" thickBot="1" x14ac:dyDescent="0.25">
      <c r="A22" s="141" t="s">
        <v>367</v>
      </c>
      <c r="B22" s="142" t="s">
        <v>368</v>
      </c>
      <c r="C22" s="364">
        <f>E22+G22</f>
        <v>0</v>
      </c>
      <c r="D22" s="364">
        <f t="shared" si="1"/>
        <v>0</v>
      </c>
      <c r="E22" s="12">
        <f>-83556728</f>
        <v>-83556728</v>
      </c>
      <c r="F22" s="12">
        <f>-52414613.62</f>
        <v>-52414613.619999997</v>
      </c>
      <c r="G22" s="12">
        <v>83556728</v>
      </c>
      <c r="H22" s="365">
        <f>G22</f>
        <v>83556728</v>
      </c>
      <c r="I22" s="366">
        <v>52414613.619999997</v>
      </c>
      <c r="J22" s="373">
        <v>52414613.619999997</v>
      </c>
    </row>
    <row r="23" spans="1:20" ht="16.5" thickBot="1" x14ac:dyDescent="0.3">
      <c r="A23" s="143" t="s">
        <v>6</v>
      </c>
      <c r="B23" s="144" t="s">
        <v>369</v>
      </c>
      <c r="C23" s="10">
        <f t="shared" si="2"/>
        <v>160912491</v>
      </c>
      <c r="D23" s="10">
        <f t="shared" si="1"/>
        <v>112661844.69</v>
      </c>
      <c r="E23" s="145">
        <f t="shared" ref="E23:J23" si="3">E18</f>
        <v>73855163</v>
      </c>
      <c r="F23" s="145">
        <f t="shared" si="3"/>
        <v>56746631.229999997</v>
      </c>
      <c r="G23" s="145">
        <f t="shared" si="3"/>
        <v>87057328</v>
      </c>
      <c r="H23" s="205">
        <f t="shared" si="3"/>
        <v>83556728</v>
      </c>
      <c r="I23" s="205">
        <f t="shared" si="3"/>
        <v>55915213.459999993</v>
      </c>
      <c r="J23" s="146">
        <f t="shared" si="3"/>
        <v>52414613.619999997</v>
      </c>
    </row>
    <row r="24" spans="1:20" ht="15.75" x14ac:dyDescent="0.25">
      <c r="A24" s="1169" t="s">
        <v>370</v>
      </c>
      <c r="B24" s="1170"/>
      <c r="C24" s="1170"/>
      <c r="D24" s="1170"/>
      <c r="E24" s="1170"/>
      <c r="F24" s="1170"/>
      <c r="G24" s="1170"/>
      <c r="H24" s="1170"/>
      <c r="I24" s="367"/>
      <c r="J24" s="374"/>
    </row>
    <row r="25" spans="1:20" ht="15.75" x14ac:dyDescent="0.2">
      <c r="A25" s="136" t="s">
        <v>371</v>
      </c>
      <c r="B25" s="137" t="s">
        <v>372</v>
      </c>
      <c r="C25" s="131">
        <f>E25+G25</f>
        <v>160912491</v>
      </c>
      <c r="D25" s="131">
        <f>F25+I25</f>
        <v>112661844.69</v>
      </c>
      <c r="E25" s="131">
        <f t="shared" ref="E25:J25" si="4">E18</f>
        <v>73855163</v>
      </c>
      <c r="F25" s="131">
        <f t="shared" si="4"/>
        <v>56746631.229999997</v>
      </c>
      <c r="G25" s="131">
        <f>G18</f>
        <v>87057328</v>
      </c>
      <c r="H25" s="203">
        <f t="shared" si="4"/>
        <v>83556728</v>
      </c>
      <c r="I25" s="203">
        <f t="shared" si="4"/>
        <v>55915213.459999993</v>
      </c>
      <c r="J25" s="375">
        <f t="shared" si="4"/>
        <v>52414613.619999997</v>
      </c>
    </row>
    <row r="26" spans="1:20" ht="15.75" x14ac:dyDescent="0.2">
      <c r="A26" s="138" t="s">
        <v>373</v>
      </c>
      <c r="B26" s="139" t="s">
        <v>374</v>
      </c>
      <c r="C26" s="131">
        <f>E26+G26</f>
        <v>160912491</v>
      </c>
      <c r="D26" s="131">
        <f>F26+I26</f>
        <v>112661844.69</v>
      </c>
      <c r="E26" s="7">
        <f>E19</f>
        <v>73855163</v>
      </c>
      <c r="F26" s="7">
        <f>F19</f>
        <v>56746631.229999997</v>
      </c>
      <c r="G26" s="7">
        <f>G29+G27</f>
        <v>87057328</v>
      </c>
      <c r="H26" s="202">
        <f>H29</f>
        <v>83556728</v>
      </c>
      <c r="I26" s="202">
        <f>I29+I27</f>
        <v>55915213.459999993</v>
      </c>
      <c r="J26" s="372">
        <f>J29</f>
        <v>52414613.619999997</v>
      </c>
    </row>
    <row r="27" spans="1:20" ht="15.75" x14ac:dyDescent="0.2">
      <c r="A27" s="138" t="s">
        <v>375</v>
      </c>
      <c r="B27" s="139" t="s">
        <v>364</v>
      </c>
      <c r="C27" s="131">
        <f t="shared" ref="C27:C30" si="5">E27+G27</f>
        <v>161912491</v>
      </c>
      <c r="D27" s="131">
        <f t="shared" ref="D27:D30" si="6">F27+I27</f>
        <v>113661844.69</v>
      </c>
      <c r="E27" s="7">
        <f>E20</f>
        <v>158411891</v>
      </c>
      <c r="F27" s="7">
        <f>F20</f>
        <v>110161244.84999999</v>
      </c>
      <c r="G27" s="7">
        <v>3500600</v>
      </c>
      <c r="H27" s="202">
        <v>0</v>
      </c>
      <c r="I27" s="206">
        <v>3500599.84</v>
      </c>
      <c r="J27" s="372"/>
      <c r="M27" s="140"/>
    </row>
    <row r="28" spans="1:20" ht="15.75" x14ac:dyDescent="0.2">
      <c r="A28" s="138" t="s">
        <v>376</v>
      </c>
      <c r="B28" s="139" t="s">
        <v>366</v>
      </c>
      <c r="C28" s="131">
        <f t="shared" si="5"/>
        <v>1000000</v>
      </c>
      <c r="D28" s="131">
        <f t="shared" si="6"/>
        <v>1000000</v>
      </c>
      <c r="E28" s="7">
        <v>1000000</v>
      </c>
      <c r="F28" s="7">
        <v>1000000</v>
      </c>
      <c r="G28" s="7">
        <v>0</v>
      </c>
      <c r="H28" s="202">
        <v>0</v>
      </c>
      <c r="I28" s="206">
        <v>0</v>
      </c>
      <c r="J28" s="372"/>
    </row>
    <row r="29" spans="1:20" ht="48" thickBot="1" x14ac:dyDescent="0.25">
      <c r="A29" s="141" t="s">
        <v>377</v>
      </c>
      <c r="B29" s="142" t="s">
        <v>368</v>
      </c>
      <c r="C29" s="364">
        <f t="shared" si="5"/>
        <v>0</v>
      </c>
      <c r="D29" s="364">
        <f t="shared" si="6"/>
        <v>0</v>
      </c>
      <c r="E29" s="12">
        <f t="shared" ref="E29:J30" si="7">E22</f>
        <v>-83556728</v>
      </c>
      <c r="F29" s="12">
        <f t="shared" si="7"/>
        <v>-52414613.619999997</v>
      </c>
      <c r="G29" s="12">
        <f>G22</f>
        <v>83556728</v>
      </c>
      <c r="H29" s="204">
        <f>H22</f>
        <v>83556728</v>
      </c>
      <c r="I29" s="204">
        <f>I22</f>
        <v>52414613.619999997</v>
      </c>
      <c r="J29" s="376">
        <f>J22</f>
        <v>52414613.619999997</v>
      </c>
    </row>
    <row r="30" spans="1:20" ht="16.5" thickBot="1" x14ac:dyDescent="0.3">
      <c r="A30" s="143" t="s">
        <v>6</v>
      </c>
      <c r="B30" s="144" t="s">
        <v>369</v>
      </c>
      <c r="C30" s="10">
        <f t="shared" si="5"/>
        <v>160912491</v>
      </c>
      <c r="D30" s="10">
        <f t="shared" si="6"/>
        <v>112661844.69</v>
      </c>
      <c r="E30" s="145">
        <f t="shared" si="7"/>
        <v>73855163</v>
      </c>
      <c r="F30" s="145">
        <f t="shared" si="7"/>
        <v>56746631.229999997</v>
      </c>
      <c r="G30" s="145">
        <f t="shared" si="7"/>
        <v>87057328</v>
      </c>
      <c r="H30" s="205">
        <f t="shared" si="7"/>
        <v>83556728</v>
      </c>
      <c r="I30" s="205">
        <f t="shared" si="7"/>
        <v>55915213.459999993</v>
      </c>
      <c r="J30" s="146">
        <f t="shared" si="7"/>
        <v>52414613.619999997</v>
      </c>
    </row>
    <row r="32" spans="1:20" s="5" customFormat="1" ht="29.25" customHeight="1" x14ac:dyDescent="0.2">
      <c r="A32" s="1171" t="s">
        <v>441</v>
      </c>
      <c r="B32" s="1171"/>
      <c r="C32" s="147"/>
      <c r="D32" s="147"/>
      <c r="E32" s="147"/>
      <c r="F32" s="147"/>
      <c r="G32" s="1172" t="s">
        <v>413</v>
      </c>
      <c r="H32" s="1172"/>
      <c r="I32" s="194"/>
      <c r="J32" s="194"/>
      <c r="K32" s="3"/>
      <c r="L32" s="3"/>
      <c r="M32" s="3"/>
      <c r="O32" s="3"/>
      <c r="P32" s="148"/>
      <c r="Q32" s="3"/>
      <c r="R32" s="149"/>
      <c r="S32" s="150"/>
      <c r="T32" s="151"/>
    </row>
    <row r="33" spans="1:10" s="17" customFormat="1" ht="20.25" x14ac:dyDescent="0.3">
      <c r="A33" s="16"/>
      <c r="B33" s="16"/>
      <c r="H33" s="18"/>
      <c r="I33" s="18"/>
      <c r="J33" s="18"/>
    </row>
    <row r="34" spans="1:10" ht="15.75" x14ac:dyDescent="0.2">
      <c r="A34" s="19"/>
      <c r="B34" s="19"/>
    </row>
    <row r="35" spans="1:10" ht="15.75" x14ac:dyDescent="0.2">
      <c r="A35" s="1152"/>
      <c r="B35" s="1152"/>
    </row>
    <row r="36" spans="1:10" ht="15.75" x14ac:dyDescent="0.25">
      <c r="A36" s="1"/>
    </row>
  </sheetData>
  <mergeCells count="21">
    <mergeCell ref="G4:I4"/>
    <mergeCell ref="A17:H17"/>
    <mergeCell ref="A24:H24"/>
    <mergeCell ref="A32:B32"/>
    <mergeCell ref="G32:H32"/>
    <mergeCell ref="A35:B35"/>
    <mergeCell ref="G5:I5"/>
    <mergeCell ref="G14:G15"/>
    <mergeCell ref="I14:I15"/>
    <mergeCell ref="J14:J15"/>
    <mergeCell ref="G13:J13"/>
    <mergeCell ref="A9:H9"/>
    <mergeCell ref="A13:A15"/>
    <mergeCell ref="B13:B15"/>
    <mergeCell ref="H14:H15"/>
    <mergeCell ref="C13:D13"/>
    <mergeCell ref="C14:C15"/>
    <mergeCell ref="D14:D15"/>
    <mergeCell ref="E13:F13"/>
    <mergeCell ref="E14:E15"/>
    <mergeCell ref="F14:F15"/>
  </mergeCells>
  <pageMargins left="1.1811023622047245" right="0.39370078740157483" top="0.78740157480314965" bottom="0.78740157480314965"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Q352"/>
  <sheetViews>
    <sheetView view="pageBreakPreview" topLeftCell="A310" zoomScale="90" zoomScaleNormal="100" zoomScaleSheetLayoutView="90" workbookViewId="0">
      <selection activeCell="P326" sqref="P326"/>
    </sheetView>
  </sheetViews>
  <sheetFormatPr defaultColWidth="8.85546875" defaultRowHeight="15.75" x14ac:dyDescent="0.25"/>
  <cols>
    <col min="1" max="3" width="12.140625" style="41" customWidth="1"/>
    <col min="4" max="4" width="40.7109375" style="42" customWidth="1"/>
    <col min="5" max="5" width="17.42578125" style="42" customWidth="1"/>
    <col min="6" max="6" width="18.28515625" style="544" customWidth="1"/>
    <col min="7" max="7" width="10.7109375" style="42" customWidth="1"/>
    <col min="8" max="8" width="17.85546875" style="43" customWidth="1"/>
    <col min="9" max="9" width="16.7109375" style="43" customWidth="1"/>
    <col min="10" max="10" width="14.42578125" style="43" customWidth="1"/>
    <col min="11" max="12" width="17.42578125" style="42" customWidth="1"/>
    <col min="13" max="13" width="16.5703125" style="42" customWidth="1"/>
    <col min="14" max="14" width="13.140625" style="1" bestFit="1" customWidth="1"/>
    <col min="15" max="15" width="15.42578125" style="1" customWidth="1"/>
    <col min="16" max="16" width="14.7109375" style="1" customWidth="1"/>
    <col min="17" max="17" width="12.7109375" style="1" customWidth="1"/>
    <col min="18" max="16384" width="8.85546875" style="1"/>
  </cols>
  <sheetData>
    <row r="1" spans="1:14" x14ac:dyDescent="0.25">
      <c r="K1" s="3" t="s">
        <v>439</v>
      </c>
    </row>
    <row r="2" spans="1:14" x14ac:dyDescent="0.25">
      <c r="K2" s="3" t="s">
        <v>459</v>
      </c>
    </row>
    <row r="3" spans="1:14" x14ac:dyDescent="0.25">
      <c r="K3" s="1137" t="s">
        <v>653</v>
      </c>
      <c r="L3" s="1137"/>
      <c r="M3" s="1137"/>
    </row>
    <row r="4" spans="1:14" x14ac:dyDescent="0.25">
      <c r="K4" s="1153" t="s">
        <v>722</v>
      </c>
      <c r="L4" s="1153"/>
      <c r="M4" s="359"/>
    </row>
    <row r="5" spans="1:14" x14ac:dyDescent="0.25">
      <c r="K5" s="69" t="s">
        <v>721</v>
      </c>
      <c r="L5" s="360"/>
      <c r="M5" s="360"/>
    </row>
    <row r="6" spans="1:14" x14ac:dyDescent="0.25">
      <c r="I6" s="42"/>
      <c r="J6" s="42"/>
      <c r="K6" s="358"/>
      <c r="L6" s="358"/>
      <c r="M6" s="358"/>
      <c r="N6" s="26"/>
    </row>
    <row r="7" spans="1:14" x14ac:dyDescent="0.25">
      <c r="I7" s="42"/>
      <c r="J7" s="42"/>
      <c r="K7" s="357"/>
      <c r="L7" s="357"/>
      <c r="M7" s="357"/>
      <c r="N7" s="18"/>
    </row>
    <row r="8" spans="1:14" x14ac:dyDescent="0.25">
      <c r="A8" s="1174" t="s">
        <v>145</v>
      </c>
      <c r="B8" s="1175"/>
      <c r="C8" s="1175"/>
      <c r="D8" s="1175"/>
      <c r="E8" s="1175"/>
      <c r="F8" s="1175"/>
      <c r="G8" s="1175"/>
      <c r="H8" s="1175"/>
      <c r="I8" s="1175"/>
      <c r="J8" s="1175"/>
      <c r="K8" s="1175"/>
      <c r="L8" s="130"/>
      <c r="M8" s="130"/>
    </row>
    <row r="9" spans="1:14" x14ac:dyDescent="0.25">
      <c r="A9" s="1174" t="s">
        <v>720</v>
      </c>
      <c r="B9" s="1175"/>
      <c r="C9" s="1175"/>
      <c r="D9" s="1175"/>
      <c r="E9" s="1175"/>
      <c r="F9" s="1175"/>
      <c r="G9" s="1175"/>
      <c r="H9" s="1175"/>
      <c r="I9" s="1175"/>
      <c r="J9" s="1175"/>
      <c r="K9" s="1175"/>
      <c r="L9" s="130"/>
      <c r="M9" s="130"/>
    </row>
    <row r="10" spans="1:14" x14ac:dyDescent="0.25">
      <c r="A10" s="44" t="s">
        <v>143</v>
      </c>
    </row>
    <row r="11" spans="1:14" ht="17.45" customHeight="1" thickBot="1" x14ac:dyDescent="0.3">
      <c r="A11" s="41" t="s">
        <v>0</v>
      </c>
      <c r="K11" s="43" t="s">
        <v>7</v>
      </c>
      <c r="L11" s="43"/>
      <c r="M11" s="43"/>
    </row>
    <row r="12" spans="1:14" s="27" customFormat="1" ht="13.9" customHeight="1" x14ac:dyDescent="0.2">
      <c r="A12" s="1176" t="s">
        <v>8</v>
      </c>
      <c r="B12" s="1179" t="s">
        <v>9</v>
      </c>
      <c r="C12" s="1179" t="s">
        <v>10</v>
      </c>
      <c r="D12" s="1179" t="s">
        <v>11</v>
      </c>
      <c r="E12" s="1182" t="s">
        <v>2</v>
      </c>
      <c r="F12" s="1182"/>
      <c r="G12" s="1182"/>
      <c r="H12" s="1188" t="s">
        <v>3</v>
      </c>
      <c r="I12" s="1189"/>
      <c r="J12" s="1190"/>
      <c r="K12" s="1188" t="s">
        <v>146</v>
      </c>
      <c r="L12" s="1189"/>
      <c r="M12" s="1191"/>
    </row>
    <row r="13" spans="1:14" s="27" customFormat="1" ht="12.75" customHeight="1" x14ac:dyDescent="0.2">
      <c r="A13" s="1177"/>
      <c r="B13" s="1180"/>
      <c r="C13" s="1180"/>
      <c r="D13" s="1180"/>
      <c r="E13" s="1183" t="s">
        <v>457</v>
      </c>
      <c r="F13" s="1186" t="s">
        <v>658</v>
      </c>
      <c r="G13" s="1183" t="s">
        <v>405</v>
      </c>
      <c r="H13" s="1183" t="s">
        <v>457</v>
      </c>
      <c r="I13" s="1192" t="s">
        <v>658</v>
      </c>
      <c r="J13" s="1183" t="s">
        <v>405</v>
      </c>
      <c r="K13" s="1183" t="s">
        <v>457</v>
      </c>
      <c r="L13" s="1192" t="s">
        <v>658</v>
      </c>
      <c r="M13" s="1194" t="s">
        <v>405</v>
      </c>
    </row>
    <row r="14" spans="1:14" s="27" customFormat="1" ht="13.15" customHeight="1" x14ac:dyDescent="0.2">
      <c r="A14" s="1177"/>
      <c r="B14" s="1180"/>
      <c r="C14" s="1180"/>
      <c r="D14" s="1180"/>
      <c r="E14" s="1184"/>
      <c r="F14" s="1186"/>
      <c r="G14" s="1184"/>
      <c r="H14" s="1184"/>
      <c r="I14" s="1192"/>
      <c r="J14" s="1184"/>
      <c r="K14" s="1184"/>
      <c r="L14" s="1192"/>
      <c r="M14" s="1195"/>
    </row>
    <row r="15" spans="1:14" s="27" customFormat="1" ht="50.25" customHeight="1" thickBot="1" x14ac:dyDescent="0.25">
      <c r="A15" s="1178"/>
      <c r="B15" s="1181"/>
      <c r="C15" s="1181"/>
      <c r="D15" s="1181"/>
      <c r="E15" s="1185"/>
      <c r="F15" s="1187"/>
      <c r="G15" s="1185"/>
      <c r="H15" s="1185"/>
      <c r="I15" s="1193"/>
      <c r="J15" s="1185"/>
      <c r="K15" s="1185"/>
      <c r="L15" s="1193"/>
      <c r="M15" s="1196"/>
    </row>
    <row r="16" spans="1:14" ht="9" customHeight="1" thickBot="1" x14ac:dyDescent="0.3">
      <c r="A16" s="1105">
        <v>1</v>
      </c>
      <c r="B16" s="1106">
        <v>2</v>
      </c>
      <c r="C16" s="1106">
        <v>3</v>
      </c>
      <c r="D16" s="1106">
        <v>4</v>
      </c>
      <c r="E16" s="1106">
        <v>5</v>
      </c>
      <c r="F16" s="1107">
        <v>6</v>
      </c>
      <c r="G16" s="1106">
        <v>7</v>
      </c>
      <c r="H16" s="1106">
        <v>8</v>
      </c>
      <c r="I16" s="1106">
        <v>9</v>
      </c>
      <c r="J16" s="1106">
        <v>10</v>
      </c>
      <c r="K16" s="1106">
        <v>11</v>
      </c>
      <c r="L16" s="1106">
        <v>12</v>
      </c>
      <c r="M16" s="1108">
        <v>13</v>
      </c>
    </row>
    <row r="17" spans="1:17" ht="45" customHeight="1" thickBot="1" x14ac:dyDescent="0.3">
      <c r="A17" s="32" t="s">
        <v>13</v>
      </c>
      <c r="B17" s="550" t="s">
        <v>14</v>
      </c>
      <c r="C17" s="32" t="s">
        <v>14</v>
      </c>
      <c r="D17" s="34" t="s">
        <v>443</v>
      </c>
      <c r="E17" s="213">
        <f>E18</f>
        <v>125154631</v>
      </c>
      <c r="F17" s="213">
        <f>F18</f>
        <v>97348619.890000015</v>
      </c>
      <c r="G17" s="216">
        <f>F17/E17</f>
        <v>0.77782675009444924</v>
      </c>
      <c r="H17" s="213">
        <f>H18</f>
        <v>20391257</v>
      </c>
      <c r="I17" s="736">
        <f>I18</f>
        <v>13087205.210000001</v>
      </c>
      <c r="J17" s="216">
        <f>I17/H17</f>
        <v>0.6418047308216458</v>
      </c>
      <c r="K17" s="213">
        <f>E17+H17</f>
        <v>145545888</v>
      </c>
      <c r="L17" s="213">
        <f>F17+I17</f>
        <v>110435825.10000002</v>
      </c>
      <c r="M17" s="224">
        <f>L17/K17</f>
        <v>0.7587698053001678</v>
      </c>
      <c r="N17" s="549"/>
      <c r="O17" s="549"/>
      <c r="P17" s="549"/>
      <c r="Q17" s="549"/>
    </row>
    <row r="18" spans="1:17" ht="47.25" x14ac:dyDescent="0.25">
      <c r="A18" s="45" t="s">
        <v>15</v>
      </c>
      <c r="B18" s="46" t="s">
        <v>14</v>
      </c>
      <c r="C18" s="46" t="s">
        <v>14</v>
      </c>
      <c r="D18" s="47" t="s">
        <v>443</v>
      </c>
      <c r="E18" s="48">
        <f>E19+E23+E25+E29+E33+E35+E39+E42+E45+E49+E51+E56+E58+E47+E60</f>
        <v>125154631</v>
      </c>
      <c r="F18" s="48">
        <f>F19+F23+F25+F29+F33+F35+F39+F42+F45+F49+F51+F56+F58+F47+F60</f>
        <v>97348619.890000015</v>
      </c>
      <c r="G18" s="217">
        <f>F18/E18</f>
        <v>0.77782675009444924</v>
      </c>
      <c r="H18" s="48">
        <f>H19+H23+H25+H29+H33+H35+H39+H42+H45+H49+H51+H56+H58+H53+H60</f>
        <v>20391257</v>
      </c>
      <c r="I18" s="48">
        <f>I19+I23+I25+I29+I33+I35+I39+I42+I45+I49+I51+I56+I58+I53+I60</f>
        <v>13087205.210000001</v>
      </c>
      <c r="J18" s="217">
        <f>I18/H18</f>
        <v>0.6418047308216458</v>
      </c>
      <c r="K18" s="48">
        <f>K19+K23+K25+K29+K33+K35+K39+K42+K45+K49+K51+K56+K58+K53+K47</f>
        <v>118822769</v>
      </c>
      <c r="L18" s="48">
        <f>L19+L23+L25+L29+L33+L35+L39+L42+L45+L49+L51+L56+L58+L53+L47</f>
        <v>88712706.099999994</v>
      </c>
      <c r="M18" s="383">
        <f t="shared" ref="M18:M97" si="0">L18/K18</f>
        <v>0.74659685888989835</v>
      </c>
      <c r="N18" s="549"/>
      <c r="O18" s="549"/>
      <c r="P18" s="549"/>
      <c r="Q18" s="549"/>
    </row>
    <row r="19" spans="1:17" ht="77.25" customHeight="1" x14ac:dyDescent="0.25">
      <c r="A19" s="940" t="s">
        <v>147</v>
      </c>
      <c r="B19" s="941" t="s">
        <v>148</v>
      </c>
      <c r="C19" s="941" t="s">
        <v>16</v>
      </c>
      <c r="D19" s="24" t="s">
        <v>149</v>
      </c>
      <c r="E19" s="7">
        <v>33989000</v>
      </c>
      <c r="F19" s="7">
        <v>23007256.5</v>
      </c>
      <c r="G19" s="218">
        <f t="shared" ref="G19:G240" si="1">F19/E19</f>
        <v>0.67690301273941567</v>
      </c>
      <c r="H19" s="221">
        <v>0</v>
      </c>
      <c r="I19" s="220">
        <f>I20</f>
        <v>25.61</v>
      </c>
      <c r="J19" s="218">
        <v>0</v>
      </c>
      <c r="K19" s="221">
        <f>E19+H19</f>
        <v>33989000</v>
      </c>
      <c r="L19" s="221">
        <f>F19+I19</f>
        <v>23007282.109999999</v>
      </c>
      <c r="M19" s="384">
        <f t="shared" si="0"/>
        <v>0.67690376621848247</v>
      </c>
      <c r="N19" s="549"/>
      <c r="O19" s="549"/>
      <c r="P19" s="549"/>
      <c r="Q19" s="549"/>
    </row>
    <row r="20" spans="1:17" x14ac:dyDescent="0.25">
      <c r="A20" s="940"/>
      <c r="B20" s="941"/>
      <c r="C20" s="941"/>
      <c r="D20" s="377" t="s">
        <v>407</v>
      </c>
      <c r="E20" s="37">
        <v>33989000</v>
      </c>
      <c r="F20" s="37">
        <v>23007256.5</v>
      </c>
      <c r="G20" s="218">
        <f t="shared" si="1"/>
        <v>0.67690301273941567</v>
      </c>
      <c r="H20" s="48">
        <v>0</v>
      </c>
      <c r="I20" s="7">
        <v>25.61</v>
      </c>
      <c r="J20" s="218">
        <v>0</v>
      </c>
      <c r="K20" s="221">
        <f t="shared" ref="K20:K59" si="2">E20+H20</f>
        <v>33989000</v>
      </c>
      <c r="L20" s="207">
        <f t="shared" ref="L20:L59" si="3">F20+I20</f>
        <v>23007282.109999999</v>
      </c>
      <c r="M20" s="384">
        <f t="shared" si="0"/>
        <v>0.67690376621848247</v>
      </c>
      <c r="N20" s="549"/>
      <c r="O20" s="549"/>
      <c r="P20" s="549"/>
      <c r="Q20" s="549"/>
    </row>
    <row r="21" spans="1:17" x14ac:dyDescent="0.25">
      <c r="A21" s="940"/>
      <c r="B21" s="941"/>
      <c r="C21" s="941"/>
      <c r="D21" s="378" t="s">
        <v>408</v>
      </c>
      <c r="E21" s="37">
        <v>27687920</v>
      </c>
      <c r="F21" s="37">
        <v>19413430.34</v>
      </c>
      <c r="G21" s="218">
        <f t="shared" si="1"/>
        <v>0.70115163363661837</v>
      </c>
      <c r="H21" s="48"/>
      <c r="I21" s="7"/>
      <c r="J21" s="218"/>
      <c r="K21" s="221">
        <f t="shared" si="2"/>
        <v>27687920</v>
      </c>
      <c r="L21" s="207">
        <f t="shared" si="3"/>
        <v>19413430.34</v>
      </c>
      <c r="M21" s="384">
        <f t="shared" si="0"/>
        <v>0.70115163363661837</v>
      </c>
      <c r="N21" s="549"/>
      <c r="O21" s="549"/>
      <c r="P21" s="549"/>
      <c r="Q21" s="549"/>
    </row>
    <row r="22" spans="1:17" ht="31.5" x14ac:dyDescent="0.25">
      <c r="A22" s="940"/>
      <c r="B22" s="941"/>
      <c r="C22" s="941"/>
      <c r="D22" s="378" t="s">
        <v>409</v>
      </c>
      <c r="E22" s="37">
        <v>2738106</v>
      </c>
      <c r="F22" s="37">
        <v>1040158.04</v>
      </c>
      <c r="G22" s="218">
        <f t="shared" si="1"/>
        <v>0.37988231281038792</v>
      </c>
      <c r="H22" s="48"/>
      <c r="I22" s="7"/>
      <c r="J22" s="218"/>
      <c r="K22" s="221">
        <f t="shared" si="2"/>
        <v>2738106</v>
      </c>
      <c r="L22" s="207">
        <f t="shared" si="3"/>
        <v>1040158.04</v>
      </c>
      <c r="M22" s="384">
        <f t="shared" si="0"/>
        <v>0.37988231281038792</v>
      </c>
      <c r="N22" s="549"/>
      <c r="O22" s="549"/>
      <c r="P22" s="549"/>
      <c r="Q22" s="549"/>
    </row>
    <row r="23" spans="1:17" ht="31.5" x14ac:dyDescent="0.25">
      <c r="A23" s="50" t="s">
        <v>406</v>
      </c>
      <c r="B23" s="49" t="s">
        <v>197</v>
      </c>
      <c r="C23" s="941">
        <v>133</v>
      </c>
      <c r="D23" s="24" t="s">
        <v>213</v>
      </c>
      <c r="E23" s="37">
        <f>E24</f>
        <v>165900</v>
      </c>
      <c r="F23" s="37">
        <v>78300</v>
      </c>
      <c r="G23" s="218">
        <f t="shared" si="1"/>
        <v>0.47197106690777579</v>
      </c>
      <c r="H23" s="48"/>
      <c r="I23" s="7"/>
      <c r="J23" s="218"/>
      <c r="K23" s="221">
        <f t="shared" si="2"/>
        <v>165900</v>
      </c>
      <c r="L23" s="207">
        <f t="shared" si="3"/>
        <v>78300</v>
      </c>
      <c r="M23" s="384">
        <f t="shared" si="0"/>
        <v>0.47197106690777579</v>
      </c>
      <c r="N23" s="549"/>
      <c r="O23" s="549"/>
      <c r="P23" s="549"/>
      <c r="Q23" s="549"/>
    </row>
    <row r="24" spans="1:17" x14ac:dyDescent="0.25">
      <c r="A24" s="50"/>
      <c r="B24" s="49"/>
      <c r="C24" s="941"/>
      <c r="D24" s="377" t="s">
        <v>407</v>
      </c>
      <c r="E24" s="37">
        <v>165900</v>
      </c>
      <c r="F24" s="37">
        <v>78300</v>
      </c>
      <c r="G24" s="218">
        <f t="shared" si="1"/>
        <v>0.47197106690777579</v>
      </c>
      <c r="H24" s="48"/>
      <c r="I24" s="7"/>
      <c r="J24" s="218"/>
      <c r="K24" s="221">
        <f t="shared" si="2"/>
        <v>165900</v>
      </c>
      <c r="L24" s="207">
        <f t="shared" si="3"/>
        <v>78300</v>
      </c>
      <c r="M24" s="384">
        <f t="shared" si="0"/>
        <v>0.47197106690777579</v>
      </c>
      <c r="N24" s="549"/>
      <c r="O24" s="549"/>
      <c r="P24" s="549"/>
      <c r="Q24" s="549"/>
    </row>
    <row r="25" spans="1:17" ht="31.5" x14ac:dyDescent="0.25">
      <c r="A25" s="940" t="s">
        <v>17</v>
      </c>
      <c r="B25" s="941" t="s">
        <v>18</v>
      </c>
      <c r="C25" s="941" t="s">
        <v>19</v>
      </c>
      <c r="D25" s="24" t="s">
        <v>20</v>
      </c>
      <c r="E25" s="37">
        <f>E26</f>
        <v>24456802</v>
      </c>
      <c r="F25" s="37">
        <v>16758122.6</v>
      </c>
      <c r="G25" s="218">
        <f t="shared" si="1"/>
        <v>0.6852131607394949</v>
      </c>
      <c r="H25" s="223">
        <f>H27</f>
        <v>1548687</v>
      </c>
      <c r="I25" s="223">
        <f>I27</f>
        <v>0</v>
      </c>
      <c r="J25" s="218">
        <v>0</v>
      </c>
      <c r="K25" s="221">
        <f t="shared" si="2"/>
        <v>26005489</v>
      </c>
      <c r="L25" s="207">
        <f t="shared" si="3"/>
        <v>16758122.6</v>
      </c>
      <c r="M25" s="384">
        <f t="shared" si="0"/>
        <v>0.64440713266341576</v>
      </c>
      <c r="N25" s="549"/>
      <c r="O25" s="549"/>
      <c r="P25" s="549"/>
      <c r="Q25" s="549"/>
    </row>
    <row r="26" spans="1:17" x14ac:dyDescent="0.25">
      <c r="A26" s="940"/>
      <c r="B26" s="941"/>
      <c r="C26" s="941"/>
      <c r="D26" s="377" t="s">
        <v>407</v>
      </c>
      <c r="E26" s="37">
        <v>24456802</v>
      </c>
      <c r="F26" s="37">
        <v>16758122.6</v>
      </c>
      <c r="G26" s="218">
        <f t="shared" si="1"/>
        <v>0.6852131607394949</v>
      </c>
      <c r="H26" s="223"/>
      <c r="I26" s="7"/>
      <c r="J26" s="218">
        <v>0</v>
      </c>
      <c r="K26" s="221">
        <f t="shared" si="2"/>
        <v>24456802</v>
      </c>
      <c r="L26" s="207">
        <f t="shared" si="3"/>
        <v>16758122.6</v>
      </c>
      <c r="M26" s="384">
        <f t="shared" si="0"/>
        <v>0.6852131607394949</v>
      </c>
      <c r="N26" s="549"/>
      <c r="O26" s="549"/>
      <c r="P26" s="549"/>
      <c r="Q26" s="549"/>
    </row>
    <row r="27" spans="1:17" x14ac:dyDescent="0.25">
      <c r="A27" s="940"/>
      <c r="B27" s="941"/>
      <c r="C27" s="941"/>
      <c r="D27" s="377" t="s">
        <v>410</v>
      </c>
      <c r="E27" s="37"/>
      <c r="F27" s="37"/>
      <c r="G27" s="218"/>
      <c r="H27" s="223">
        <f>H28</f>
        <v>1548687</v>
      </c>
      <c r="I27" s="223">
        <f>I28</f>
        <v>0</v>
      </c>
      <c r="J27" s="218">
        <v>0</v>
      </c>
      <c r="K27" s="221">
        <f t="shared" si="2"/>
        <v>1548687</v>
      </c>
      <c r="L27" s="207">
        <f t="shared" si="3"/>
        <v>0</v>
      </c>
      <c r="M27" s="384">
        <f t="shared" si="0"/>
        <v>0</v>
      </c>
      <c r="N27" s="549"/>
      <c r="O27" s="549"/>
      <c r="P27" s="549"/>
      <c r="Q27" s="549"/>
    </row>
    <row r="28" spans="1:17" x14ac:dyDescent="0.25">
      <c r="A28" s="940"/>
      <c r="B28" s="941"/>
      <c r="C28" s="941"/>
      <c r="D28" s="378" t="s">
        <v>411</v>
      </c>
      <c r="E28" s="37"/>
      <c r="F28" s="37"/>
      <c r="G28" s="218"/>
      <c r="H28" s="223">
        <v>1548687</v>
      </c>
      <c r="I28" s="223">
        <v>0</v>
      </c>
      <c r="J28" s="218">
        <v>0</v>
      </c>
      <c r="K28" s="221">
        <f t="shared" si="2"/>
        <v>1548687</v>
      </c>
      <c r="L28" s="207">
        <f t="shared" si="3"/>
        <v>0</v>
      </c>
      <c r="M28" s="384">
        <f t="shared" si="0"/>
        <v>0</v>
      </c>
      <c r="N28" s="549"/>
      <c r="O28" s="549"/>
      <c r="P28" s="549"/>
      <c r="Q28" s="549"/>
    </row>
    <row r="29" spans="1:17" ht="46.5" customHeight="1" x14ac:dyDescent="0.25">
      <c r="A29" s="940" t="s">
        <v>21</v>
      </c>
      <c r="B29" s="941" t="s">
        <v>22</v>
      </c>
      <c r="C29" s="941" t="s">
        <v>23</v>
      </c>
      <c r="D29" s="24" t="s">
        <v>24</v>
      </c>
      <c r="E29" s="37">
        <f>E30</f>
        <v>880094</v>
      </c>
      <c r="F29" s="37">
        <v>500815.74</v>
      </c>
      <c r="G29" s="218">
        <f t="shared" si="1"/>
        <v>0.56904801078066658</v>
      </c>
      <c r="H29" s="223">
        <f>H31</f>
        <v>173298</v>
      </c>
      <c r="I29" s="48">
        <f>I31</f>
        <v>147302</v>
      </c>
      <c r="J29" s="218">
        <v>0</v>
      </c>
      <c r="K29" s="221">
        <f>E29+H29</f>
        <v>1053392</v>
      </c>
      <c r="L29" s="207">
        <f t="shared" si="3"/>
        <v>648117.74</v>
      </c>
      <c r="M29" s="384">
        <f t="shared" si="0"/>
        <v>0.6152673838419126</v>
      </c>
      <c r="N29" s="549"/>
      <c r="O29" s="549"/>
      <c r="P29" s="549"/>
      <c r="Q29" s="549"/>
    </row>
    <row r="30" spans="1:17" x14ac:dyDescent="0.25">
      <c r="A30" s="940"/>
      <c r="B30" s="941"/>
      <c r="C30" s="941"/>
      <c r="D30" s="377" t="s">
        <v>407</v>
      </c>
      <c r="E30" s="37">
        <v>880094</v>
      </c>
      <c r="F30" s="37">
        <v>500815.74</v>
      </c>
      <c r="G30" s="218">
        <f t="shared" si="1"/>
        <v>0.56904801078066658</v>
      </c>
      <c r="H30" s="223"/>
      <c r="I30" s="7">
        <v>0</v>
      </c>
      <c r="J30" s="218">
        <v>0</v>
      </c>
      <c r="K30" s="221">
        <f>E30+H30</f>
        <v>880094</v>
      </c>
      <c r="L30" s="207">
        <f t="shared" si="3"/>
        <v>500815.74</v>
      </c>
      <c r="M30" s="384">
        <f t="shared" si="0"/>
        <v>0.56904801078066658</v>
      </c>
      <c r="N30" s="549"/>
      <c r="O30" s="549"/>
      <c r="P30" s="549"/>
      <c r="Q30" s="549"/>
    </row>
    <row r="31" spans="1:17" x14ac:dyDescent="0.25">
      <c r="A31" s="940"/>
      <c r="B31" s="941"/>
      <c r="C31" s="941"/>
      <c r="D31" s="377" t="s">
        <v>410</v>
      </c>
      <c r="E31" s="37"/>
      <c r="F31" s="37"/>
      <c r="G31" s="218"/>
      <c r="H31" s="223">
        <f>H32</f>
        <v>173298</v>
      </c>
      <c r="I31" s="7">
        <v>147302</v>
      </c>
      <c r="J31" s="218">
        <v>0</v>
      </c>
      <c r="K31" s="221">
        <f t="shared" si="2"/>
        <v>173298</v>
      </c>
      <c r="L31" s="207">
        <f t="shared" si="3"/>
        <v>147302</v>
      </c>
      <c r="M31" s="384">
        <f t="shared" si="0"/>
        <v>0.84999249847084213</v>
      </c>
      <c r="N31" s="549"/>
      <c r="O31" s="549"/>
      <c r="P31" s="549"/>
      <c r="Q31" s="549"/>
    </row>
    <row r="32" spans="1:17" x14ac:dyDescent="0.25">
      <c r="A32" s="940"/>
      <c r="B32" s="941"/>
      <c r="C32" s="941"/>
      <c r="D32" s="378" t="s">
        <v>411</v>
      </c>
      <c r="E32" s="37"/>
      <c r="F32" s="37"/>
      <c r="G32" s="218"/>
      <c r="H32" s="223">
        <v>173298</v>
      </c>
      <c r="I32" s="7">
        <v>147302</v>
      </c>
      <c r="J32" s="218">
        <v>0</v>
      </c>
      <c r="K32" s="221">
        <f t="shared" si="2"/>
        <v>173298</v>
      </c>
      <c r="L32" s="207">
        <f t="shared" si="3"/>
        <v>147302</v>
      </c>
      <c r="M32" s="384">
        <f t="shared" si="0"/>
        <v>0.84999249847084213</v>
      </c>
      <c r="N32" s="549"/>
      <c r="O32" s="549"/>
      <c r="P32" s="549"/>
      <c r="Q32" s="549"/>
    </row>
    <row r="33" spans="1:17" ht="31.5" x14ac:dyDescent="0.25">
      <c r="A33" s="50" t="s">
        <v>203</v>
      </c>
      <c r="B33" s="941">
        <v>2152</v>
      </c>
      <c r="C33" s="49" t="s">
        <v>204</v>
      </c>
      <c r="D33" s="24" t="s">
        <v>214</v>
      </c>
      <c r="E33" s="37">
        <v>2815512</v>
      </c>
      <c r="F33" s="37">
        <v>1822255.81</v>
      </c>
      <c r="G33" s="218">
        <f t="shared" si="1"/>
        <v>0.6472200473661629</v>
      </c>
      <c r="H33" s="223">
        <v>0</v>
      </c>
      <c r="I33" s="7"/>
      <c r="J33" s="218">
        <v>0</v>
      </c>
      <c r="K33" s="221">
        <f t="shared" si="2"/>
        <v>2815512</v>
      </c>
      <c r="L33" s="207">
        <f t="shared" si="3"/>
        <v>1822255.81</v>
      </c>
      <c r="M33" s="384">
        <f t="shared" si="0"/>
        <v>0.6472200473661629</v>
      </c>
      <c r="N33" s="549"/>
      <c r="O33" s="549"/>
      <c r="P33" s="549"/>
      <c r="Q33" s="549"/>
    </row>
    <row r="34" spans="1:17" x14ac:dyDescent="0.25">
      <c r="A34" s="50"/>
      <c r="B34" s="941"/>
      <c r="C34" s="49"/>
      <c r="D34" s="377" t="s">
        <v>407</v>
      </c>
      <c r="E34" s="37">
        <v>2815512</v>
      </c>
      <c r="F34" s="37">
        <v>1822255.81</v>
      </c>
      <c r="G34" s="218">
        <f t="shared" si="1"/>
        <v>0.6472200473661629</v>
      </c>
      <c r="H34" s="223"/>
      <c r="I34" s="7"/>
      <c r="J34" s="218">
        <v>0</v>
      </c>
      <c r="K34" s="221">
        <f t="shared" si="2"/>
        <v>2815512</v>
      </c>
      <c r="L34" s="207">
        <f t="shared" si="3"/>
        <v>1822255.81</v>
      </c>
      <c r="M34" s="384">
        <f t="shared" si="0"/>
        <v>0.6472200473661629</v>
      </c>
      <c r="N34" s="549"/>
      <c r="O34" s="549"/>
      <c r="P34" s="549"/>
      <c r="Q34" s="549"/>
    </row>
    <row r="35" spans="1:17" ht="31.5" x14ac:dyDescent="0.25">
      <c r="A35" s="940" t="s">
        <v>28</v>
      </c>
      <c r="B35" s="941" t="s">
        <v>29</v>
      </c>
      <c r="C35" s="941" t="s">
        <v>30</v>
      </c>
      <c r="D35" s="24" t="s">
        <v>31</v>
      </c>
      <c r="E35" s="37">
        <v>178875</v>
      </c>
      <c r="F35" s="37">
        <v>112131.42</v>
      </c>
      <c r="G35" s="218">
        <f t="shared" si="1"/>
        <v>0.62687027253668759</v>
      </c>
      <c r="H35" s="223">
        <f>H37</f>
        <v>657194</v>
      </c>
      <c r="I35" s="48">
        <v>0</v>
      </c>
      <c r="J35" s="218">
        <v>0</v>
      </c>
      <c r="K35" s="221">
        <f>E35+H35</f>
        <v>836069</v>
      </c>
      <c r="L35" s="207">
        <f>F35+I35+L37</f>
        <v>112131.42</v>
      </c>
      <c r="M35" s="384">
        <f t="shared" si="0"/>
        <v>0.13411742332271617</v>
      </c>
      <c r="N35" s="549"/>
      <c r="O35" s="549"/>
      <c r="P35" s="549"/>
      <c r="Q35" s="549"/>
    </row>
    <row r="36" spans="1:17" x14ac:dyDescent="0.25">
      <c r="A36" s="940"/>
      <c r="B36" s="941"/>
      <c r="C36" s="941"/>
      <c r="D36" s="377" t="s">
        <v>407</v>
      </c>
      <c r="E36" s="37">
        <v>178875</v>
      </c>
      <c r="F36" s="37">
        <v>112131.42</v>
      </c>
      <c r="G36" s="218">
        <f t="shared" si="1"/>
        <v>0.62687027253668759</v>
      </c>
      <c r="H36" s="223"/>
      <c r="I36" s="7"/>
      <c r="J36" s="218"/>
      <c r="K36" s="221">
        <f t="shared" si="2"/>
        <v>178875</v>
      </c>
      <c r="L36" s="207">
        <f t="shared" si="3"/>
        <v>112131.42</v>
      </c>
      <c r="M36" s="384">
        <f t="shared" si="0"/>
        <v>0.62687027253668759</v>
      </c>
      <c r="N36" s="549"/>
      <c r="O36" s="549"/>
      <c r="P36" s="549"/>
      <c r="Q36" s="549"/>
    </row>
    <row r="37" spans="1:17" x14ac:dyDescent="0.25">
      <c r="A37" s="940"/>
      <c r="B37" s="941"/>
      <c r="C37" s="941"/>
      <c r="D37" s="377" t="s">
        <v>410</v>
      </c>
      <c r="E37" s="37"/>
      <c r="F37" s="37"/>
      <c r="G37" s="218"/>
      <c r="H37" s="223">
        <f>H38</f>
        <v>657194</v>
      </c>
      <c r="I37" s="746">
        <v>0</v>
      </c>
      <c r="J37" s="218">
        <v>0</v>
      </c>
      <c r="K37" s="221">
        <f>H37</f>
        <v>657194</v>
      </c>
      <c r="L37" s="207">
        <f>I37</f>
        <v>0</v>
      </c>
      <c r="M37" s="384">
        <f t="shared" si="0"/>
        <v>0</v>
      </c>
      <c r="N37" s="549"/>
      <c r="O37" s="549"/>
      <c r="P37" s="549"/>
      <c r="Q37" s="549"/>
    </row>
    <row r="38" spans="1:17" x14ac:dyDescent="0.25">
      <c r="A38" s="940"/>
      <c r="B38" s="941"/>
      <c r="C38" s="941"/>
      <c r="D38" s="378" t="s">
        <v>411</v>
      </c>
      <c r="E38" s="37"/>
      <c r="F38" s="37"/>
      <c r="G38" s="218"/>
      <c r="H38" s="223">
        <v>657194</v>
      </c>
      <c r="I38" s="746">
        <v>0</v>
      </c>
      <c r="J38" s="218">
        <v>0</v>
      </c>
      <c r="K38" s="221">
        <f>H38</f>
        <v>657194</v>
      </c>
      <c r="L38" s="207">
        <f>I38</f>
        <v>0</v>
      </c>
      <c r="M38" s="384"/>
      <c r="N38" s="549"/>
      <c r="O38" s="549"/>
      <c r="P38" s="549"/>
      <c r="Q38" s="549"/>
    </row>
    <row r="39" spans="1:17" ht="43.5" customHeight="1" x14ac:dyDescent="0.25">
      <c r="A39" s="50" t="s">
        <v>215</v>
      </c>
      <c r="B39" s="49">
        <v>7650</v>
      </c>
      <c r="C39" s="49" t="s">
        <v>152</v>
      </c>
      <c r="D39" s="24" t="s">
        <v>216</v>
      </c>
      <c r="E39" s="37">
        <v>0</v>
      </c>
      <c r="F39" s="37">
        <v>0</v>
      </c>
      <c r="G39" s="218"/>
      <c r="H39" s="223">
        <f>H40</f>
        <v>57000</v>
      </c>
      <c r="I39" s="48">
        <f>I40</f>
        <v>0</v>
      </c>
      <c r="J39" s="218">
        <v>0</v>
      </c>
      <c r="K39" s="221">
        <f t="shared" si="2"/>
        <v>57000</v>
      </c>
      <c r="L39" s="207">
        <f t="shared" si="3"/>
        <v>0</v>
      </c>
      <c r="M39" s="384">
        <f t="shared" si="0"/>
        <v>0</v>
      </c>
      <c r="N39" s="549"/>
      <c r="O39" s="549"/>
      <c r="P39" s="549"/>
      <c r="Q39" s="549"/>
    </row>
    <row r="40" spans="1:17" x14ac:dyDescent="0.25">
      <c r="A40" s="50"/>
      <c r="B40" s="49"/>
      <c r="C40" s="49"/>
      <c r="D40" s="377" t="s">
        <v>410</v>
      </c>
      <c r="E40" s="37"/>
      <c r="F40" s="37"/>
      <c r="G40" s="218"/>
      <c r="H40" s="223">
        <v>57000</v>
      </c>
      <c r="I40" s="48">
        <v>0</v>
      </c>
      <c r="J40" s="218">
        <v>0</v>
      </c>
      <c r="K40" s="221">
        <f t="shared" si="2"/>
        <v>57000</v>
      </c>
      <c r="L40" s="207">
        <f t="shared" si="3"/>
        <v>0</v>
      </c>
      <c r="M40" s="384">
        <f t="shared" si="0"/>
        <v>0</v>
      </c>
      <c r="N40" s="549"/>
      <c r="O40" s="549"/>
      <c r="P40" s="549"/>
      <c r="Q40" s="549"/>
    </row>
    <row r="41" spans="1:17" x14ac:dyDescent="0.25">
      <c r="A41" s="50"/>
      <c r="B41" s="49"/>
      <c r="C41" s="49"/>
      <c r="D41" s="378" t="s">
        <v>411</v>
      </c>
      <c r="E41" s="37"/>
      <c r="F41" s="37"/>
      <c r="G41" s="218"/>
      <c r="H41" s="223">
        <v>57000</v>
      </c>
      <c r="I41" s="48">
        <v>0</v>
      </c>
      <c r="J41" s="218">
        <v>0</v>
      </c>
      <c r="K41" s="221">
        <f t="shared" si="2"/>
        <v>57000</v>
      </c>
      <c r="L41" s="207">
        <f t="shared" si="3"/>
        <v>0</v>
      </c>
      <c r="M41" s="384">
        <f t="shared" si="0"/>
        <v>0</v>
      </c>
      <c r="N41" s="549"/>
      <c r="O41" s="549"/>
      <c r="P41" s="549"/>
      <c r="Q41" s="549"/>
    </row>
    <row r="42" spans="1:17" ht="80.25" customHeight="1" x14ac:dyDescent="0.25">
      <c r="A42" s="50" t="s">
        <v>217</v>
      </c>
      <c r="B42" s="49" t="s">
        <v>218</v>
      </c>
      <c r="C42" s="49" t="s">
        <v>152</v>
      </c>
      <c r="D42" s="24" t="s">
        <v>219</v>
      </c>
      <c r="E42" s="37">
        <v>0</v>
      </c>
      <c r="F42" s="37">
        <v>0</v>
      </c>
      <c r="G42" s="218"/>
      <c r="H42" s="223">
        <f>H43</f>
        <v>15200</v>
      </c>
      <c r="I42" s="48">
        <f>I43</f>
        <v>0</v>
      </c>
      <c r="J42" s="218">
        <v>0</v>
      </c>
      <c r="K42" s="221">
        <f t="shared" si="2"/>
        <v>15200</v>
      </c>
      <c r="L42" s="207">
        <f t="shared" si="3"/>
        <v>0</v>
      </c>
      <c r="M42" s="384">
        <f t="shared" si="0"/>
        <v>0</v>
      </c>
      <c r="N42" s="549"/>
      <c r="O42" s="549"/>
      <c r="P42" s="549"/>
      <c r="Q42" s="549"/>
    </row>
    <row r="43" spans="1:17" x14ac:dyDescent="0.25">
      <c r="A43" s="50"/>
      <c r="B43" s="49"/>
      <c r="C43" s="49"/>
      <c r="D43" s="377" t="s">
        <v>410</v>
      </c>
      <c r="E43" s="37"/>
      <c r="F43" s="37"/>
      <c r="G43" s="218"/>
      <c r="H43" s="223">
        <v>15200</v>
      </c>
      <c r="I43" s="48">
        <v>0</v>
      </c>
      <c r="J43" s="218">
        <v>0</v>
      </c>
      <c r="K43" s="221">
        <f t="shared" si="2"/>
        <v>15200</v>
      </c>
      <c r="L43" s="207">
        <f t="shared" si="3"/>
        <v>0</v>
      </c>
      <c r="M43" s="384">
        <f t="shared" si="0"/>
        <v>0</v>
      </c>
      <c r="N43" s="549"/>
      <c r="O43" s="549"/>
      <c r="P43" s="549"/>
      <c r="Q43" s="549"/>
    </row>
    <row r="44" spans="1:17" x14ac:dyDescent="0.25">
      <c r="A44" s="50"/>
      <c r="B44" s="49"/>
      <c r="C44" s="49"/>
      <c r="D44" s="378" t="s">
        <v>411</v>
      </c>
      <c r="E44" s="37"/>
      <c r="F44" s="37"/>
      <c r="G44" s="218"/>
      <c r="H44" s="223">
        <f>H43</f>
        <v>15200</v>
      </c>
      <c r="I44" s="48">
        <v>0</v>
      </c>
      <c r="J44" s="218">
        <v>0</v>
      </c>
      <c r="K44" s="221">
        <f t="shared" si="2"/>
        <v>15200</v>
      </c>
      <c r="L44" s="207">
        <f t="shared" si="3"/>
        <v>0</v>
      </c>
      <c r="M44" s="384">
        <f t="shared" si="0"/>
        <v>0</v>
      </c>
      <c r="N44" s="549"/>
      <c r="O44" s="549"/>
      <c r="P44" s="549"/>
      <c r="Q44" s="549"/>
    </row>
    <row r="45" spans="1:17" ht="31.5" x14ac:dyDescent="0.25">
      <c r="A45" s="940" t="s">
        <v>150</v>
      </c>
      <c r="B45" s="941" t="s">
        <v>151</v>
      </c>
      <c r="C45" s="941" t="s">
        <v>152</v>
      </c>
      <c r="D45" s="24" t="s">
        <v>153</v>
      </c>
      <c r="E45" s="37">
        <f>E46</f>
        <v>40031</v>
      </c>
      <c r="F45" s="37">
        <v>40031</v>
      </c>
      <c r="G45" s="218">
        <f t="shared" si="1"/>
        <v>1</v>
      </c>
      <c r="H45" s="223">
        <v>0</v>
      </c>
      <c r="I45" s="7">
        <v>0</v>
      </c>
      <c r="J45" s="218"/>
      <c r="K45" s="221">
        <f t="shared" si="2"/>
        <v>40031</v>
      </c>
      <c r="L45" s="207">
        <f t="shared" si="3"/>
        <v>40031</v>
      </c>
      <c r="M45" s="384">
        <f t="shared" si="0"/>
        <v>1</v>
      </c>
      <c r="N45" s="549"/>
      <c r="O45" s="549"/>
      <c r="P45" s="549"/>
      <c r="Q45" s="549"/>
    </row>
    <row r="46" spans="1:17" x14ac:dyDescent="0.25">
      <c r="A46" s="940"/>
      <c r="B46" s="941"/>
      <c r="C46" s="941"/>
      <c r="D46" s="377" t="s">
        <v>407</v>
      </c>
      <c r="E46" s="37">
        <v>40031</v>
      </c>
      <c r="F46" s="37">
        <v>40031</v>
      </c>
      <c r="G46" s="218">
        <f t="shared" si="1"/>
        <v>1</v>
      </c>
      <c r="H46" s="223"/>
      <c r="I46" s="7"/>
      <c r="J46" s="218"/>
      <c r="K46" s="221">
        <f>E46+H46</f>
        <v>40031</v>
      </c>
      <c r="L46" s="207">
        <f t="shared" si="3"/>
        <v>40031</v>
      </c>
      <c r="M46" s="384">
        <f t="shared" si="0"/>
        <v>1</v>
      </c>
      <c r="N46" s="549"/>
      <c r="O46" s="549"/>
      <c r="P46" s="549"/>
      <c r="Q46" s="549"/>
    </row>
    <row r="47" spans="1:17" ht="47.25" x14ac:dyDescent="0.25">
      <c r="A47" s="50" t="s">
        <v>673</v>
      </c>
      <c r="B47" s="1034">
        <v>8110</v>
      </c>
      <c r="C47" s="1034">
        <v>320</v>
      </c>
      <c r="D47" s="378" t="s">
        <v>207</v>
      </c>
      <c r="E47" s="37">
        <v>676200</v>
      </c>
      <c r="F47" s="37">
        <v>656100</v>
      </c>
      <c r="G47" s="218">
        <f t="shared" si="1"/>
        <v>0.97027506654835849</v>
      </c>
      <c r="H47" s="223"/>
      <c r="I47" s="7"/>
      <c r="J47" s="218"/>
      <c r="K47" s="221">
        <f>E47+H47</f>
        <v>676200</v>
      </c>
      <c r="L47" s="207">
        <f t="shared" si="3"/>
        <v>656100</v>
      </c>
      <c r="M47" s="384">
        <f t="shared" si="0"/>
        <v>0.97027506654835849</v>
      </c>
      <c r="N47" s="549"/>
      <c r="O47" s="549"/>
      <c r="P47" s="549"/>
      <c r="Q47" s="549"/>
    </row>
    <row r="48" spans="1:17" x14ac:dyDescent="0.25">
      <c r="A48" s="1033"/>
      <c r="B48" s="1034"/>
      <c r="C48" s="1034"/>
      <c r="D48" s="377" t="s">
        <v>407</v>
      </c>
      <c r="E48" s="37">
        <v>676200</v>
      </c>
      <c r="F48" s="37">
        <v>656100</v>
      </c>
      <c r="G48" s="218">
        <f t="shared" si="1"/>
        <v>0.97027506654835849</v>
      </c>
      <c r="H48" s="223"/>
      <c r="I48" s="7"/>
      <c r="J48" s="218"/>
      <c r="K48" s="221">
        <f>E48+H48</f>
        <v>676200</v>
      </c>
      <c r="L48" s="207">
        <f t="shared" si="3"/>
        <v>656100</v>
      </c>
      <c r="M48" s="384">
        <f t="shared" si="0"/>
        <v>0.97027506654835849</v>
      </c>
      <c r="N48" s="549"/>
      <c r="O48" s="549"/>
      <c r="P48" s="549"/>
      <c r="Q48" s="549"/>
    </row>
    <row r="49" spans="1:17" ht="31.5" x14ac:dyDescent="0.25">
      <c r="A49" s="940" t="s">
        <v>32</v>
      </c>
      <c r="B49" s="941" t="s">
        <v>33</v>
      </c>
      <c r="C49" s="941" t="s">
        <v>34</v>
      </c>
      <c r="D49" s="24" t="s">
        <v>35</v>
      </c>
      <c r="E49" s="37">
        <f>E50</f>
        <v>347700</v>
      </c>
      <c r="F49" s="37">
        <f>F50</f>
        <v>0</v>
      </c>
      <c r="G49" s="218">
        <f t="shared" si="1"/>
        <v>0</v>
      </c>
      <c r="H49" s="223">
        <v>0</v>
      </c>
      <c r="I49" s="7">
        <v>0</v>
      </c>
      <c r="J49" s="218"/>
      <c r="K49" s="221">
        <f t="shared" si="2"/>
        <v>347700</v>
      </c>
      <c r="L49" s="207">
        <f t="shared" si="3"/>
        <v>0</v>
      </c>
      <c r="M49" s="384">
        <f t="shared" si="0"/>
        <v>0</v>
      </c>
      <c r="N49" s="549"/>
      <c r="O49" s="549"/>
      <c r="P49" s="549"/>
      <c r="Q49" s="549"/>
    </row>
    <row r="50" spans="1:17" x14ac:dyDescent="0.25">
      <c r="A50" s="940"/>
      <c r="B50" s="941"/>
      <c r="C50" s="941"/>
      <c r="D50" s="377" t="s">
        <v>407</v>
      </c>
      <c r="E50" s="37">
        <v>347700</v>
      </c>
      <c r="F50" s="37">
        <v>0</v>
      </c>
      <c r="G50" s="218">
        <f t="shared" si="1"/>
        <v>0</v>
      </c>
      <c r="H50" s="223"/>
      <c r="I50" s="7"/>
      <c r="J50" s="218"/>
      <c r="K50" s="221">
        <f t="shared" si="2"/>
        <v>347700</v>
      </c>
      <c r="L50" s="207">
        <f t="shared" si="3"/>
        <v>0</v>
      </c>
      <c r="M50" s="384">
        <f t="shared" si="0"/>
        <v>0</v>
      </c>
      <c r="N50" s="549"/>
      <c r="O50" s="549"/>
      <c r="P50" s="549"/>
      <c r="Q50" s="549"/>
    </row>
    <row r="51" spans="1:17" ht="31.5" x14ac:dyDescent="0.25">
      <c r="A51" s="940" t="s">
        <v>139</v>
      </c>
      <c r="B51" s="941" t="s">
        <v>154</v>
      </c>
      <c r="C51" s="941" t="s">
        <v>34</v>
      </c>
      <c r="D51" s="24" t="s">
        <v>140</v>
      </c>
      <c r="E51" s="37">
        <f>E52</f>
        <v>19054971</v>
      </c>
      <c r="F51" s="37">
        <v>12750086.25</v>
      </c>
      <c r="G51" s="218">
        <f t="shared" si="1"/>
        <v>0.66912126237295244</v>
      </c>
      <c r="H51" s="223">
        <v>0</v>
      </c>
      <c r="I51" s="7">
        <v>0</v>
      </c>
      <c r="J51" s="218"/>
      <c r="K51" s="221">
        <f>E51+H51</f>
        <v>19054971</v>
      </c>
      <c r="L51" s="207">
        <f t="shared" si="3"/>
        <v>12750086.25</v>
      </c>
      <c r="M51" s="384">
        <f t="shared" si="0"/>
        <v>0.66912126237295244</v>
      </c>
      <c r="N51" s="549"/>
      <c r="O51" s="549"/>
      <c r="P51" s="549"/>
      <c r="Q51" s="549"/>
    </row>
    <row r="52" spans="1:17" x14ac:dyDescent="0.25">
      <c r="A52" s="35"/>
      <c r="B52" s="36"/>
      <c r="C52" s="36"/>
      <c r="D52" s="377" t="s">
        <v>407</v>
      </c>
      <c r="E52" s="38">
        <v>19054971</v>
      </c>
      <c r="F52" s="38">
        <v>12750086.25</v>
      </c>
      <c r="G52" s="218">
        <f t="shared" si="1"/>
        <v>0.66912126237295244</v>
      </c>
      <c r="H52" s="221"/>
      <c r="I52" s="7"/>
      <c r="J52" s="218"/>
      <c r="K52" s="221">
        <f t="shared" si="2"/>
        <v>19054971</v>
      </c>
      <c r="L52" s="207">
        <f t="shared" si="3"/>
        <v>12750086.25</v>
      </c>
      <c r="M52" s="384">
        <f t="shared" si="0"/>
        <v>0.66912126237295244</v>
      </c>
      <c r="N52" s="549"/>
      <c r="O52" s="549"/>
      <c r="P52" s="549"/>
      <c r="Q52" s="549"/>
    </row>
    <row r="53" spans="1:17" ht="31.5" x14ac:dyDescent="0.25">
      <c r="A53" s="35">
        <v>218240</v>
      </c>
      <c r="B53" s="36">
        <v>8240</v>
      </c>
      <c r="C53" s="36">
        <v>380</v>
      </c>
      <c r="D53" s="380" t="s">
        <v>465</v>
      </c>
      <c r="E53" s="38"/>
      <c r="F53" s="38"/>
      <c r="G53" s="219"/>
      <c r="H53" s="711">
        <v>183598</v>
      </c>
      <c r="I53" s="222">
        <v>183597.6</v>
      </c>
      <c r="J53" s="218">
        <f>I53/H53</f>
        <v>0.99999782132702975</v>
      </c>
      <c r="K53" s="221">
        <f t="shared" si="2"/>
        <v>183598</v>
      </c>
      <c r="L53" s="207">
        <f t="shared" si="3"/>
        <v>183597.6</v>
      </c>
      <c r="M53" s="384">
        <f t="shared" si="0"/>
        <v>0.99999782132702975</v>
      </c>
      <c r="N53" s="549"/>
      <c r="O53" s="549"/>
      <c r="P53" s="549"/>
      <c r="Q53" s="549"/>
    </row>
    <row r="54" spans="1:17" x14ac:dyDescent="0.25">
      <c r="A54" s="35"/>
      <c r="B54" s="36"/>
      <c r="C54" s="36"/>
      <c r="D54" s="379" t="s">
        <v>410</v>
      </c>
      <c r="E54" s="38"/>
      <c r="F54" s="38"/>
      <c r="G54" s="219"/>
      <c r="H54" s="711">
        <v>183598</v>
      </c>
      <c r="I54" s="222">
        <v>183597.6</v>
      </c>
      <c r="J54" s="218">
        <f t="shared" ref="J54:J55" si="4">I54/H54</f>
        <v>0.99999782132702975</v>
      </c>
      <c r="K54" s="221">
        <f t="shared" si="2"/>
        <v>183598</v>
      </c>
      <c r="L54" s="207">
        <f t="shared" si="3"/>
        <v>183597.6</v>
      </c>
      <c r="M54" s="384">
        <f t="shared" si="0"/>
        <v>0.99999782132702975</v>
      </c>
      <c r="N54" s="549"/>
      <c r="O54" s="549"/>
      <c r="P54" s="549"/>
      <c r="Q54" s="549"/>
    </row>
    <row r="55" spans="1:17" x14ac:dyDescent="0.25">
      <c r="A55" s="35"/>
      <c r="B55" s="36"/>
      <c r="C55" s="36"/>
      <c r="D55" s="380" t="s">
        <v>411</v>
      </c>
      <c r="E55" s="38"/>
      <c r="F55" s="38"/>
      <c r="G55" s="219"/>
      <c r="H55" s="711">
        <v>183598</v>
      </c>
      <c r="I55" s="222">
        <v>183597.6</v>
      </c>
      <c r="J55" s="218">
        <f t="shared" si="4"/>
        <v>0.99999782132702975</v>
      </c>
      <c r="K55" s="221">
        <f t="shared" si="2"/>
        <v>183598</v>
      </c>
      <c r="L55" s="207">
        <f t="shared" si="3"/>
        <v>183597.6</v>
      </c>
      <c r="M55" s="384">
        <f t="shared" si="0"/>
        <v>0.99999782132702975</v>
      </c>
      <c r="N55" s="549"/>
      <c r="O55" s="549"/>
      <c r="P55" s="549"/>
      <c r="Q55" s="549"/>
    </row>
    <row r="56" spans="1:17" ht="31.5" x14ac:dyDescent="0.25">
      <c r="A56" s="35" t="s">
        <v>36</v>
      </c>
      <c r="B56" s="36" t="s">
        <v>37</v>
      </c>
      <c r="C56" s="36" t="s">
        <v>38</v>
      </c>
      <c r="D56" s="31" t="s">
        <v>39</v>
      </c>
      <c r="E56" s="38">
        <f>E57</f>
        <v>3582707</v>
      </c>
      <c r="F56" s="38">
        <v>2656681.5699999998</v>
      </c>
      <c r="G56" s="219">
        <f t="shared" si="1"/>
        <v>0.74152912029925966</v>
      </c>
      <c r="H56" s="711">
        <v>0</v>
      </c>
      <c r="I56" s="12">
        <v>0</v>
      </c>
      <c r="J56" s="218"/>
      <c r="K56" s="221">
        <f t="shared" si="2"/>
        <v>3582707</v>
      </c>
      <c r="L56" s="207">
        <f t="shared" si="3"/>
        <v>2656681.5699999998</v>
      </c>
      <c r="M56" s="384">
        <f t="shared" si="0"/>
        <v>0.74152912029925966</v>
      </c>
      <c r="N56" s="549"/>
      <c r="O56" s="549"/>
      <c r="P56" s="549"/>
      <c r="Q56" s="549"/>
    </row>
    <row r="57" spans="1:17" x14ac:dyDescent="0.25">
      <c r="A57" s="940"/>
      <c r="B57" s="941"/>
      <c r="C57" s="941"/>
      <c r="D57" s="377" t="s">
        <v>407</v>
      </c>
      <c r="E57" s="37">
        <v>3582707</v>
      </c>
      <c r="F57" s="37">
        <v>2656681.5699999998</v>
      </c>
      <c r="G57" s="218">
        <f t="shared" si="1"/>
        <v>0.74152912029925966</v>
      </c>
      <c r="H57" s="221"/>
      <c r="I57" s="7"/>
      <c r="J57" s="218"/>
      <c r="K57" s="221">
        <f t="shared" si="2"/>
        <v>3582707</v>
      </c>
      <c r="L57" s="207">
        <f t="shared" si="3"/>
        <v>2656681.5699999998</v>
      </c>
      <c r="M57" s="384">
        <f t="shared" si="0"/>
        <v>0.74152912029925966</v>
      </c>
      <c r="N57" s="549"/>
      <c r="O57" s="549"/>
      <c r="P57" s="549"/>
      <c r="Q57" s="549"/>
    </row>
    <row r="58" spans="1:17" x14ac:dyDescent="0.25">
      <c r="A58" s="50" t="s">
        <v>527</v>
      </c>
      <c r="B58" s="941">
        <v>9770</v>
      </c>
      <c r="C58" s="49" t="s">
        <v>197</v>
      </c>
      <c r="D58" s="378" t="s">
        <v>501</v>
      </c>
      <c r="E58" s="37">
        <f>E59</f>
        <v>30000000</v>
      </c>
      <c r="F58" s="37">
        <f>F59</f>
        <v>30000000</v>
      </c>
      <c r="G58" s="218">
        <f t="shared" si="1"/>
        <v>1</v>
      </c>
      <c r="H58" s="221"/>
      <c r="I58" s="7"/>
      <c r="J58" s="218"/>
      <c r="K58" s="221">
        <f t="shared" si="2"/>
        <v>30000000</v>
      </c>
      <c r="L58" s="207">
        <f t="shared" si="3"/>
        <v>30000000</v>
      </c>
      <c r="M58" s="384">
        <f t="shared" si="0"/>
        <v>1</v>
      </c>
      <c r="N58" s="549"/>
      <c r="O58" s="549"/>
      <c r="P58" s="549"/>
      <c r="Q58" s="549"/>
    </row>
    <row r="59" spans="1:17" x14ac:dyDescent="0.25">
      <c r="A59" s="35"/>
      <c r="B59" s="36"/>
      <c r="C59" s="36"/>
      <c r="D59" s="379" t="s">
        <v>407</v>
      </c>
      <c r="E59" s="38">
        <v>30000000</v>
      </c>
      <c r="F59" s="38">
        <v>30000000</v>
      </c>
      <c r="G59" s="219">
        <f t="shared" si="1"/>
        <v>1</v>
      </c>
      <c r="H59" s="711"/>
      <c r="I59" s="12"/>
      <c r="J59" s="219"/>
      <c r="K59" s="711">
        <f t="shared" si="2"/>
        <v>30000000</v>
      </c>
      <c r="L59" s="712">
        <f t="shared" si="3"/>
        <v>30000000</v>
      </c>
      <c r="M59" s="385">
        <f t="shared" si="0"/>
        <v>1</v>
      </c>
      <c r="N59" s="549"/>
      <c r="O59" s="549"/>
      <c r="P59" s="549"/>
      <c r="Q59" s="549"/>
    </row>
    <row r="60" spans="1:17" ht="63" x14ac:dyDescent="0.25">
      <c r="A60" s="940">
        <v>219800</v>
      </c>
      <c r="B60" s="941">
        <v>9800</v>
      </c>
      <c r="C60" s="941">
        <v>180</v>
      </c>
      <c r="D60" s="378" t="s">
        <v>622</v>
      </c>
      <c r="E60" s="37">
        <v>8966839</v>
      </c>
      <c r="F60" s="37">
        <v>8966839</v>
      </c>
      <c r="G60" s="218">
        <f t="shared" si="1"/>
        <v>1</v>
      </c>
      <c r="H60" s="221">
        <f>H61</f>
        <v>17756280</v>
      </c>
      <c r="I60" s="7">
        <f>I61</f>
        <v>12756280</v>
      </c>
      <c r="J60" s="218">
        <f>I60/H60</f>
        <v>0.71840948667175786</v>
      </c>
      <c r="K60" s="221">
        <f t="shared" ref="K60:L62" si="5">E60+H60</f>
        <v>26723119</v>
      </c>
      <c r="L60" s="207">
        <f t="shared" si="5"/>
        <v>21723119</v>
      </c>
      <c r="M60" s="384">
        <f t="shared" si="0"/>
        <v>0.81289609195693058</v>
      </c>
      <c r="N60" s="549"/>
      <c r="O60" s="549"/>
      <c r="P60" s="549"/>
      <c r="Q60" s="549"/>
    </row>
    <row r="61" spans="1:17" x14ac:dyDescent="0.25">
      <c r="A61" s="940"/>
      <c r="B61" s="941"/>
      <c r="C61" s="941"/>
      <c r="D61" s="379" t="s">
        <v>410</v>
      </c>
      <c r="E61" s="37"/>
      <c r="F61" s="37"/>
      <c r="G61" s="218"/>
      <c r="H61" s="221">
        <f>H62</f>
        <v>17756280</v>
      </c>
      <c r="I61" s="7">
        <f>I62</f>
        <v>12756280</v>
      </c>
      <c r="J61" s="218">
        <f t="shared" ref="J61:J62" si="6">I61/H61</f>
        <v>0.71840948667175786</v>
      </c>
      <c r="K61" s="221">
        <f t="shared" si="5"/>
        <v>17756280</v>
      </c>
      <c r="L61" s="207">
        <f t="shared" si="5"/>
        <v>12756280</v>
      </c>
      <c r="M61" s="384">
        <f t="shared" si="0"/>
        <v>0.71840948667175786</v>
      </c>
      <c r="N61" s="549"/>
      <c r="O61" s="549"/>
      <c r="P61" s="549"/>
      <c r="Q61" s="549"/>
    </row>
    <row r="62" spans="1:17" x14ac:dyDescent="0.25">
      <c r="A62" s="940"/>
      <c r="B62" s="941"/>
      <c r="C62" s="941"/>
      <c r="D62" s="378" t="s">
        <v>411</v>
      </c>
      <c r="E62" s="37"/>
      <c r="F62" s="37"/>
      <c r="G62" s="218"/>
      <c r="H62" s="221">
        <v>17756280</v>
      </c>
      <c r="I62" s="7">
        <v>12756280</v>
      </c>
      <c r="J62" s="218">
        <f t="shared" si="6"/>
        <v>0.71840948667175786</v>
      </c>
      <c r="K62" s="221">
        <f t="shared" si="5"/>
        <v>17756280</v>
      </c>
      <c r="L62" s="207">
        <f t="shared" si="5"/>
        <v>12756280</v>
      </c>
      <c r="M62" s="384">
        <f t="shared" si="0"/>
        <v>0.71840948667175786</v>
      </c>
      <c r="N62" s="549"/>
      <c r="O62" s="549"/>
      <c r="P62" s="549"/>
      <c r="Q62" s="549"/>
    </row>
    <row r="63" spans="1:17" ht="48" thickBot="1" x14ac:dyDescent="0.3">
      <c r="A63" s="702" t="s">
        <v>40</v>
      </c>
      <c r="B63" s="703" t="s">
        <v>14</v>
      </c>
      <c r="C63" s="703" t="s">
        <v>14</v>
      </c>
      <c r="D63" s="704" t="s">
        <v>444</v>
      </c>
      <c r="E63" s="705">
        <f>E64</f>
        <v>260857921</v>
      </c>
      <c r="F63" s="705">
        <f>F64</f>
        <v>182076930.07000002</v>
      </c>
      <c r="G63" s="706">
        <f t="shared" si="1"/>
        <v>0.69799272098775955</v>
      </c>
      <c r="H63" s="705">
        <f>H64</f>
        <v>22140966</v>
      </c>
      <c r="I63" s="737">
        <f>I64</f>
        <v>13988281.909999998</v>
      </c>
      <c r="J63" s="706">
        <f t="shared" ref="J63:J205" si="7">I63/H63</f>
        <v>0.6317828187803548</v>
      </c>
      <c r="K63" s="707">
        <f>K64</f>
        <v>282998887</v>
      </c>
      <c r="L63" s="707">
        <f>L64</f>
        <v>196065211.98000002</v>
      </c>
      <c r="M63" s="708">
        <f t="shared" si="0"/>
        <v>0.69281266106180839</v>
      </c>
      <c r="N63" s="549"/>
      <c r="O63" s="549"/>
      <c r="P63" s="549"/>
      <c r="Q63" s="549"/>
    </row>
    <row r="64" spans="1:17" s="28" customFormat="1" ht="47.25" x14ac:dyDescent="0.25">
      <c r="A64" s="45" t="s">
        <v>41</v>
      </c>
      <c r="B64" s="46" t="s">
        <v>14</v>
      </c>
      <c r="C64" s="46" t="s">
        <v>14</v>
      </c>
      <c r="D64" s="47" t="s">
        <v>444</v>
      </c>
      <c r="E64" s="39">
        <f>E65+E69+E75+E81+E84+E88+E92+E94+E99+E102+E112+E123+E128+E115+E117</f>
        <v>260857921</v>
      </c>
      <c r="F64" s="39">
        <f>F65+F69+F75+F81+F84+F88+F92+F94+F99+F102+F112+F123+F128+F115+F117</f>
        <v>182076930.07000002</v>
      </c>
      <c r="G64" s="217">
        <f t="shared" si="1"/>
        <v>0.69799272098775955</v>
      </c>
      <c r="H64" s="39">
        <f>H65+H69+H75+H81+H84+H88+H92+H94+H99+H102+H106+H109+H112+H121+H123+H128+H132+H119+H126</f>
        <v>22140966</v>
      </c>
      <c r="I64" s="39">
        <f>I65+I69+I75+I81+I84+I88+I92+I94+I99+I102+I106+I109+I112+I121+I123+I128+I132+I119+I126</f>
        <v>13988281.909999998</v>
      </c>
      <c r="J64" s="217">
        <f t="shared" si="7"/>
        <v>0.6317828187803548</v>
      </c>
      <c r="K64" s="39">
        <f>K65+K69+K75+K81+K84+K88+K92+K94+K99+K102+K106+K109+K112+K121+K123+K128+K132+K115+K117+K119+K126</f>
        <v>282998887</v>
      </c>
      <c r="L64" s="39">
        <f>L65+L69+L75+L81+L84+L88+L92+L94+L99+L102+L106+L109+L112+L121+L123+L128+L132+L115+L117+L119+L126</f>
        <v>196065211.98000002</v>
      </c>
      <c r="M64" s="386">
        <f>L64/K64</f>
        <v>0.69281266106180839</v>
      </c>
      <c r="N64" s="549"/>
      <c r="O64" s="549"/>
      <c r="P64" s="549"/>
      <c r="Q64" s="549"/>
    </row>
    <row r="65" spans="1:17" ht="47.25" x14ac:dyDescent="0.25">
      <c r="A65" s="940" t="s">
        <v>155</v>
      </c>
      <c r="B65" s="941" t="s">
        <v>42</v>
      </c>
      <c r="C65" s="941" t="s">
        <v>16</v>
      </c>
      <c r="D65" s="24" t="s">
        <v>156</v>
      </c>
      <c r="E65" s="37">
        <v>4908899</v>
      </c>
      <c r="F65" s="37">
        <v>3565335.05</v>
      </c>
      <c r="G65" s="218">
        <f t="shared" si="1"/>
        <v>0.72630034759321793</v>
      </c>
      <c r="H65" s="7">
        <v>0</v>
      </c>
      <c r="I65" s="7">
        <v>0</v>
      </c>
      <c r="J65" s="218"/>
      <c r="K65" s="7">
        <f>E65+H65</f>
        <v>4908899</v>
      </c>
      <c r="L65" s="7">
        <f>F65+I65</f>
        <v>3565335.05</v>
      </c>
      <c r="M65" s="385">
        <f t="shared" si="0"/>
        <v>0.72630034759321793</v>
      </c>
      <c r="N65" s="549"/>
      <c r="O65" s="549"/>
      <c r="P65" s="549"/>
      <c r="Q65" s="549"/>
    </row>
    <row r="66" spans="1:17" x14ac:dyDescent="0.25">
      <c r="A66" s="940"/>
      <c r="B66" s="941"/>
      <c r="C66" s="941"/>
      <c r="D66" s="377" t="s">
        <v>407</v>
      </c>
      <c r="E66" s="37">
        <v>4908899</v>
      </c>
      <c r="F66" s="37">
        <v>3565335.05</v>
      </c>
      <c r="G66" s="218">
        <f t="shared" si="1"/>
        <v>0.72630034759321793</v>
      </c>
      <c r="H66" s="7"/>
      <c r="I66" s="7"/>
      <c r="J66" s="218"/>
      <c r="K66" s="201">
        <f t="shared" ref="K66:K104" si="8">E66+H66</f>
        <v>4908899</v>
      </c>
      <c r="L66" s="201">
        <f t="shared" ref="L66:L134" si="9">F66+I66</f>
        <v>3565335.05</v>
      </c>
      <c r="M66" s="385">
        <f t="shared" si="0"/>
        <v>0.72630034759321793</v>
      </c>
      <c r="N66" s="549"/>
      <c r="O66" s="549"/>
      <c r="P66" s="549"/>
      <c r="Q66" s="549"/>
    </row>
    <row r="67" spans="1:17" x14ac:dyDescent="0.25">
      <c r="A67" s="940"/>
      <c r="B67" s="941"/>
      <c r="C67" s="941"/>
      <c r="D67" s="378" t="s">
        <v>408</v>
      </c>
      <c r="E67" s="37">
        <v>4157532</v>
      </c>
      <c r="F67" s="37">
        <v>3266533.42</v>
      </c>
      <c r="G67" s="218">
        <f t="shared" si="1"/>
        <v>0.78569050580969668</v>
      </c>
      <c r="H67" s="7"/>
      <c r="I67" s="7"/>
      <c r="J67" s="218"/>
      <c r="K67" s="201">
        <f t="shared" si="8"/>
        <v>4157532</v>
      </c>
      <c r="L67" s="201">
        <f t="shared" si="9"/>
        <v>3266533.42</v>
      </c>
      <c r="M67" s="385">
        <f t="shared" si="0"/>
        <v>0.78569050580969668</v>
      </c>
      <c r="N67" s="549"/>
      <c r="O67" s="549"/>
      <c r="P67" s="549"/>
      <c r="Q67" s="549"/>
    </row>
    <row r="68" spans="1:17" ht="31.5" x14ac:dyDescent="0.25">
      <c r="A68" s="940"/>
      <c r="B68" s="941"/>
      <c r="C68" s="941"/>
      <c r="D68" s="378" t="s">
        <v>409</v>
      </c>
      <c r="E68" s="37">
        <v>192076</v>
      </c>
      <c r="F68" s="37">
        <v>118526.04</v>
      </c>
      <c r="G68" s="218">
        <f t="shared" si="1"/>
        <v>0.61707886461608941</v>
      </c>
      <c r="H68" s="7"/>
      <c r="I68" s="7"/>
      <c r="J68" s="218"/>
      <c r="K68" s="201">
        <f t="shared" si="8"/>
        <v>192076</v>
      </c>
      <c r="L68" s="201">
        <f t="shared" si="9"/>
        <v>118526.04</v>
      </c>
      <c r="M68" s="385">
        <f t="shared" si="0"/>
        <v>0.61707886461608941</v>
      </c>
      <c r="N68" s="549"/>
      <c r="O68" s="549"/>
      <c r="P68" s="549"/>
      <c r="Q68" s="549"/>
    </row>
    <row r="69" spans="1:17" x14ac:dyDescent="0.25">
      <c r="A69" s="940" t="s">
        <v>43</v>
      </c>
      <c r="B69" s="941" t="s">
        <v>44</v>
      </c>
      <c r="C69" s="941" t="s">
        <v>45</v>
      </c>
      <c r="D69" s="24" t="s">
        <v>46</v>
      </c>
      <c r="E69" s="37">
        <f>E70</f>
        <v>86482023</v>
      </c>
      <c r="F69" s="37">
        <f>F70</f>
        <v>60231600.600000001</v>
      </c>
      <c r="G69" s="218">
        <f t="shared" si="1"/>
        <v>0.69646382578261379</v>
      </c>
      <c r="H69" s="7">
        <f>H70+H73</f>
        <v>1971909</v>
      </c>
      <c r="I69" s="738">
        <f>I70+I73</f>
        <v>3888043.06</v>
      </c>
      <c r="J69" s="218">
        <f t="shared" si="7"/>
        <v>1.9717152566370963</v>
      </c>
      <c r="K69" s="201">
        <f t="shared" si="8"/>
        <v>88453932</v>
      </c>
      <c r="L69" s="201">
        <f t="shared" si="9"/>
        <v>64119643.660000004</v>
      </c>
      <c r="M69" s="385">
        <f t="shared" si="0"/>
        <v>0.72489308513724415</v>
      </c>
      <c r="N69" s="549"/>
      <c r="O69" s="549"/>
      <c r="P69" s="549"/>
      <c r="Q69" s="549"/>
    </row>
    <row r="70" spans="1:17" x14ac:dyDescent="0.25">
      <c r="A70" s="940"/>
      <c r="B70" s="941"/>
      <c r="C70" s="941"/>
      <c r="D70" s="377" t="s">
        <v>407</v>
      </c>
      <c r="E70" s="37">
        <v>86482023</v>
      </c>
      <c r="F70" s="37">
        <v>60231600.600000001</v>
      </c>
      <c r="G70" s="218">
        <f t="shared" si="1"/>
        <v>0.69646382578261379</v>
      </c>
      <c r="H70" s="7">
        <v>1910484</v>
      </c>
      <c r="I70" s="7">
        <v>1600752.96</v>
      </c>
      <c r="J70" s="218">
        <f>I70/H70</f>
        <v>0.83787823399724881</v>
      </c>
      <c r="K70" s="201">
        <f t="shared" si="8"/>
        <v>88392507</v>
      </c>
      <c r="L70" s="201">
        <f t="shared" si="9"/>
        <v>61832353.560000002</v>
      </c>
      <c r="M70" s="385">
        <f t="shared" si="0"/>
        <v>0.69952030617255834</v>
      </c>
      <c r="N70" s="549"/>
      <c r="O70" s="549"/>
      <c r="P70" s="549"/>
      <c r="Q70" s="549"/>
    </row>
    <row r="71" spans="1:17" x14ac:dyDescent="0.25">
      <c r="A71" s="940"/>
      <c r="B71" s="941"/>
      <c r="C71" s="941"/>
      <c r="D71" s="378" t="s">
        <v>408</v>
      </c>
      <c r="E71" s="37">
        <v>63657377</v>
      </c>
      <c r="F71" s="37">
        <v>44955838.289999999</v>
      </c>
      <c r="G71" s="218">
        <f t="shared" si="1"/>
        <v>0.70621568793197365</v>
      </c>
      <c r="H71" s="7"/>
      <c r="I71" s="7"/>
      <c r="J71" s="218"/>
      <c r="K71" s="201">
        <f t="shared" si="8"/>
        <v>63657377</v>
      </c>
      <c r="L71" s="201">
        <f t="shared" si="9"/>
        <v>44955838.289999999</v>
      </c>
      <c r="M71" s="385">
        <f t="shared" si="0"/>
        <v>0.70621568793197365</v>
      </c>
      <c r="N71" s="549"/>
      <c r="O71" s="549"/>
      <c r="P71" s="549"/>
      <c r="Q71" s="549"/>
    </row>
    <row r="72" spans="1:17" ht="31.5" x14ac:dyDescent="0.25">
      <c r="A72" s="940"/>
      <c r="B72" s="941"/>
      <c r="C72" s="941"/>
      <c r="D72" s="378" t="s">
        <v>409</v>
      </c>
      <c r="E72" s="37">
        <v>9960843</v>
      </c>
      <c r="F72" s="37">
        <v>6111519.0800000001</v>
      </c>
      <c r="G72" s="218">
        <f t="shared" si="1"/>
        <v>0.61355440297573205</v>
      </c>
      <c r="H72" s="7"/>
      <c r="I72" s="7"/>
      <c r="J72" s="218"/>
      <c r="K72" s="201">
        <f t="shared" si="8"/>
        <v>9960843</v>
      </c>
      <c r="L72" s="201">
        <f t="shared" si="9"/>
        <v>6111519.0800000001</v>
      </c>
      <c r="M72" s="385">
        <f t="shared" si="0"/>
        <v>0.61355440297573205</v>
      </c>
      <c r="N72" s="549"/>
      <c r="O72" s="549"/>
      <c r="P72" s="549"/>
      <c r="Q72" s="549"/>
    </row>
    <row r="73" spans="1:17" x14ac:dyDescent="0.25">
      <c r="A73" s="940"/>
      <c r="B73" s="941"/>
      <c r="C73" s="941"/>
      <c r="D73" s="377" t="s">
        <v>410</v>
      </c>
      <c r="E73" s="37"/>
      <c r="F73" s="37"/>
      <c r="G73" s="218"/>
      <c r="H73" s="7">
        <v>61425</v>
      </c>
      <c r="I73" s="7">
        <v>2287290.1</v>
      </c>
      <c r="J73" s="218">
        <f>I73/H73</f>
        <v>37.237120065120067</v>
      </c>
      <c r="K73" s="201">
        <f t="shared" si="8"/>
        <v>61425</v>
      </c>
      <c r="L73" s="201">
        <f t="shared" si="9"/>
        <v>2287290.1</v>
      </c>
      <c r="M73" s="385">
        <v>0</v>
      </c>
      <c r="N73" s="549"/>
      <c r="O73" s="549"/>
      <c r="P73" s="549"/>
      <c r="Q73" s="549"/>
    </row>
    <row r="74" spans="1:17" s="178" customFormat="1" x14ac:dyDescent="0.25">
      <c r="A74" s="56"/>
      <c r="B74" s="57"/>
      <c r="C74" s="57"/>
      <c r="D74" s="380" t="s">
        <v>411</v>
      </c>
      <c r="E74" s="713"/>
      <c r="F74" s="713"/>
      <c r="G74" s="714"/>
      <c r="H74" s="715">
        <v>61425</v>
      </c>
      <c r="I74" s="715">
        <v>61425</v>
      </c>
      <c r="J74" s="218">
        <f>I74/H74</f>
        <v>1</v>
      </c>
      <c r="K74" s="716">
        <f>E74+H74</f>
        <v>61425</v>
      </c>
      <c r="L74" s="716">
        <f>F74+I74</f>
        <v>61425</v>
      </c>
      <c r="M74" s="385">
        <f t="shared" si="0"/>
        <v>1</v>
      </c>
      <c r="N74" s="717"/>
      <c r="O74" s="717"/>
      <c r="P74" s="717"/>
      <c r="Q74" s="717"/>
    </row>
    <row r="75" spans="1:17" ht="31.5" x14ac:dyDescent="0.25">
      <c r="A75" s="940" t="s">
        <v>47</v>
      </c>
      <c r="B75" s="941" t="s">
        <v>48</v>
      </c>
      <c r="C75" s="941" t="s">
        <v>49</v>
      </c>
      <c r="D75" s="24" t="s">
        <v>50</v>
      </c>
      <c r="E75" s="37">
        <f>E76</f>
        <v>67664721</v>
      </c>
      <c r="F75" s="37">
        <f>F76</f>
        <v>44122615.990000002</v>
      </c>
      <c r="G75" s="218">
        <f t="shared" si="1"/>
        <v>0.65207711401041624</v>
      </c>
      <c r="H75" s="7">
        <f>H76+H79</f>
        <v>9534214</v>
      </c>
      <c r="I75" s="738">
        <f>I76+I79</f>
        <v>3523130.6399999997</v>
      </c>
      <c r="J75" s="218">
        <f t="shared" si="7"/>
        <v>0.36952502219899824</v>
      </c>
      <c r="K75" s="201">
        <f t="shared" si="8"/>
        <v>77198935</v>
      </c>
      <c r="L75" s="201">
        <f t="shared" si="9"/>
        <v>47645746.630000003</v>
      </c>
      <c r="M75" s="385">
        <f t="shared" si="0"/>
        <v>0.61718139803353511</v>
      </c>
      <c r="N75" s="549"/>
      <c r="O75" s="549"/>
      <c r="P75" s="549"/>
      <c r="Q75" s="549"/>
    </row>
    <row r="76" spans="1:17" x14ac:dyDescent="0.25">
      <c r="A76" s="940"/>
      <c r="B76" s="941"/>
      <c r="C76" s="941"/>
      <c r="D76" s="377" t="s">
        <v>407</v>
      </c>
      <c r="E76" s="37">
        <v>67664721</v>
      </c>
      <c r="F76" s="37">
        <v>44122615.990000002</v>
      </c>
      <c r="G76" s="218">
        <f t="shared" si="1"/>
        <v>0.65207711401041624</v>
      </c>
      <c r="H76" s="7">
        <v>8830751</v>
      </c>
      <c r="I76" s="738">
        <v>2536676.61</v>
      </c>
      <c r="J76" s="218">
        <f t="shared" si="7"/>
        <v>0.2872549129739928</v>
      </c>
      <c r="K76" s="201">
        <f t="shared" si="8"/>
        <v>76495472</v>
      </c>
      <c r="L76" s="201">
        <f t="shared" si="9"/>
        <v>46659292.600000001</v>
      </c>
      <c r="M76" s="385">
        <f t="shared" si="0"/>
        <v>0.60996149680598089</v>
      </c>
      <c r="N76" s="549"/>
      <c r="O76" s="549"/>
      <c r="P76" s="549"/>
      <c r="Q76" s="549"/>
    </row>
    <row r="77" spans="1:17" x14ac:dyDescent="0.25">
      <c r="A77" s="940"/>
      <c r="B77" s="941"/>
      <c r="C77" s="941"/>
      <c r="D77" s="378" t="s">
        <v>408</v>
      </c>
      <c r="E77" s="37">
        <v>37725262</v>
      </c>
      <c r="F77" s="37">
        <v>27899287.960000001</v>
      </c>
      <c r="G77" s="218">
        <f t="shared" si="1"/>
        <v>0.73953861367483675</v>
      </c>
      <c r="H77" s="7">
        <v>1981242</v>
      </c>
      <c r="I77" s="738">
        <v>941746.05</v>
      </c>
      <c r="J77" s="218">
        <f t="shared" si="7"/>
        <v>0.47533115591129205</v>
      </c>
      <c r="K77" s="201">
        <f t="shared" si="8"/>
        <v>39706504</v>
      </c>
      <c r="L77" s="201">
        <f t="shared" si="9"/>
        <v>28841034.010000002</v>
      </c>
      <c r="M77" s="385">
        <f t="shared" si="0"/>
        <v>0.7263554104385519</v>
      </c>
      <c r="N77" s="549"/>
      <c r="O77" s="549"/>
      <c r="P77" s="549"/>
      <c r="Q77" s="549"/>
    </row>
    <row r="78" spans="1:17" ht="31.5" x14ac:dyDescent="0.25">
      <c r="A78" s="940"/>
      <c r="B78" s="941"/>
      <c r="C78" s="941"/>
      <c r="D78" s="378" t="s">
        <v>409</v>
      </c>
      <c r="E78" s="37">
        <v>17999944</v>
      </c>
      <c r="F78" s="37">
        <v>9572924.2300000004</v>
      </c>
      <c r="G78" s="218">
        <f t="shared" si="1"/>
        <v>0.53183077847353311</v>
      </c>
      <c r="H78" s="7">
        <v>60976</v>
      </c>
      <c r="I78" s="7">
        <v>21714.33</v>
      </c>
      <c r="J78" s="218">
        <f t="shared" si="7"/>
        <v>0.35611273287850959</v>
      </c>
      <c r="K78" s="201">
        <f t="shared" si="8"/>
        <v>18060920</v>
      </c>
      <c r="L78" s="201">
        <f t="shared" si="9"/>
        <v>9594638.5600000005</v>
      </c>
      <c r="M78" s="385">
        <f t="shared" si="0"/>
        <v>0.53123753164290632</v>
      </c>
      <c r="N78" s="549"/>
      <c r="O78" s="549"/>
      <c r="P78" s="549"/>
      <c r="Q78" s="549"/>
    </row>
    <row r="79" spans="1:17" x14ac:dyDescent="0.25">
      <c r="A79" s="940"/>
      <c r="B79" s="941"/>
      <c r="C79" s="941"/>
      <c r="D79" s="377" t="s">
        <v>410</v>
      </c>
      <c r="E79" s="37"/>
      <c r="F79" s="37"/>
      <c r="G79" s="218"/>
      <c r="H79" s="7">
        <v>703463</v>
      </c>
      <c r="I79" s="7">
        <v>986454.03</v>
      </c>
      <c r="J79" s="218">
        <v>0</v>
      </c>
      <c r="K79" s="201">
        <f t="shared" si="8"/>
        <v>703463</v>
      </c>
      <c r="L79" s="201">
        <f t="shared" si="9"/>
        <v>986454.03</v>
      </c>
      <c r="M79" s="385">
        <v>0</v>
      </c>
      <c r="N79" s="549"/>
      <c r="O79" s="549"/>
      <c r="P79" s="549"/>
      <c r="Q79" s="549"/>
    </row>
    <row r="80" spans="1:17" x14ac:dyDescent="0.25">
      <c r="A80" s="1033"/>
      <c r="B80" s="1034"/>
      <c r="C80" s="1034"/>
      <c r="D80" s="378" t="s">
        <v>681</v>
      </c>
      <c r="E80" s="37"/>
      <c r="F80" s="37"/>
      <c r="G80" s="218"/>
      <c r="H80" s="7">
        <v>703463</v>
      </c>
      <c r="I80" s="7">
        <v>545980</v>
      </c>
      <c r="J80" s="218">
        <f t="shared" si="7"/>
        <v>0.77613179371196495</v>
      </c>
      <c r="K80" s="201">
        <f t="shared" si="8"/>
        <v>703463</v>
      </c>
      <c r="L80" s="201">
        <f t="shared" si="9"/>
        <v>545980</v>
      </c>
      <c r="M80" s="385">
        <f t="shared" si="0"/>
        <v>0.77613179371196495</v>
      </c>
      <c r="N80" s="549"/>
      <c r="O80" s="549"/>
      <c r="P80" s="549"/>
      <c r="Q80" s="549"/>
    </row>
    <row r="81" spans="1:17" ht="31.5" x14ac:dyDescent="0.25">
      <c r="A81" s="56" t="s">
        <v>157</v>
      </c>
      <c r="B81" s="57" t="s">
        <v>158</v>
      </c>
      <c r="C81" s="57" t="s">
        <v>49</v>
      </c>
      <c r="D81" s="30" t="s">
        <v>50</v>
      </c>
      <c r="E81" s="37">
        <f>E82</f>
        <v>77435200</v>
      </c>
      <c r="F81" s="37">
        <f>F82</f>
        <v>57678823.840000004</v>
      </c>
      <c r="G81" s="218">
        <f t="shared" si="1"/>
        <v>0.74486569208835263</v>
      </c>
      <c r="H81" s="7">
        <v>0</v>
      </c>
      <c r="I81" s="7">
        <v>0</v>
      </c>
      <c r="J81" s="218"/>
      <c r="K81" s="201">
        <f t="shared" si="8"/>
        <v>77435200</v>
      </c>
      <c r="L81" s="201">
        <f t="shared" si="9"/>
        <v>57678823.840000004</v>
      </c>
      <c r="M81" s="385">
        <f t="shared" si="0"/>
        <v>0.74486569208835263</v>
      </c>
      <c r="N81" s="549"/>
      <c r="O81" s="549"/>
      <c r="P81" s="549"/>
      <c r="Q81" s="549"/>
    </row>
    <row r="82" spans="1:17" x14ac:dyDescent="0.25">
      <c r="A82" s="56"/>
      <c r="B82" s="57"/>
      <c r="C82" s="57"/>
      <c r="D82" s="377" t="s">
        <v>407</v>
      </c>
      <c r="E82" s="37">
        <f>E83</f>
        <v>77435200</v>
      </c>
      <c r="F82" s="7">
        <v>57678823.840000004</v>
      </c>
      <c r="G82" s="218">
        <f t="shared" si="1"/>
        <v>0.74486569208835263</v>
      </c>
      <c r="H82" s="7">
        <v>0</v>
      </c>
      <c r="I82" s="7">
        <v>0</v>
      </c>
      <c r="J82" s="218"/>
      <c r="K82" s="201">
        <f t="shared" si="8"/>
        <v>77435200</v>
      </c>
      <c r="L82" s="201">
        <f t="shared" si="9"/>
        <v>57678823.840000004</v>
      </c>
      <c r="M82" s="385">
        <f t="shared" si="0"/>
        <v>0.74486569208835263</v>
      </c>
      <c r="N82" s="549"/>
      <c r="O82" s="549"/>
      <c r="P82" s="549"/>
      <c r="Q82" s="549"/>
    </row>
    <row r="83" spans="1:17" x14ac:dyDescent="0.25">
      <c r="A83" s="56"/>
      <c r="B83" s="57"/>
      <c r="C83" s="57"/>
      <c r="D83" s="378" t="s">
        <v>408</v>
      </c>
      <c r="E83" s="37">
        <v>77435200</v>
      </c>
      <c r="F83" s="7">
        <v>57678823.840000004</v>
      </c>
      <c r="G83" s="218">
        <f t="shared" si="1"/>
        <v>0.74486569208835263</v>
      </c>
      <c r="H83" s="7">
        <v>0</v>
      </c>
      <c r="I83" s="7">
        <v>0</v>
      </c>
      <c r="J83" s="218"/>
      <c r="K83" s="201">
        <f t="shared" si="8"/>
        <v>77435200</v>
      </c>
      <c r="L83" s="201">
        <f t="shared" si="9"/>
        <v>57678823.840000004</v>
      </c>
      <c r="M83" s="385">
        <f t="shared" si="0"/>
        <v>0.74486569208835263</v>
      </c>
      <c r="N83" s="549"/>
      <c r="O83" s="549"/>
      <c r="P83" s="549"/>
      <c r="Q83" s="549"/>
    </row>
    <row r="84" spans="1:17" ht="47.25" x14ac:dyDescent="0.25">
      <c r="A84" s="940" t="s">
        <v>51</v>
      </c>
      <c r="B84" s="941" t="s">
        <v>52</v>
      </c>
      <c r="C84" s="941" t="s">
        <v>53</v>
      </c>
      <c r="D84" s="24" t="s">
        <v>54</v>
      </c>
      <c r="E84" s="37">
        <f>E85</f>
        <v>6351091</v>
      </c>
      <c r="F84" s="37">
        <f>F85</f>
        <v>4287332.7</v>
      </c>
      <c r="G84" s="218">
        <f t="shared" si="1"/>
        <v>0.67505452212856032</v>
      </c>
      <c r="H84" s="7">
        <f>H85</f>
        <v>0</v>
      </c>
      <c r="I84" s="7">
        <f>I85</f>
        <v>12946</v>
      </c>
      <c r="J84" s="218">
        <v>0</v>
      </c>
      <c r="K84" s="201">
        <f t="shared" si="8"/>
        <v>6351091</v>
      </c>
      <c r="L84" s="201">
        <f t="shared" si="9"/>
        <v>4300278.7</v>
      </c>
      <c r="M84" s="385">
        <f t="shared" si="0"/>
        <v>0.67709291206817857</v>
      </c>
      <c r="N84" s="549"/>
      <c r="O84" s="549"/>
      <c r="P84" s="549"/>
      <c r="Q84" s="549"/>
    </row>
    <row r="85" spans="1:17" x14ac:dyDescent="0.25">
      <c r="A85" s="940"/>
      <c r="B85" s="941"/>
      <c r="C85" s="941"/>
      <c r="D85" s="377" t="s">
        <v>407</v>
      </c>
      <c r="E85" s="37">
        <v>6351091</v>
      </c>
      <c r="F85" s="37">
        <v>4287332.7</v>
      </c>
      <c r="G85" s="218">
        <f t="shared" si="1"/>
        <v>0.67505452212856032</v>
      </c>
      <c r="H85" s="7">
        <v>0</v>
      </c>
      <c r="I85" s="7">
        <v>12946</v>
      </c>
      <c r="J85" s="218">
        <v>0</v>
      </c>
      <c r="K85" s="201">
        <f t="shared" si="8"/>
        <v>6351091</v>
      </c>
      <c r="L85" s="201">
        <f t="shared" si="9"/>
        <v>4300278.7</v>
      </c>
      <c r="M85" s="385">
        <f t="shared" si="0"/>
        <v>0.67709291206817857</v>
      </c>
      <c r="N85" s="549"/>
      <c r="O85" s="549"/>
      <c r="P85" s="549"/>
      <c r="Q85" s="549"/>
    </row>
    <row r="86" spans="1:17" x14ac:dyDescent="0.25">
      <c r="A86" s="940"/>
      <c r="B86" s="941"/>
      <c r="C86" s="941"/>
      <c r="D86" s="378" t="s">
        <v>408</v>
      </c>
      <c r="E86" s="37">
        <v>5271140</v>
      </c>
      <c r="F86" s="37">
        <v>3685760.37</v>
      </c>
      <c r="G86" s="218">
        <f t="shared" si="1"/>
        <v>0.69923401199740476</v>
      </c>
      <c r="H86" s="7">
        <v>0</v>
      </c>
      <c r="I86" s="7">
        <v>0</v>
      </c>
      <c r="J86" s="218"/>
      <c r="K86" s="201">
        <f t="shared" si="8"/>
        <v>5271140</v>
      </c>
      <c r="L86" s="201">
        <f t="shared" si="9"/>
        <v>3685760.37</v>
      </c>
      <c r="M86" s="385">
        <f t="shared" si="0"/>
        <v>0.69923401199740476</v>
      </c>
      <c r="N86" s="549"/>
      <c r="O86" s="549"/>
      <c r="P86" s="549"/>
      <c r="Q86" s="549"/>
    </row>
    <row r="87" spans="1:17" ht="31.5" x14ac:dyDescent="0.25">
      <c r="A87" s="940"/>
      <c r="B87" s="941"/>
      <c r="C87" s="941"/>
      <c r="D87" s="378" t="s">
        <v>409</v>
      </c>
      <c r="E87" s="37">
        <v>435887</v>
      </c>
      <c r="F87" s="37">
        <v>249957.9</v>
      </c>
      <c r="G87" s="218">
        <f t="shared" si="1"/>
        <v>0.57344655839701575</v>
      </c>
      <c r="H87" s="7">
        <v>0</v>
      </c>
      <c r="I87" s="7">
        <v>0</v>
      </c>
      <c r="J87" s="218"/>
      <c r="K87" s="201">
        <f t="shared" si="8"/>
        <v>435887</v>
      </c>
      <c r="L87" s="201">
        <f t="shared" si="9"/>
        <v>249957.9</v>
      </c>
      <c r="M87" s="385">
        <f t="shared" si="0"/>
        <v>0.57344655839701575</v>
      </c>
      <c r="N87" s="549"/>
      <c r="O87" s="549"/>
      <c r="P87" s="549"/>
      <c r="Q87" s="549"/>
    </row>
    <row r="88" spans="1:17" ht="31.5" x14ac:dyDescent="0.25">
      <c r="A88" s="940" t="s">
        <v>159</v>
      </c>
      <c r="B88" s="941" t="s">
        <v>160</v>
      </c>
      <c r="C88" s="941" t="s">
        <v>55</v>
      </c>
      <c r="D88" s="24" t="s">
        <v>161</v>
      </c>
      <c r="E88" s="37">
        <f>E89</f>
        <v>4955490</v>
      </c>
      <c r="F88" s="37">
        <f>F89</f>
        <v>3509980.3</v>
      </c>
      <c r="G88" s="218">
        <f t="shared" si="1"/>
        <v>0.7083013586951038</v>
      </c>
      <c r="H88" s="7">
        <v>0</v>
      </c>
      <c r="I88" s="7">
        <v>0</v>
      </c>
      <c r="J88" s="218"/>
      <c r="K88" s="201">
        <f t="shared" si="8"/>
        <v>4955490</v>
      </c>
      <c r="L88" s="201">
        <f t="shared" si="9"/>
        <v>3509980.3</v>
      </c>
      <c r="M88" s="385">
        <f t="shared" si="0"/>
        <v>0.7083013586951038</v>
      </c>
      <c r="N88" s="549"/>
      <c r="O88" s="549"/>
      <c r="P88" s="549"/>
      <c r="Q88" s="549"/>
    </row>
    <row r="89" spans="1:17" x14ac:dyDescent="0.25">
      <c r="A89" s="940"/>
      <c r="B89" s="941"/>
      <c r="C89" s="941"/>
      <c r="D89" s="377" t="s">
        <v>407</v>
      </c>
      <c r="E89" s="37">
        <v>4955490</v>
      </c>
      <c r="F89" s="37">
        <v>3509980.3</v>
      </c>
      <c r="G89" s="218">
        <f t="shared" si="1"/>
        <v>0.7083013586951038</v>
      </c>
      <c r="H89" s="7"/>
      <c r="I89" s="7">
        <v>0</v>
      </c>
      <c r="J89" s="218"/>
      <c r="K89" s="201">
        <f t="shared" si="8"/>
        <v>4955490</v>
      </c>
      <c r="L89" s="201">
        <f t="shared" si="9"/>
        <v>3509980.3</v>
      </c>
      <c r="M89" s="385">
        <f t="shared" si="0"/>
        <v>0.7083013586951038</v>
      </c>
      <c r="N89" s="549"/>
      <c r="O89" s="549"/>
      <c r="P89" s="549"/>
      <c r="Q89" s="549"/>
    </row>
    <row r="90" spans="1:17" x14ac:dyDescent="0.25">
      <c r="A90" s="940"/>
      <c r="B90" s="941"/>
      <c r="C90" s="941"/>
      <c r="D90" s="378" t="s">
        <v>408</v>
      </c>
      <c r="E90" s="37">
        <v>4556781</v>
      </c>
      <c r="F90" s="37">
        <v>3223425.79</v>
      </c>
      <c r="G90" s="218">
        <f t="shared" si="1"/>
        <v>0.70739098280123625</v>
      </c>
      <c r="H90" s="7"/>
      <c r="I90" s="7">
        <v>0</v>
      </c>
      <c r="J90" s="218"/>
      <c r="K90" s="201">
        <f t="shared" si="8"/>
        <v>4556781</v>
      </c>
      <c r="L90" s="201">
        <f t="shared" si="9"/>
        <v>3223425.79</v>
      </c>
      <c r="M90" s="385">
        <f t="shared" si="0"/>
        <v>0.70739098280123625</v>
      </c>
      <c r="N90" s="549"/>
      <c r="O90" s="549"/>
      <c r="P90" s="549"/>
      <c r="Q90" s="549"/>
    </row>
    <row r="91" spans="1:17" ht="31.5" x14ac:dyDescent="0.25">
      <c r="A91" s="940"/>
      <c r="B91" s="941"/>
      <c r="C91" s="941"/>
      <c r="D91" s="378" t="s">
        <v>409</v>
      </c>
      <c r="E91" s="37">
        <v>190947</v>
      </c>
      <c r="F91" s="37">
        <v>122152.01</v>
      </c>
      <c r="G91" s="218">
        <f t="shared" si="1"/>
        <v>0.6397168324194672</v>
      </c>
      <c r="H91" s="7"/>
      <c r="I91" s="7">
        <v>0</v>
      </c>
      <c r="J91" s="218"/>
      <c r="K91" s="201">
        <f t="shared" si="8"/>
        <v>190947</v>
      </c>
      <c r="L91" s="201">
        <f t="shared" si="9"/>
        <v>122152.01</v>
      </c>
      <c r="M91" s="385">
        <f t="shared" si="0"/>
        <v>0.6397168324194672</v>
      </c>
      <c r="N91" s="549"/>
      <c r="O91" s="549"/>
      <c r="P91" s="549"/>
      <c r="Q91" s="549"/>
    </row>
    <row r="92" spans="1:17" x14ac:dyDescent="0.25">
      <c r="A92" s="940" t="s">
        <v>56</v>
      </c>
      <c r="B92" s="941" t="s">
        <v>57</v>
      </c>
      <c r="C92" s="941" t="s">
        <v>55</v>
      </c>
      <c r="D92" s="24" t="s">
        <v>58</v>
      </c>
      <c r="E92" s="37">
        <f>E93</f>
        <v>183122</v>
      </c>
      <c r="F92" s="37">
        <f>F93</f>
        <v>91790</v>
      </c>
      <c r="G92" s="218">
        <f t="shared" si="1"/>
        <v>0.50125053243193063</v>
      </c>
      <c r="H92" s="7">
        <v>0</v>
      </c>
      <c r="I92" s="7"/>
      <c r="J92" s="218"/>
      <c r="K92" s="201">
        <f t="shared" si="8"/>
        <v>183122</v>
      </c>
      <c r="L92" s="201">
        <f t="shared" si="9"/>
        <v>91790</v>
      </c>
      <c r="M92" s="385">
        <f t="shared" si="0"/>
        <v>0.50125053243193063</v>
      </c>
      <c r="N92" s="549"/>
      <c r="O92" s="549"/>
      <c r="P92" s="549"/>
      <c r="Q92" s="549"/>
    </row>
    <row r="93" spans="1:17" x14ac:dyDescent="0.25">
      <c r="A93" s="940"/>
      <c r="B93" s="941"/>
      <c r="C93" s="941"/>
      <c r="D93" s="377" t="s">
        <v>407</v>
      </c>
      <c r="E93" s="37">
        <v>183122</v>
      </c>
      <c r="F93" s="37">
        <v>91790</v>
      </c>
      <c r="G93" s="218">
        <f t="shared" si="1"/>
        <v>0.50125053243193063</v>
      </c>
      <c r="H93" s="7"/>
      <c r="I93" s="7"/>
      <c r="J93" s="218"/>
      <c r="K93" s="201">
        <f t="shared" si="8"/>
        <v>183122</v>
      </c>
      <c r="L93" s="201">
        <f t="shared" si="9"/>
        <v>91790</v>
      </c>
      <c r="M93" s="385">
        <f t="shared" si="0"/>
        <v>0.50125053243193063</v>
      </c>
      <c r="N93" s="549"/>
      <c r="O93" s="549"/>
      <c r="P93" s="549"/>
      <c r="Q93" s="549"/>
    </row>
    <row r="94" spans="1:17" ht="47.25" x14ac:dyDescent="0.25">
      <c r="A94" s="940" t="s">
        <v>59</v>
      </c>
      <c r="B94" s="941" t="s">
        <v>60</v>
      </c>
      <c r="C94" s="941" t="s">
        <v>55</v>
      </c>
      <c r="D94" s="24" t="s">
        <v>61</v>
      </c>
      <c r="E94" s="37">
        <f>E95</f>
        <v>1339469</v>
      </c>
      <c r="F94" s="37">
        <f>F95</f>
        <v>805639.27</v>
      </c>
      <c r="G94" s="218">
        <f t="shared" si="1"/>
        <v>0.60146167623140212</v>
      </c>
      <c r="H94" s="7">
        <f>H95+H98</f>
        <v>0</v>
      </c>
      <c r="I94" s="7">
        <f>I95+I98</f>
        <v>543074.29</v>
      </c>
      <c r="J94" s="218">
        <v>0</v>
      </c>
      <c r="K94" s="201">
        <f t="shared" si="8"/>
        <v>1339469</v>
      </c>
      <c r="L94" s="201">
        <f t="shared" si="9"/>
        <v>1348713.56</v>
      </c>
      <c r="M94" s="385">
        <f t="shared" si="0"/>
        <v>1.0069016602847844</v>
      </c>
      <c r="N94" s="549"/>
      <c r="O94" s="549"/>
      <c r="P94" s="549"/>
      <c r="Q94" s="549"/>
    </row>
    <row r="95" spans="1:17" x14ac:dyDescent="0.25">
      <c r="A95" s="940"/>
      <c r="B95" s="941"/>
      <c r="C95" s="941"/>
      <c r="D95" s="377" t="s">
        <v>407</v>
      </c>
      <c r="E95" s="37">
        <v>1339469</v>
      </c>
      <c r="F95" s="37">
        <v>805639.27</v>
      </c>
      <c r="G95" s="218">
        <f t="shared" si="1"/>
        <v>0.60146167623140212</v>
      </c>
      <c r="H95" s="7">
        <v>0</v>
      </c>
      <c r="I95" s="7">
        <v>543074.29</v>
      </c>
      <c r="J95" s="218">
        <v>0</v>
      </c>
      <c r="K95" s="201">
        <f t="shared" si="8"/>
        <v>1339469</v>
      </c>
      <c r="L95" s="201">
        <f t="shared" si="9"/>
        <v>1348713.56</v>
      </c>
      <c r="M95" s="385">
        <f t="shared" si="0"/>
        <v>1.0069016602847844</v>
      </c>
      <c r="N95" s="549"/>
      <c r="O95" s="549"/>
      <c r="P95" s="549"/>
      <c r="Q95" s="549"/>
    </row>
    <row r="96" spans="1:17" x14ac:dyDescent="0.25">
      <c r="A96" s="940"/>
      <c r="B96" s="941"/>
      <c r="C96" s="941"/>
      <c r="D96" s="378" t="s">
        <v>408</v>
      </c>
      <c r="E96" s="37">
        <v>839185</v>
      </c>
      <c r="F96" s="37">
        <v>568360.48</v>
      </c>
      <c r="G96" s="218">
        <f t="shared" si="1"/>
        <v>0.67727673874056371</v>
      </c>
      <c r="H96" s="7"/>
      <c r="I96" s="7"/>
      <c r="J96" s="218"/>
      <c r="K96" s="201">
        <f t="shared" si="8"/>
        <v>839185</v>
      </c>
      <c r="L96" s="201">
        <f t="shared" si="9"/>
        <v>568360.48</v>
      </c>
      <c r="M96" s="385">
        <f t="shared" si="0"/>
        <v>0.67727673874056371</v>
      </c>
      <c r="N96" s="549"/>
      <c r="O96" s="549"/>
      <c r="P96" s="549"/>
      <c r="Q96" s="549"/>
    </row>
    <row r="97" spans="1:17" ht="31.5" x14ac:dyDescent="0.25">
      <c r="A97" s="940"/>
      <c r="B97" s="941"/>
      <c r="C97" s="941"/>
      <c r="D97" s="378" t="s">
        <v>409</v>
      </c>
      <c r="E97" s="37">
        <v>308521</v>
      </c>
      <c r="F97" s="37">
        <v>158287.16</v>
      </c>
      <c r="G97" s="218">
        <f t="shared" si="1"/>
        <v>0.51305149406361317</v>
      </c>
      <c r="H97" s="7"/>
      <c r="I97" s="7"/>
      <c r="J97" s="218"/>
      <c r="K97" s="201">
        <f t="shared" si="8"/>
        <v>308521</v>
      </c>
      <c r="L97" s="201">
        <f t="shared" si="9"/>
        <v>158287.16</v>
      </c>
      <c r="M97" s="385">
        <f t="shared" si="0"/>
        <v>0.51305149406361317</v>
      </c>
      <c r="N97" s="549"/>
      <c r="O97" s="549"/>
      <c r="P97" s="549"/>
      <c r="Q97" s="549"/>
    </row>
    <row r="98" spans="1:17" x14ac:dyDescent="0.25">
      <c r="A98" s="940"/>
      <c r="B98" s="941"/>
      <c r="C98" s="941"/>
      <c r="D98" s="377" t="s">
        <v>410</v>
      </c>
      <c r="E98" s="37"/>
      <c r="F98" s="37"/>
      <c r="G98" s="218"/>
      <c r="H98" s="7">
        <v>0</v>
      </c>
      <c r="I98" s="7"/>
      <c r="J98" s="218">
        <v>0</v>
      </c>
      <c r="K98" s="201">
        <f t="shared" si="8"/>
        <v>0</v>
      </c>
      <c r="L98" s="201">
        <f t="shared" si="9"/>
        <v>0</v>
      </c>
      <c r="M98" s="385">
        <v>0</v>
      </c>
      <c r="N98" s="549"/>
      <c r="O98" s="549"/>
      <c r="P98" s="549"/>
      <c r="Q98" s="549"/>
    </row>
    <row r="99" spans="1:17" ht="47.25" x14ac:dyDescent="0.25">
      <c r="A99" s="940" t="s">
        <v>222</v>
      </c>
      <c r="B99" s="941" t="s">
        <v>223</v>
      </c>
      <c r="C99" s="941" t="s">
        <v>55</v>
      </c>
      <c r="D99" s="24" t="s">
        <v>224</v>
      </c>
      <c r="E99" s="37">
        <f>E100</f>
        <v>1773410</v>
      </c>
      <c r="F99" s="37">
        <f>F100</f>
        <v>1236843.8700000001</v>
      </c>
      <c r="G99" s="218">
        <f t="shared" si="1"/>
        <v>0.6974381953411789</v>
      </c>
      <c r="H99" s="7"/>
      <c r="I99" s="7"/>
      <c r="J99" s="218"/>
      <c r="K99" s="201">
        <f t="shared" si="8"/>
        <v>1773410</v>
      </c>
      <c r="L99" s="201">
        <f t="shared" si="9"/>
        <v>1236843.8700000001</v>
      </c>
      <c r="M99" s="385">
        <f t="shared" ref="M99:M197" si="10">L99/K99</f>
        <v>0.6974381953411789</v>
      </c>
      <c r="N99" s="549"/>
      <c r="O99" s="549"/>
      <c r="P99" s="549"/>
      <c r="Q99" s="549"/>
    </row>
    <row r="100" spans="1:17" x14ac:dyDescent="0.25">
      <c r="A100" s="35"/>
      <c r="B100" s="36"/>
      <c r="C100" s="36"/>
      <c r="D100" s="377" t="s">
        <v>407</v>
      </c>
      <c r="E100" s="38">
        <v>1773410</v>
      </c>
      <c r="F100" s="38">
        <v>1236843.8700000001</v>
      </c>
      <c r="G100" s="218">
        <f t="shared" si="1"/>
        <v>0.6974381953411789</v>
      </c>
      <c r="H100" s="12"/>
      <c r="I100" s="12"/>
      <c r="J100" s="218"/>
      <c r="K100" s="201">
        <f t="shared" si="8"/>
        <v>1773410</v>
      </c>
      <c r="L100" s="201">
        <f t="shared" si="9"/>
        <v>1236843.8700000001</v>
      </c>
      <c r="M100" s="385">
        <f t="shared" si="10"/>
        <v>0.6974381953411789</v>
      </c>
      <c r="N100" s="549"/>
      <c r="O100" s="549"/>
      <c r="P100" s="549"/>
      <c r="Q100" s="549"/>
    </row>
    <row r="101" spans="1:17" x14ac:dyDescent="0.25">
      <c r="A101" s="35"/>
      <c r="B101" s="36"/>
      <c r="C101" s="36"/>
      <c r="D101" s="378" t="s">
        <v>408</v>
      </c>
      <c r="E101" s="38">
        <v>1773410</v>
      </c>
      <c r="F101" s="38">
        <v>1236843.8700000001</v>
      </c>
      <c r="G101" s="218">
        <f t="shared" si="1"/>
        <v>0.6974381953411789</v>
      </c>
      <c r="H101" s="12"/>
      <c r="I101" s="12"/>
      <c r="J101" s="218"/>
      <c r="K101" s="201">
        <f t="shared" si="8"/>
        <v>1773410</v>
      </c>
      <c r="L101" s="201">
        <f t="shared" si="9"/>
        <v>1236843.8700000001</v>
      </c>
      <c r="M101" s="385">
        <f t="shared" si="10"/>
        <v>0.6974381953411789</v>
      </c>
      <c r="N101" s="549"/>
      <c r="O101" s="549"/>
      <c r="P101" s="549"/>
      <c r="Q101" s="549"/>
    </row>
    <row r="102" spans="1:17" ht="47.25" x14ac:dyDescent="0.25">
      <c r="A102" s="35" t="s">
        <v>62</v>
      </c>
      <c r="B102" s="36" t="s">
        <v>63</v>
      </c>
      <c r="C102" s="36" t="s">
        <v>55</v>
      </c>
      <c r="D102" s="31" t="s">
        <v>64</v>
      </c>
      <c r="E102" s="38">
        <f>E103</f>
        <v>1650496</v>
      </c>
      <c r="F102" s="38">
        <f>F103</f>
        <v>1186678.8799999999</v>
      </c>
      <c r="G102" s="219">
        <f t="shared" si="1"/>
        <v>0.71898319050758064</v>
      </c>
      <c r="H102" s="12">
        <v>0</v>
      </c>
      <c r="I102" s="12"/>
      <c r="J102" s="218"/>
      <c r="K102" s="201">
        <f t="shared" si="8"/>
        <v>1650496</v>
      </c>
      <c r="L102" s="201">
        <f t="shared" si="9"/>
        <v>1186678.8799999999</v>
      </c>
      <c r="M102" s="385">
        <f t="shared" si="10"/>
        <v>0.71898319050758064</v>
      </c>
      <c r="N102" s="549"/>
      <c r="O102" s="549"/>
      <c r="P102" s="549"/>
      <c r="Q102" s="549"/>
    </row>
    <row r="103" spans="1:17" x14ac:dyDescent="0.25">
      <c r="A103" s="940"/>
      <c r="B103" s="941"/>
      <c r="C103" s="941"/>
      <c r="D103" s="377" t="s">
        <v>407</v>
      </c>
      <c r="E103" s="37">
        <v>1650496</v>
      </c>
      <c r="F103" s="37">
        <v>1186678.8799999999</v>
      </c>
      <c r="G103" s="218">
        <f t="shared" si="1"/>
        <v>0.71898319050758064</v>
      </c>
      <c r="H103" s="7"/>
      <c r="I103" s="7"/>
      <c r="J103" s="218"/>
      <c r="K103" s="201">
        <f t="shared" si="8"/>
        <v>1650496</v>
      </c>
      <c r="L103" s="201">
        <f t="shared" si="9"/>
        <v>1186678.8799999999</v>
      </c>
      <c r="M103" s="385">
        <f t="shared" si="10"/>
        <v>0.71898319050758064</v>
      </c>
      <c r="N103" s="549"/>
      <c r="O103" s="549"/>
      <c r="P103" s="549"/>
      <c r="Q103" s="549"/>
    </row>
    <row r="104" spans="1:17" x14ac:dyDescent="0.25">
      <c r="A104" s="940"/>
      <c r="B104" s="941"/>
      <c r="C104" s="941"/>
      <c r="D104" s="378" t="s">
        <v>408</v>
      </c>
      <c r="E104" s="37">
        <v>1483397</v>
      </c>
      <c r="F104" s="37">
        <v>1057047.1200000001</v>
      </c>
      <c r="G104" s="218">
        <f t="shared" si="1"/>
        <v>0.71258545082671743</v>
      </c>
      <c r="H104" s="7"/>
      <c r="I104" s="7"/>
      <c r="J104" s="218"/>
      <c r="K104" s="201">
        <f t="shared" si="8"/>
        <v>1483397</v>
      </c>
      <c r="L104" s="201">
        <f t="shared" si="9"/>
        <v>1057047.1200000001</v>
      </c>
      <c r="M104" s="385">
        <f t="shared" si="10"/>
        <v>0.71258545082671743</v>
      </c>
      <c r="N104" s="549"/>
      <c r="O104" s="549"/>
      <c r="P104" s="549"/>
      <c r="Q104" s="549"/>
    </row>
    <row r="105" spans="1:17" ht="31.5" x14ac:dyDescent="0.25">
      <c r="A105" s="940"/>
      <c r="B105" s="941"/>
      <c r="C105" s="941"/>
      <c r="D105" s="378" t="s">
        <v>409</v>
      </c>
      <c r="E105" s="37">
        <v>43244</v>
      </c>
      <c r="F105" s="37">
        <v>22699</v>
      </c>
      <c r="G105" s="218">
        <f t="shared" si="1"/>
        <v>0.52490518915918971</v>
      </c>
      <c r="H105" s="7"/>
      <c r="I105" s="7"/>
      <c r="J105" s="218"/>
      <c r="K105" s="7">
        <f>E105+H105</f>
        <v>43244</v>
      </c>
      <c r="L105" s="7">
        <f t="shared" si="9"/>
        <v>22699</v>
      </c>
      <c r="M105" s="384">
        <f t="shared" si="10"/>
        <v>0.52490518915918971</v>
      </c>
      <c r="N105" s="549"/>
      <c r="O105" s="549"/>
      <c r="P105" s="549"/>
      <c r="Q105" s="549"/>
    </row>
    <row r="106" spans="1:17" ht="126" x14ac:dyDescent="0.25">
      <c r="A106" s="50" t="s">
        <v>467</v>
      </c>
      <c r="B106" s="49">
        <v>1183</v>
      </c>
      <c r="C106" s="49" t="s">
        <v>55</v>
      </c>
      <c r="D106" s="378" t="s">
        <v>550</v>
      </c>
      <c r="E106" s="37"/>
      <c r="F106" s="37"/>
      <c r="G106" s="218"/>
      <c r="H106" s="7">
        <f>H107</f>
        <v>579643</v>
      </c>
      <c r="I106" s="7">
        <f>I107</f>
        <v>0</v>
      </c>
      <c r="J106" s="218">
        <v>0</v>
      </c>
      <c r="K106" s="7">
        <f t="shared" ref="K106:K111" si="11">E106+H106</f>
        <v>579643</v>
      </c>
      <c r="L106" s="7">
        <f t="shared" si="9"/>
        <v>0</v>
      </c>
      <c r="M106" s="384">
        <f t="shared" si="10"/>
        <v>0</v>
      </c>
      <c r="N106" s="549"/>
      <c r="O106" s="549"/>
      <c r="P106" s="549"/>
      <c r="Q106" s="549"/>
    </row>
    <row r="107" spans="1:17" x14ac:dyDescent="0.25">
      <c r="A107" s="50"/>
      <c r="B107" s="49"/>
      <c r="C107" s="49"/>
      <c r="D107" s="377" t="s">
        <v>410</v>
      </c>
      <c r="E107" s="37"/>
      <c r="F107" s="37"/>
      <c r="G107" s="218"/>
      <c r="H107" s="7">
        <f>H108</f>
        <v>579643</v>
      </c>
      <c r="I107" s="7">
        <f>I108</f>
        <v>0</v>
      </c>
      <c r="J107" s="218">
        <v>0</v>
      </c>
      <c r="K107" s="7">
        <f t="shared" si="11"/>
        <v>579643</v>
      </c>
      <c r="L107" s="7">
        <f t="shared" si="9"/>
        <v>0</v>
      </c>
      <c r="M107" s="384">
        <f t="shared" si="10"/>
        <v>0</v>
      </c>
      <c r="N107" s="549"/>
      <c r="O107" s="549"/>
      <c r="P107" s="549"/>
      <c r="Q107" s="549"/>
    </row>
    <row r="108" spans="1:17" x14ac:dyDescent="0.25">
      <c r="A108" s="50"/>
      <c r="B108" s="49"/>
      <c r="C108" s="49"/>
      <c r="D108" s="378" t="s">
        <v>411</v>
      </c>
      <c r="E108" s="37"/>
      <c r="F108" s="37"/>
      <c r="G108" s="218"/>
      <c r="H108" s="7">
        <v>579643</v>
      </c>
      <c r="I108" s="7">
        <v>0</v>
      </c>
      <c r="J108" s="218">
        <v>0</v>
      </c>
      <c r="K108" s="7">
        <f t="shared" si="11"/>
        <v>579643</v>
      </c>
      <c r="L108" s="7">
        <f t="shared" si="9"/>
        <v>0</v>
      </c>
      <c r="M108" s="384">
        <f t="shared" si="10"/>
        <v>0</v>
      </c>
      <c r="N108" s="549"/>
      <c r="O108" s="549"/>
      <c r="P108" s="549"/>
      <c r="Q108" s="549"/>
    </row>
    <row r="109" spans="1:17" ht="126" x14ac:dyDescent="0.25">
      <c r="A109" s="50" t="s">
        <v>470</v>
      </c>
      <c r="B109" s="49" t="s">
        <v>471</v>
      </c>
      <c r="C109" s="49" t="s">
        <v>55</v>
      </c>
      <c r="D109" s="378" t="s">
        <v>551</v>
      </c>
      <c r="E109" s="37"/>
      <c r="F109" s="37"/>
      <c r="G109" s="218"/>
      <c r="H109" s="7">
        <f>H110</f>
        <v>1352500</v>
      </c>
      <c r="I109" s="7">
        <f>I110</f>
        <v>0</v>
      </c>
      <c r="J109" s="218">
        <v>0</v>
      </c>
      <c r="K109" s="7">
        <f t="shared" si="11"/>
        <v>1352500</v>
      </c>
      <c r="L109" s="7">
        <f t="shared" si="9"/>
        <v>0</v>
      </c>
      <c r="M109" s="384">
        <f t="shared" si="10"/>
        <v>0</v>
      </c>
      <c r="N109" s="549"/>
      <c r="O109" s="549"/>
      <c r="P109" s="549"/>
      <c r="Q109" s="549"/>
    </row>
    <row r="110" spans="1:17" x14ac:dyDescent="0.25">
      <c r="A110" s="50"/>
      <c r="B110" s="49"/>
      <c r="C110" s="49"/>
      <c r="D110" s="377" t="s">
        <v>410</v>
      </c>
      <c r="E110" s="37"/>
      <c r="F110" s="37"/>
      <c r="G110" s="218"/>
      <c r="H110" s="7">
        <f>H111</f>
        <v>1352500</v>
      </c>
      <c r="I110" s="7">
        <f>I111</f>
        <v>0</v>
      </c>
      <c r="J110" s="218">
        <v>0</v>
      </c>
      <c r="K110" s="7">
        <f t="shared" si="11"/>
        <v>1352500</v>
      </c>
      <c r="L110" s="7">
        <f t="shared" si="9"/>
        <v>0</v>
      </c>
      <c r="M110" s="384">
        <f t="shared" si="10"/>
        <v>0</v>
      </c>
      <c r="N110" s="549"/>
      <c r="O110" s="549"/>
      <c r="P110" s="549"/>
      <c r="Q110" s="549"/>
    </row>
    <row r="111" spans="1:17" x14ac:dyDescent="0.25">
      <c r="A111" s="50"/>
      <c r="B111" s="49"/>
      <c r="C111" s="49"/>
      <c r="D111" s="378" t="s">
        <v>411</v>
      </c>
      <c r="E111" s="37"/>
      <c r="F111" s="37"/>
      <c r="G111" s="218"/>
      <c r="H111" s="7">
        <v>1352500</v>
      </c>
      <c r="I111" s="7">
        <v>0</v>
      </c>
      <c r="J111" s="218">
        <v>0</v>
      </c>
      <c r="K111" s="7">
        <f t="shared" si="11"/>
        <v>1352500</v>
      </c>
      <c r="L111" s="7">
        <f t="shared" si="9"/>
        <v>0</v>
      </c>
      <c r="M111" s="384">
        <f t="shared" si="10"/>
        <v>0</v>
      </c>
      <c r="N111" s="549"/>
      <c r="O111" s="549"/>
      <c r="P111" s="549"/>
      <c r="Q111" s="549"/>
    </row>
    <row r="112" spans="1:17" ht="110.25" x14ac:dyDescent="0.25">
      <c r="A112" s="50" t="s">
        <v>529</v>
      </c>
      <c r="B112" s="49" t="s">
        <v>530</v>
      </c>
      <c r="C112" s="49" t="s">
        <v>55</v>
      </c>
      <c r="D112" s="378" t="s">
        <v>528</v>
      </c>
      <c r="E112" s="37">
        <f>E113</f>
        <v>480600</v>
      </c>
      <c r="F112" s="37">
        <f>F113</f>
        <v>279141.21999999997</v>
      </c>
      <c r="G112" s="218">
        <f t="shared" si="1"/>
        <v>0.58081818560133158</v>
      </c>
      <c r="H112" s="7"/>
      <c r="I112" s="7"/>
      <c r="J112" s="218">
        <v>0</v>
      </c>
      <c r="K112" s="7">
        <f t="shared" ref="K112:K130" si="12">E112+H112</f>
        <v>480600</v>
      </c>
      <c r="L112" s="7">
        <f t="shared" si="9"/>
        <v>279141.21999999997</v>
      </c>
      <c r="M112" s="384">
        <f t="shared" si="10"/>
        <v>0.58081818560133158</v>
      </c>
      <c r="N112" s="549"/>
      <c r="O112" s="549"/>
      <c r="P112" s="549"/>
      <c r="Q112" s="549"/>
    </row>
    <row r="113" spans="1:17" x14ac:dyDescent="0.25">
      <c r="A113" s="50"/>
      <c r="B113" s="49"/>
      <c r="C113" s="49"/>
      <c r="D113" s="377" t="s">
        <v>407</v>
      </c>
      <c r="E113" s="37">
        <v>480600</v>
      </c>
      <c r="F113" s="37">
        <v>279141.21999999997</v>
      </c>
      <c r="G113" s="218">
        <f t="shared" si="1"/>
        <v>0.58081818560133158</v>
      </c>
      <c r="H113" s="7"/>
      <c r="I113" s="7"/>
      <c r="J113" s="218">
        <v>0</v>
      </c>
      <c r="K113" s="7">
        <f t="shared" si="12"/>
        <v>480600</v>
      </c>
      <c r="L113" s="7">
        <f t="shared" si="9"/>
        <v>279141.21999999997</v>
      </c>
      <c r="M113" s="384">
        <f t="shared" si="10"/>
        <v>0.58081818560133158</v>
      </c>
      <c r="N113" s="549"/>
      <c r="O113" s="549"/>
      <c r="P113" s="549"/>
      <c r="Q113" s="549"/>
    </row>
    <row r="114" spans="1:17" x14ac:dyDescent="0.25">
      <c r="A114" s="50"/>
      <c r="B114" s="49"/>
      <c r="C114" s="49"/>
      <c r="D114" s="378" t="s">
        <v>408</v>
      </c>
      <c r="E114" s="37">
        <v>480600</v>
      </c>
      <c r="F114" s="37">
        <v>279141.21999999997</v>
      </c>
      <c r="G114" s="218">
        <f t="shared" si="1"/>
        <v>0.58081818560133158</v>
      </c>
      <c r="H114" s="7"/>
      <c r="I114" s="7"/>
      <c r="J114" s="218">
        <v>0</v>
      </c>
      <c r="K114" s="7">
        <f t="shared" si="12"/>
        <v>480600</v>
      </c>
      <c r="L114" s="7">
        <f t="shared" si="9"/>
        <v>279141.21999999997</v>
      </c>
      <c r="M114" s="384">
        <f t="shared" si="10"/>
        <v>0.58081818560133158</v>
      </c>
      <c r="N114" s="549"/>
      <c r="O114" s="549"/>
      <c r="P114" s="549"/>
      <c r="Q114" s="549"/>
    </row>
    <row r="115" spans="1:17" ht="189" x14ac:dyDescent="0.25">
      <c r="A115" s="50" t="s">
        <v>674</v>
      </c>
      <c r="B115" s="49" t="s">
        <v>675</v>
      </c>
      <c r="C115" s="49" t="s">
        <v>55</v>
      </c>
      <c r="D115" s="378" t="s">
        <v>676</v>
      </c>
      <c r="E115" s="37">
        <f>E116</f>
        <v>1250000</v>
      </c>
      <c r="F115" s="37">
        <f>F116</f>
        <v>0</v>
      </c>
      <c r="G115" s="218">
        <f t="shared" si="1"/>
        <v>0</v>
      </c>
      <c r="H115" s="7"/>
      <c r="I115" s="7"/>
      <c r="J115" s="218">
        <v>0</v>
      </c>
      <c r="K115" s="7">
        <f t="shared" si="12"/>
        <v>1250000</v>
      </c>
      <c r="L115" s="7">
        <f t="shared" si="9"/>
        <v>0</v>
      </c>
      <c r="M115" s="384">
        <f t="shared" si="10"/>
        <v>0</v>
      </c>
      <c r="N115" s="549"/>
      <c r="O115" s="549"/>
      <c r="P115" s="549"/>
      <c r="Q115" s="549"/>
    </row>
    <row r="116" spans="1:17" x14ac:dyDescent="0.25">
      <c r="A116" s="50"/>
      <c r="B116" s="49"/>
      <c r="C116" s="49"/>
      <c r="D116" s="377" t="s">
        <v>407</v>
      </c>
      <c r="E116" s="37">
        <v>1250000</v>
      </c>
      <c r="F116" s="37">
        <v>0</v>
      </c>
      <c r="G116" s="218">
        <f t="shared" si="1"/>
        <v>0</v>
      </c>
      <c r="H116" s="7"/>
      <c r="I116" s="7"/>
      <c r="J116" s="218">
        <v>0</v>
      </c>
      <c r="K116" s="7">
        <f t="shared" si="12"/>
        <v>1250000</v>
      </c>
      <c r="L116" s="7">
        <f t="shared" si="9"/>
        <v>0</v>
      </c>
      <c r="M116" s="384">
        <f t="shared" si="10"/>
        <v>0</v>
      </c>
      <c r="N116" s="549"/>
      <c r="O116" s="549"/>
      <c r="P116" s="549"/>
      <c r="Q116" s="549"/>
    </row>
    <row r="117" spans="1:17" ht="173.25" x14ac:dyDescent="0.25">
      <c r="A117" s="50" t="s">
        <v>677</v>
      </c>
      <c r="B117" s="49" t="s">
        <v>678</v>
      </c>
      <c r="C117" s="49" t="s">
        <v>55</v>
      </c>
      <c r="D117" s="378" t="s">
        <v>679</v>
      </c>
      <c r="E117" s="37">
        <v>1250000</v>
      </c>
      <c r="F117" s="37">
        <v>0</v>
      </c>
      <c r="G117" s="218">
        <f t="shared" si="1"/>
        <v>0</v>
      </c>
      <c r="H117" s="7"/>
      <c r="I117" s="7"/>
      <c r="J117" s="218">
        <v>0</v>
      </c>
      <c r="K117" s="7">
        <f t="shared" si="12"/>
        <v>1250000</v>
      </c>
      <c r="L117" s="7">
        <f t="shared" si="9"/>
        <v>0</v>
      </c>
      <c r="M117" s="384">
        <f t="shared" si="10"/>
        <v>0</v>
      </c>
      <c r="N117" s="549"/>
      <c r="O117" s="549"/>
      <c r="P117" s="549"/>
      <c r="Q117" s="549"/>
    </row>
    <row r="118" spans="1:17" x14ac:dyDescent="0.25">
      <c r="A118" s="50"/>
      <c r="B118" s="49"/>
      <c r="C118" s="49"/>
      <c r="D118" s="377" t="s">
        <v>407</v>
      </c>
      <c r="E118" s="37">
        <v>1250000</v>
      </c>
      <c r="F118" s="37">
        <v>0</v>
      </c>
      <c r="G118" s="218">
        <f t="shared" si="1"/>
        <v>0</v>
      </c>
      <c r="H118" s="7"/>
      <c r="I118" s="7"/>
      <c r="J118" s="218">
        <v>0</v>
      </c>
      <c r="K118" s="7">
        <f t="shared" si="12"/>
        <v>1250000</v>
      </c>
      <c r="L118" s="7">
        <f t="shared" si="9"/>
        <v>0</v>
      </c>
      <c r="M118" s="384">
        <f t="shared" si="10"/>
        <v>0</v>
      </c>
      <c r="N118" s="549"/>
      <c r="O118" s="549"/>
      <c r="P118" s="549"/>
      <c r="Q118" s="549"/>
    </row>
    <row r="119" spans="1:17" ht="94.5" x14ac:dyDescent="0.25">
      <c r="A119" s="50" t="s">
        <v>682</v>
      </c>
      <c r="B119" s="49" t="s">
        <v>683</v>
      </c>
      <c r="C119" s="49" t="s">
        <v>55</v>
      </c>
      <c r="D119" s="378" t="s">
        <v>684</v>
      </c>
      <c r="E119" s="37"/>
      <c r="F119" s="37"/>
      <c r="G119" s="218"/>
      <c r="H119" s="7">
        <f>H120</f>
        <v>2511700</v>
      </c>
      <c r="I119" s="7">
        <f>I120</f>
        <v>374211.47</v>
      </c>
      <c r="J119" s="218">
        <v>0</v>
      </c>
      <c r="K119" s="7">
        <f t="shared" si="12"/>
        <v>2511700</v>
      </c>
      <c r="L119" s="7">
        <f t="shared" si="9"/>
        <v>374211.47</v>
      </c>
      <c r="M119" s="384">
        <f t="shared" si="10"/>
        <v>0.14898732730819764</v>
      </c>
      <c r="N119" s="549"/>
      <c r="O119" s="549"/>
      <c r="P119" s="549"/>
      <c r="Q119" s="549"/>
    </row>
    <row r="120" spans="1:17" x14ac:dyDescent="0.25">
      <c r="A120" s="50"/>
      <c r="B120" s="49"/>
      <c r="C120" s="49"/>
      <c r="D120" s="377" t="s">
        <v>407</v>
      </c>
      <c r="E120" s="37"/>
      <c r="F120" s="37"/>
      <c r="G120" s="218"/>
      <c r="H120" s="7">
        <v>2511700</v>
      </c>
      <c r="I120" s="7">
        <v>374211.47</v>
      </c>
      <c r="J120" s="218">
        <v>0</v>
      </c>
      <c r="K120" s="7">
        <f t="shared" si="12"/>
        <v>2511700</v>
      </c>
      <c r="L120" s="7">
        <f t="shared" si="9"/>
        <v>374211.47</v>
      </c>
      <c r="M120" s="384">
        <f t="shared" si="10"/>
        <v>0.14898732730819764</v>
      </c>
      <c r="N120" s="549"/>
      <c r="O120" s="549"/>
      <c r="P120" s="549"/>
      <c r="Q120" s="549"/>
    </row>
    <row r="121" spans="1:17" ht="78.75" x14ac:dyDescent="0.25">
      <c r="A121" s="50" t="s">
        <v>548</v>
      </c>
      <c r="B121" s="49" t="s">
        <v>549</v>
      </c>
      <c r="C121" s="49" t="s">
        <v>55</v>
      </c>
      <c r="D121" s="378" t="s">
        <v>552</v>
      </c>
      <c r="E121" s="37"/>
      <c r="F121" s="37"/>
      <c r="G121" s="218"/>
      <c r="H121" s="7">
        <f>H122</f>
        <v>3500600</v>
      </c>
      <c r="I121" s="7">
        <f>I122</f>
        <v>3500599.84</v>
      </c>
      <c r="J121" s="218">
        <f>I121/H121</f>
        <v>0.9999999542935496</v>
      </c>
      <c r="K121" s="7">
        <f t="shared" si="12"/>
        <v>3500600</v>
      </c>
      <c r="L121" s="7">
        <f t="shared" si="9"/>
        <v>3500599.84</v>
      </c>
      <c r="M121" s="384">
        <f t="shared" si="10"/>
        <v>0.9999999542935496</v>
      </c>
      <c r="N121" s="549"/>
      <c r="O121" s="549"/>
      <c r="P121" s="549"/>
      <c r="Q121" s="549"/>
    </row>
    <row r="122" spans="1:17" s="743" customFormat="1" x14ac:dyDescent="0.25">
      <c r="A122" s="50"/>
      <c r="B122" s="49"/>
      <c r="C122" s="49"/>
      <c r="D122" s="377" t="s">
        <v>407</v>
      </c>
      <c r="E122" s="37"/>
      <c r="F122" s="37"/>
      <c r="G122" s="218"/>
      <c r="H122" s="7">
        <v>3500600</v>
      </c>
      <c r="I122" s="7">
        <v>3500599.84</v>
      </c>
      <c r="J122" s="218">
        <f>I122/H122</f>
        <v>0.9999999542935496</v>
      </c>
      <c r="K122" s="7">
        <f t="shared" si="12"/>
        <v>3500600</v>
      </c>
      <c r="L122" s="7">
        <f t="shared" si="9"/>
        <v>3500599.84</v>
      </c>
      <c r="M122" s="384">
        <f t="shared" si="10"/>
        <v>0.9999999542935496</v>
      </c>
      <c r="N122" s="742"/>
      <c r="O122" s="742"/>
      <c r="P122" s="742"/>
      <c r="Q122" s="742"/>
    </row>
    <row r="123" spans="1:17" ht="78.75" x14ac:dyDescent="0.25">
      <c r="A123" s="50" t="s">
        <v>532</v>
      </c>
      <c r="B123" s="49" t="s">
        <v>533</v>
      </c>
      <c r="C123" s="49" t="s">
        <v>55</v>
      </c>
      <c r="D123" s="378" t="s">
        <v>531</v>
      </c>
      <c r="E123" s="37">
        <f>E124</f>
        <v>4055400</v>
      </c>
      <c r="F123" s="37">
        <f>F124</f>
        <v>4003328.35</v>
      </c>
      <c r="G123" s="218">
        <f t="shared" si="1"/>
        <v>0.98715992257237262</v>
      </c>
      <c r="H123" s="7"/>
      <c r="I123" s="7"/>
      <c r="J123" s="218"/>
      <c r="K123" s="7">
        <f t="shared" si="12"/>
        <v>4055400</v>
      </c>
      <c r="L123" s="7">
        <f t="shared" si="9"/>
        <v>4003328.35</v>
      </c>
      <c r="M123" s="384">
        <f t="shared" si="10"/>
        <v>0.98715992257237262</v>
      </c>
      <c r="N123" s="549"/>
      <c r="O123" s="549"/>
      <c r="P123" s="549"/>
      <c r="Q123" s="549"/>
    </row>
    <row r="124" spans="1:17" x14ac:dyDescent="0.25">
      <c r="A124" s="50"/>
      <c r="B124" s="49"/>
      <c r="C124" s="49"/>
      <c r="D124" s="377" t="s">
        <v>407</v>
      </c>
      <c r="E124" s="37">
        <v>4055400</v>
      </c>
      <c r="F124" s="37">
        <v>4003328.35</v>
      </c>
      <c r="G124" s="218">
        <f t="shared" si="1"/>
        <v>0.98715992257237262</v>
      </c>
      <c r="H124" s="7"/>
      <c r="I124" s="7"/>
      <c r="J124" s="218"/>
      <c r="K124" s="7">
        <f t="shared" si="12"/>
        <v>4055400</v>
      </c>
      <c r="L124" s="7">
        <f t="shared" si="9"/>
        <v>4003328.35</v>
      </c>
      <c r="M124" s="384">
        <f t="shared" si="10"/>
        <v>0.98715992257237262</v>
      </c>
      <c r="N124" s="549"/>
      <c r="O124" s="549"/>
      <c r="P124" s="549"/>
      <c r="Q124" s="549"/>
    </row>
    <row r="125" spans="1:17" x14ac:dyDescent="0.25">
      <c r="A125" s="50"/>
      <c r="B125" s="49"/>
      <c r="C125" s="49"/>
      <c r="D125" s="378" t="s">
        <v>408</v>
      </c>
      <c r="E125" s="37">
        <v>4055400</v>
      </c>
      <c r="F125" s="37">
        <v>4003328.35</v>
      </c>
      <c r="G125" s="218">
        <f t="shared" si="1"/>
        <v>0.98715992257237262</v>
      </c>
      <c r="H125" s="7"/>
      <c r="I125" s="7"/>
      <c r="J125" s="218"/>
      <c r="K125" s="7">
        <f t="shared" si="12"/>
        <v>4055400</v>
      </c>
      <c r="L125" s="7">
        <f t="shared" si="9"/>
        <v>4003328.35</v>
      </c>
      <c r="M125" s="384">
        <f t="shared" si="10"/>
        <v>0.98715992257237262</v>
      </c>
      <c r="N125" s="549"/>
      <c r="O125" s="549"/>
      <c r="P125" s="549"/>
      <c r="Q125" s="549"/>
    </row>
    <row r="126" spans="1:17" ht="94.5" x14ac:dyDescent="0.25">
      <c r="A126" s="50" t="s">
        <v>685</v>
      </c>
      <c r="B126" s="49" t="s">
        <v>686</v>
      </c>
      <c r="C126" s="49" t="s">
        <v>55</v>
      </c>
      <c r="D126" s="378" t="s">
        <v>687</v>
      </c>
      <c r="E126" s="37"/>
      <c r="F126" s="37"/>
      <c r="G126" s="218"/>
      <c r="H126" s="7">
        <f>H127</f>
        <v>690400</v>
      </c>
      <c r="I126" s="7">
        <f>I127</f>
        <v>146276.60999999999</v>
      </c>
      <c r="J126" s="218">
        <f t="shared" ref="J126" si="13">I126/H126</f>
        <v>0.21187226245654692</v>
      </c>
      <c r="K126" s="7">
        <f t="shared" si="12"/>
        <v>690400</v>
      </c>
      <c r="L126" s="7">
        <f t="shared" si="9"/>
        <v>146276.60999999999</v>
      </c>
      <c r="M126" s="384">
        <f t="shared" si="10"/>
        <v>0.21187226245654692</v>
      </c>
      <c r="N126" s="549"/>
      <c r="O126" s="549"/>
      <c r="P126" s="549"/>
      <c r="Q126" s="549"/>
    </row>
    <row r="127" spans="1:17" x14ac:dyDescent="0.25">
      <c r="A127" s="50"/>
      <c r="B127" s="49"/>
      <c r="C127" s="49"/>
      <c r="D127" s="377" t="s">
        <v>407</v>
      </c>
      <c r="E127" s="37"/>
      <c r="F127" s="37"/>
      <c r="G127" s="218"/>
      <c r="H127" s="7">
        <v>690400</v>
      </c>
      <c r="I127" s="7">
        <v>146276.60999999999</v>
      </c>
      <c r="J127" s="218">
        <f t="shared" ref="J127" si="14">I127/H127</f>
        <v>0.21187226245654692</v>
      </c>
      <c r="K127" s="7">
        <f t="shared" si="12"/>
        <v>690400</v>
      </c>
      <c r="L127" s="7">
        <f t="shared" si="9"/>
        <v>146276.60999999999</v>
      </c>
      <c r="M127" s="384">
        <f t="shared" si="10"/>
        <v>0.21187226245654692</v>
      </c>
      <c r="N127" s="549"/>
      <c r="O127" s="549"/>
      <c r="P127" s="549"/>
      <c r="Q127" s="549"/>
    </row>
    <row r="128" spans="1:17" ht="94.5" x14ac:dyDescent="0.25">
      <c r="A128" s="50" t="s">
        <v>536</v>
      </c>
      <c r="B128" s="49" t="s">
        <v>535</v>
      </c>
      <c r="C128" s="49" t="s">
        <v>65</v>
      </c>
      <c r="D128" s="378" t="s">
        <v>534</v>
      </c>
      <c r="E128" s="37">
        <f>E129</f>
        <v>1078000</v>
      </c>
      <c r="F128" s="37">
        <f>F129</f>
        <v>1077820</v>
      </c>
      <c r="G128" s="218">
        <f t="shared" si="1"/>
        <v>0.99983302411873842</v>
      </c>
      <c r="H128" s="7"/>
      <c r="I128" s="7"/>
      <c r="J128" s="218"/>
      <c r="K128" s="7">
        <f t="shared" si="12"/>
        <v>1078000</v>
      </c>
      <c r="L128" s="7">
        <f t="shared" si="9"/>
        <v>1077820</v>
      </c>
      <c r="M128" s="384">
        <f t="shared" si="10"/>
        <v>0.99983302411873842</v>
      </c>
      <c r="N128" s="549"/>
      <c r="O128" s="549"/>
      <c r="P128" s="549"/>
      <c r="Q128" s="549"/>
    </row>
    <row r="129" spans="1:17" x14ac:dyDescent="0.25">
      <c r="A129" s="50"/>
      <c r="B129" s="49"/>
      <c r="C129" s="49"/>
      <c r="D129" s="377" t="s">
        <v>407</v>
      </c>
      <c r="E129" s="37">
        <v>1078000</v>
      </c>
      <c r="F129" s="37">
        <v>1077820</v>
      </c>
      <c r="G129" s="218">
        <f t="shared" si="1"/>
        <v>0.99983302411873842</v>
      </c>
      <c r="H129" s="7"/>
      <c r="I129" s="7"/>
      <c r="J129" s="218"/>
      <c r="K129" s="7">
        <f t="shared" si="12"/>
        <v>1078000</v>
      </c>
      <c r="L129" s="7">
        <f t="shared" si="9"/>
        <v>1077820</v>
      </c>
      <c r="M129" s="384">
        <f t="shared" si="10"/>
        <v>0.99983302411873842</v>
      </c>
      <c r="N129" s="549"/>
      <c r="O129" s="549"/>
      <c r="P129" s="549"/>
      <c r="Q129" s="549"/>
    </row>
    <row r="130" spans="1:17" x14ac:dyDescent="0.25">
      <c r="A130" s="50"/>
      <c r="B130" s="49"/>
      <c r="C130" s="49"/>
      <c r="D130" s="378" t="s">
        <v>408</v>
      </c>
      <c r="E130" s="37">
        <v>400566</v>
      </c>
      <c r="F130" s="37">
        <v>400565</v>
      </c>
      <c r="G130" s="218">
        <f t="shared" si="1"/>
        <v>0.9999975035325015</v>
      </c>
      <c r="H130" s="7"/>
      <c r="I130" s="7"/>
      <c r="J130" s="218"/>
      <c r="K130" s="7">
        <f t="shared" si="12"/>
        <v>400566</v>
      </c>
      <c r="L130" s="7">
        <f t="shared" si="9"/>
        <v>400565</v>
      </c>
      <c r="M130" s="384">
        <f t="shared" si="10"/>
        <v>0.9999975035325015</v>
      </c>
      <c r="N130" s="549"/>
      <c r="O130" s="549"/>
      <c r="P130" s="549"/>
      <c r="Q130" s="549"/>
    </row>
    <row r="131" spans="1:17" ht="31.5" x14ac:dyDescent="0.25">
      <c r="A131" s="50"/>
      <c r="B131" s="49"/>
      <c r="C131" s="49"/>
      <c r="D131" s="378" t="s">
        <v>409</v>
      </c>
      <c r="E131" s="37">
        <v>13441</v>
      </c>
      <c r="F131" s="37">
        <v>13262</v>
      </c>
      <c r="G131" s="218">
        <f t="shared" si="1"/>
        <v>0.98668253850159959</v>
      </c>
      <c r="H131" s="7"/>
      <c r="I131" s="7"/>
      <c r="J131" s="219"/>
      <c r="K131" s="7">
        <f>E131+H131</f>
        <v>13441</v>
      </c>
      <c r="L131" s="7">
        <f t="shared" si="9"/>
        <v>13262</v>
      </c>
      <c r="M131" s="384">
        <f t="shared" si="10"/>
        <v>0.98668253850159959</v>
      </c>
      <c r="N131" s="549"/>
      <c r="O131" s="549"/>
      <c r="P131" s="549"/>
      <c r="Q131" s="549"/>
    </row>
    <row r="132" spans="1:17" s="732" customFormat="1" ht="47.25" x14ac:dyDescent="0.25">
      <c r="A132" s="942" t="s">
        <v>625</v>
      </c>
      <c r="B132" s="58" t="s">
        <v>627</v>
      </c>
      <c r="C132" s="58" t="s">
        <v>197</v>
      </c>
      <c r="D132" s="378" t="s">
        <v>626</v>
      </c>
      <c r="E132" s="713"/>
      <c r="F132" s="713"/>
      <c r="G132" s="714"/>
      <c r="H132" s="715">
        <f>H133</f>
        <v>2000000</v>
      </c>
      <c r="I132" s="715">
        <f>I133</f>
        <v>2000000</v>
      </c>
      <c r="J132" s="714">
        <f t="shared" si="7"/>
        <v>1</v>
      </c>
      <c r="K132" s="715">
        <f t="shared" ref="K132:K134" si="15">E132+H132</f>
        <v>2000000</v>
      </c>
      <c r="L132" s="715">
        <f t="shared" si="9"/>
        <v>2000000</v>
      </c>
      <c r="M132" s="943">
        <f t="shared" si="10"/>
        <v>1</v>
      </c>
      <c r="N132" s="731"/>
      <c r="O132" s="731"/>
      <c r="P132" s="731"/>
      <c r="Q132" s="731"/>
    </row>
    <row r="133" spans="1:17" s="732" customFormat="1" x14ac:dyDescent="0.25">
      <c r="A133" s="942"/>
      <c r="B133" s="58"/>
      <c r="C133" s="58"/>
      <c r="D133" s="377" t="s">
        <v>410</v>
      </c>
      <c r="E133" s="713"/>
      <c r="F133" s="713"/>
      <c r="G133" s="714"/>
      <c r="H133" s="715">
        <f>H134</f>
        <v>2000000</v>
      </c>
      <c r="I133" s="715">
        <f>I134</f>
        <v>2000000</v>
      </c>
      <c r="J133" s="714">
        <f t="shared" si="7"/>
        <v>1</v>
      </c>
      <c r="K133" s="715">
        <f t="shared" si="15"/>
        <v>2000000</v>
      </c>
      <c r="L133" s="715">
        <f t="shared" si="9"/>
        <v>2000000</v>
      </c>
      <c r="M133" s="943">
        <f t="shared" si="10"/>
        <v>1</v>
      </c>
      <c r="N133" s="731"/>
      <c r="O133" s="731"/>
      <c r="P133" s="731"/>
      <c r="Q133" s="731"/>
    </row>
    <row r="134" spans="1:17" s="732" customFormat="1" ht="16.5" thickBot="1" x14ac:dyDescent="0.3">
      <c r="A134" s="944"/>
      <c r="B134" s="725"/>
      <c r="C134" s="725"/>
      <c r="D134" s="380" t="s">
        <v>411</v>
      </c>
      <c r="E134" s="726"/>
      <c r="F134" s="726"/>
      <c r="G134" s="727"/>
      <c r="H134" s="728">
        <v>2000000</v>
      </c>
      <c r="I134" s="729">
        <v>2000000</v>
      </c>
      <c r="J134" s="730">
        <f t="shared" si="7"/>
        <v>1</v>
      </c>
      <c r="K134" s="715">
        <f t="shared" si="15"/>
        <v>2000000</v>
      </c>
      <c r="L134" s="715">
        <f t="shared" si="9"/>
        <v>2000000</v>
      </c>
      <c r="M134" s="943">
        <f t="shared" si="10"/>
        <v>1</v>
      </c>
      <c r="N134" s="731"/>
      <c r="O134" s="731"/>
      <c r="P134" s="731"/>
      <c r="Q134" s="731"/>
    </row>
    <row r="135" spans="1:17" ht="48" thickBot="1" x14ac:dyDescent="0.3">
      <c r="A135" s="32" t="s">
        <v>66</v>
      </c>
      <c r="B135" s="33" t="s">
        <v>14</v>
      </c>
      <c r="C135" s="33" t="s">
        <v>14</v>
      </c>
      <c r="D135" s="34" t="s">
        <v>445</v>
      </c>
      <c r="E135" s="51">
        <f>E136</f>
        <v>65759305</v>
      </c>
      <c r="F135" s="51">
        <f>F136</f>
        <v>41605944.370000005</v>
      </c>
      <c r="G135" s="216">
        <f t="shared" si="1"/>
        <v>0.63270048809062085</v>
      </c>
      <c r="H135" s="51">
        <f>H136</f>
        <v>407800</v>
      </c>
      <c r="I135" s="51">
        <f>I136</f>
        <v>1069449.4300000002</v>
      </c>
      <c r="J135" s="216">
        <f t="shared" si="7"/>
        <v>2.6224851152525752</v>
      </c>
      <c r="K135" s="214">
        <f>K136</f>
        <v>66167105</v>
      </c>
      <c r="L135" s="214">
        <f>L136</f>
        <v>42675393.799999997</v>
      </c>
      <c r="M135" s="224">
        <f t="shared" si="10"/>
        <v>0.64496389557923073</v>
      </c>
      <c r="N135" s="549"/>
      <c r="O135" s="549"/>
      <c r="P135" s="549"/>
      <c r="Q135" s="549"/>
    </row>
    <row r="136" spans="1:17" ht="47.25" x14ac:dyDescent="0.25">
      <c r="A136" s="45" t="s">
        <v>67</v>
      </c>
      <c r="B136" s="46" t="s">
        <v>14</v>
      </c>
      <c r="C136" s="46" t="s">
        <v>14</v>
      </c>
      <c r="D136" s="47" t="s">
        <v>445</v>
      </c>
      <c r="E136" s="40">
        <f>E137+E141+E143+E145+E147+E153+E155+E160+E166+E157+E170</f>
        <v>65759305</v>
      </c>
      <c r="F136" s="40">
        <f>F137+F141+F143+F145+F147+F153+F155+F160+F166+F170</f>
        <v>41605944.370000005</v>
      </c>
      <c r="G136" s="217">
        <f t="shared" si="1"/>
        <v>0.63270048809062085</v>
      </c>
      <c r="H136" s="40">
        <f>H137+H141+H143+H145+H147+H153+H155+H160+H166</f>
        <v>407800</v>
      </c>
      <c r="I136" s="40">
        <f>I137+I141+I143+I145+I147+I153+I155+I160+I166</f>
        <v>1069449.4300000002</v>
      </c>
      <c r="J136" s="217">
        <f t="shared" si="7"/>
        <v>2.6224851152525752</v>
      </c>
      <c r="K136" s="215">
        <f>K137+K141+K143+K145+K147+K153+K155+K160+K166+K157+K170</f>
        <v>66167105</v>
      </c>
      <c r="L136" s="215">
        <f>L137+L141+L143+L145+L147+L153+L155+L160+L166+L157+L170</f>
        <v>42675393.799999997</v>
      </c>
      <c r="M136" s="386">
        <f t="shared" si="10"/>
        <v>0.64496389557923073</v>
      </c>
      <c r="N136" s="549"/>
      <c r="O136" s="549"/>
      <c r="P136" s="549"/>
      <c r="Q136" s="549"/>
    </row>
    <row r="137" spans="1:17" ht="47.25" x14ac:dyDescent="0.25">
      <c r="A137" s="940" t="s">
        <v>162</v>
      </c>
      <c r="B137" s="941" t="s">
        <v>42</v>
      </c>
      <c r="C137" s="941" t="s">
        <v>16</v>
      </c>
      <c r="D137" s="24" t="s">
        <v>156</v>
      </c>
      <c r="E137" s="37">
        <f>E138</f>
        <v>9573438</v>
      </c>
      <c r="F137" s="37">
        <f>F138</f>
        <v>7151291.6600000001</v>
      </c>
      <c r="G137" s="218">
        <f t="shared" si="1"/>
        <v>0.74699305098126711</v>
      </c>
      <c r="H137" s="7"/>
      <c r="I137" s="7"/>
      <c r="J137" s="217"/>
      <c r="K137" s="201">
        <f>E137+H137</f>
        <v>9573438</v>
      </c>
      <c r="L137" s="201">
        <f>F137+I137</f>
        <v>7151291.6600000001</v>
      </c>
      <c r="M137" s="385">
        <f t="shared" si="10"/>
        <v>0.74699305098126711</v>
      </c>
      <c r="N137" s="549"/>
      <c r="O137" s="549"/>
      <c r="P137" s="549"/>
      <c r="Q137" s="549"/>
    </row>
    <row r="138" spans="1:17" x14ac:dyDescent="0.25">
      <c r="A138" s="940"/>
      <c r="B138" s="941"/>
      <c r="C138" s="941"/>
      <c r="D138" s="377" t="s">
        <v>407</v>
      </c>
      <c r="E138" s="37">
        <v>9573438</v>
      </c>
      <c r="F138" s="37">
        <v>7151291.6600000001</v>
      </c>
      <c r="G138" s="218">
        <f t="shared" si="1"/>
        <v>0.74699305098126711</v>
      </c>
      <c r="H138" s="7"/>
      <c r="I138" s="7"/>
      <c r="J138" s="217"/>
      <c r="K138" s="201">
        <f t="shared" ref="K138:K171" si="16">E138+H138</f>
        <v>9573438</v>
      </c>
      <c r="L138" s="201">
        <f t="shared" ref="L138:L171" si="17">F138+I138</f>
        <v>7151291.6600000001</v>
      </c>
      <c r="M138" s="385">
        <f t="shared" si="10"/>
        <v>0.74699305098126711</v>
      </c>
      <c r="N138" s="549"/>
      <c r="O138" s="549"/>
      <c r="P138" s="549"/>
      <c r="Q138" s="549"/>
    </row>
    <row r="139" spans="1:17" x14ac:dyDescent="0.25">
      <c r="A139" s="940"/>
      <c r="B139" s="941"/>
      <c r="C139" s="941"/>
      <c r="D139" s="378" t="s">
        <v>408</v>
      </c>
      <c r="E139" s="37">
        <v>9042650</v>
      </c>
      <c r="F139" s="37">
        <v>6823206.5099999998</v>
      </c>
      <c r="G139" s="218">
        <f t="shared" si="1"/>
        <v>0.7545582887759672</v>
      </c>
      <c r="H139" s="7"/>
      <c r="I139" s="7"/>
      <c r="J139" s="217"/>
      <c r="K139" s="201">
        <f t="shared" si="16"/>
        <v>9042650</v>
      </c>
      <c r="L139" s="201">
        <f t="shared" si="17"/>
        <v>6823206.5099999998</v>
      </c>
      <c r="M139" s="385">
        <f t="shared" si="10"/>
        <v>0.7545582887759672</v>
      </c>
      <c r="N139" s="549"/>
      <c r="O139" s="549"/>
      <c r="P139" s="549"/>
      <c r="Q139" s="549"/>
    </row>
    <row r="140" spans="1:17" ht="31.5" x14ac:dyDescent="0.25">
      <c r="A140" s="940"/>
      <c r="B140" s="941"/>
      <c r="C140" s="941"/>
      <c r="D140" s="378" t="s">
        <v>409</v>
      </c>
      <c r="E140" s="37">
        <v>199920</v>
      </c>
      <c r="F140" s="37">
        <v>129048.13</v>
      </c>
      <c r="G140" s="218">
        <f t="shared" si="1"/>
        <v>0.64549884953981596</v>
      </c>
      <c r="H140" s="7"/>
      <c r="I140" s="7"/>
      <c r="J140" s="217"/>
      <c r="K140" s="201">
        <f t="shared" si="16"/>
        <v>199920</v>
      </c>
      <c r="L140" s="201">
        <f t="shared" si="17"/>
        <v>129048.13</v>
      </c>
      <c r="M140" s="385">
        <f t="shared" si="10"/>
        <v>0.64549884953981596</v>
      </c>
      <c r="N140" s="549"/>
      <c r="O140" s="549"/>
      <c r="P140" s="549"/>
      <c r="Q140" s="549"/>
    </row>
    <row r="141" spans="1:17" ht="31.5" x14ac:dyDescent="0.25">
      <c r="A141" s="940" t="s">
        <v>69</v>
      </c>
      <c r="B141" s="941" t="s">
        <v>70</v>
      </c>
      <c r="C141" s="941" t="s">
        <v>52</v>
      </c>
      <c r="D141" s="24" t="s">
        <v>71</v>
      </c>
      <c r="E141" s="37">
        <f>E142</f>
        <v>3619</v>
      </c>
      <c r="F141" s="37">
        <f>F142</f>
        <v>3190.74</v>
      </c>
      <c r="G141" s="218">
        <f t="shared" si="1"/>
        <v>0.88166344294003862</v>
      </c>
      <c r="H141" s="7">
        <v>0</v>
      </c>
      <c r="I141" s="7">
        <v>0</v>
      </c>
      <c r="J141" s="217"/>
      <c r="K141" s="201">
        <f t="shared" si="16"/>
        <v>3619</v>
      </c>
      <c r="L141" s="201">
        <f t="shared" si="17"/>
        <v>3190.74</v>
      </c>
      <c r="M141" s="385">
        <f t="shared" si="10"/>
        <v>0.88166344294003862</v>
      </c>
      <c r="N141" s="549"/>
      <c r="O141" s="549"/>
      <c r="P141" s="549"/>
      <c r="Q141" s="549"/>
    </row>
    <row r="142" spans="1:17" x14ac:dyDescent="0.25">
      <c r="A142" s="940"/>
      <c r="B142" s="941"/>
      <c r="C142" s="941"/>
      <c r="D142" s="377" t="s">
        <v>407</v>
      </c>
      <c r="E142" s="37">
        <v>3619</v>
      </c>
      <c r="F142" s="37">
        <v>3190.74</v>
      </c>
      <c r="G142" s="218">
        <f t="shared" si="1"/>
        <v>0.88166344294003862</v>
      </c>
      <c r="H142" s="7"/>
      <c r="I142" s="7"/>
      <c r="J142" s="217"/>
      <c r="K142" s="201">
        <f t="shared" si="16"/>
        <v>3619</v>
      </c>
      <c r="L142" s="201">
        <f t="shared" si="17"/>
        <v>3190.74</v>
      </c>
      <c r="M142" s="385">
        <f t="shared" si="10"/>
        <v>0.88166344294003862</v>
      </c>
      <c r="N142" s="549"/>
      <c r="O142" s="549"/>
      <c r="P142" s="549"/>
      <c r="Q142" s="549"/>
    </row>
    <row r="143" spans="1:17" ht="47.25" x14ac:dyDescent="0.25">
      <c r="A143" s="940">
        <v>813050</v>
      </c>
      <c r="B143" s="941">
        <v>3050</v>
      </c>
      <c r="C143" s="941">
        <v>1070</v>
      </c>
      <c r="D143" s="24" t="s">
        <v>225</v>
      </c>
      <c r="E143" s="37">
        <f>E144</f>
        <v>57773</v>
      </c>
      <c r="F143" s="37">
        <f>F144</f>
        <v>38341.85</v>
      </c>
      <c r="G143" s="218">
        <f t="shared" si="1"/>
        <v>0.66366382220068199</v>
      </c>
      <c r="H143" s="7">
        <v>0</v>
      </c>
      <c r="I143" s="7">
        <v>0</v>
      </c>
      <c r="J143" s="217"/>
      <c r="K143" s="201">
        <f t="shared" si="16"/>
        <v>57773</v>
      </c>
      <c r="L143" s="201">
        <f t="shared" si="17"/>
        <v>38341.85</v>
      </c>
      <c r="M143" s="385">
        <f t="shared" si="10"/>
        <v>0.66366382220068199</v>
      </c>
      <c r="N143" s="549"/>
      <c r="O143" s="549"/>
      <c r="P143" s="549"/>
      <c r="Q143" s="549"/>
    </row>
    <row r="144" spans="1:17" x14ac:dyDescent="0.25">
      <c r="A144" s="945"/>
      <c r="B144" s="747"/>
      <c r="C144" s="747"/>
      <c r="D144" s="377" t="s">
        <v>407</v>
      </c>
      <c r="E144" s="37">
        <v>57773</v>
      </c>
      <c r="F144" s="37">
        <v>38341.85</v>
      </c>
      <c r="G144" s="218">
        <f t="shared" si="1"/>
        <v>0.66366382220068199</v>
      </c>
      <c r="H144" s="7"/>
      <c r="I144" s="7"/>
      <c r="J144" s="217"/>
      <c r="K144" s="201">
        <f t="shared" si="16"/>
        <v>57773</v>
      </c>
      <c r="L144" s="201">
        <f t="shared" si="17"/>
        <v>38341.85</v>
      </c>
      <c r="M144" s="385">
        <f t="shared" si="10"/>
        <v>0.66366382220068199</v>
      </c>
      <c r="N144" s="549"/>
      <c r="O144" s="549"/>
      <c r="P144" s="549"/>
      <c r="Q144" s="549"/>
    </row>
    <row r="145" spans="1:17" ht="47.25" x14ac:dyDescent="0.25">
      <c r="A145" s="50" t="s">
        <v>226</v>
      </c>
      <c r="B145" s="49" t="s">
        <v>227</v>
      </c>
      <c r="C145" s="941">
        <v>1030</v>
      </c>
      <c r="D145" s="24" t="s">
        <v>228</v>
      </c>
      <c r="E145" s="37">
        <f>E146</f>
        <v>164690</v>
      </c>
      <c r="F145" s="37">
        <f>F146</f>
        <v>36075</v>
      </c>
      <c r="G145" s="218">
        <f t="shared" si="1"/>
        <v>0.219047908191147</v>
      </c>
      <c r="H145" s="7">
        <v>0</v>
      </c>
      <c r="I145" s="7">
        <v>0</v>
      </c>
      <c r="J145" s="217"/>
      <c r="K145" s="201">
        <f t="shared" si="16"/>
        <v>164690</v>
      </c>
      <c r="L145" s="201">
        <f t="shared" si="17"/>
        <v>36075</v>
      </c>
      <c r="M145" s="385">
        <f t="shared" si="10"/>
        <v>0.219047908191147</v>
      </c>
      <c r="N145" s="549"/>
      <c r="O145" s="549"/>
      <c r="P145" s="549"/>
      <c r="Q145" s="549"/>
    </row>
    <row r="146" spans="1:17" x14ac:dyDescent="0.25">
      <c r="A146" s="50"/>
      <c r="B146" s="49"/>
      <c r="C146" s="941"/>
      <c r="D146" s="377" t="s">
        <v>407</v>
      </c>
      <c r="E146" s="37">
        <v>164690</v>
      </c>
      <c r="F146" s="37">
        <v>36075</v>
      </c>
      <c r="G146" s="218">
        <f t="shared" si="1"/>
        <v>0.219047908191147</v>
      </c>
      <c r="H146" s="7"/>
      <c r="I146" s="7"/>
      <c r="J146" s="217"/>
      <c r="K146" s="201">
        <f t="shared" si="16"/>
        <v>164690</v>
      </c>
      <c r="L146" s="201">
        <f t="shared" si="17"/>
        <v>36075</v>
      </c>
      <c r="M146" s="385">
        <f t="shared" si="10"/>
        <v>0.219047908191147</v>
      </c>
      <c r="N146" s="549"/>
      <c r="O146" s="549"/>
      <c r="P146" s="549"/>
      <c r="Q146" s="549"/>
    </row>
    <row r="147" spans="1:17" s="734" customFormat="1" ht="31.5" x14ac:dyDescent="0.25">
      <c r="A147" s="50" t="s">
        <v>163</v>
      </c>
      <c r="B147" s="49" t="s">
        <v>164</v>
      </c>
      <c r="C147" s="49" t="s">
        <v>44</v>
      </c>
      <c r="D147" s="381" t="s">
        <v>165</v>
      </c>
      <c r="E147" s="37">
        <f>E148</f>
        <v>4149706</v>
      </c>
      <c r="F147" s="37">
        <f>F148</f>
        <v>2948197.27</v>
      </c>
      <c r="G147" s="218">
        <f t="shared" si="1"/>
        <v>0.71045931205728796</v>
      </c>
      <c r="H147" s="7">
        <f>H151</f>
        <v>312000</v>
      </c>
      <c r="I147" s="7">
        <f>I151+I148</f>
        <v>172275.62</v>
      </c>
      <c r="J147" s="217">
        <f t="shared" si="7"/>
        <v>0.5521654487179487</v>
      </c>
      <c r="K147" s="201">
        <f t="shared" si="16"/>
        <v>4461706</v>
      </c>
      <c r="L147" s="201">
        <f>F147+I147</f>
        <v>3120472.89</v>
      </c>
      <c r="M147" s="385">
        <f t="shared" si="10"/>
        <v>0.69939007411066534</v>
      </c>
      <c r="N147" s="733"/>
      <c r="O147" s="733"/>
      <c r="P147" s="733"/>
      <c r="Q147" s="733"/>
    </row>
    <row r="148" spans="1:17" s="734" customFormat="1" x14ac:dyDescent="0.25">
      <c r="A148" s="50"/>
      <c r="B148" s="49"/>
      <c r="C148" s="49"/>
      <c r="D148" s="547" t="s">
        <v>407</v>
      </c>
      <c r="E148" s="37">
        <v>4149706</v>
      </c>
      <c r="F148" s="37">
        <v>2948197.27</v>
      </c>
      <c r="G148" s="218">
        <f t="shared" si="1"/>
        <v>0.71045931205728796</v>
      </c>
      <c r="H148" s="7"/>
      <c r="I148" s="7">
        <v>172275.62</v>
      </c>
      <c r="J148" s="217"/>
      <c r="K148" s="201">
        <f t="shared" si="16"/>
        <v>4149706</v>
      </c>
      <c r="L148" s="201">
        <f>F148+I148</f>
        <v>3120472.89</v>
      </c>
      <c r="M148" s="385">
        <f t="shared" si="10"/>
        <v>0.75197445072012337</v>
      </c>
      <c r="N148" s="733"/>
      <c r="O148" s="733"/>
      <c r="P148" s="733"/>
      <c r="Q148" s="733"/>
    </row>
    <row r="149" spans="1:17" s="734" customFormat="1" x14ac:dyDescent="0.25">
      <c r="A149" s="50"/>
      <c r="B149" s="49"/>
      <c r="C149" s="49"/>
      <c r="D149" s="381" t="s">
        <v>408</v>
      </c>
      <c r="E149" s="37">
        <v>3827351</v>
      </c>
      <c r="F149" s="37">
        <v>2745068.44</v>
      </c>
      <c r="G149" s="218">
        <f t="shared" si="1"/>
        <v>0.71722411662792362</v>
      </c>
      <c r="H149" s="7"/>
      <c r="I149" s="7"/>
      <c r="J149" s="217"/>
      <c r="K149" s="201">
        <f t="shared" si="16"/>
        <v>3827351</v>
      </c>
      <c r="L149" s="201">
        <f t="shared" si="17"/>
        <v>2745068.44</v>
      </c>
      <c r="M149" s="385">
        <f t="shared" si="10"/>
        <v>0.71722411662792362</v>
      </c>
      <c r="N149" s="733"/>
      <c r="O149" s="733"/>
      <c r="P149" s="733"/>
      <c r="Q149" s="733"/>
    </row>
    <row r="150" spans="1:17" s="734" customFormat="1" ht="31.5" x14ac:dyDescent="0.25">
      <c r="A150" s="50"/>
      <c r="B150" s="49"/>
      <c r="C150" s="49"/>
      <c r="D150" s="381" t="s">
        <v>409</v>
      </c>
      <c r="E150" s="37">
        <v>92250</v>
      </c>
      <c r="F150" s="37">
        <v>54446.63</v>
      </c>
      <c r="G150" s="218">
        <f t="shared" si="1"/>
        <v>0.5902073712737127</v>
      </c>
      <c r="H150" s="7"/>
      <c r="I150" s="7"/>
      <c r="J150" s="217"/>
      <c r="K150" s="201">
        <f t="shared" si="16"/>
        <v>92250</v>
      </c>
      <c r="L150" s="201">
        <f t="shared" si="17"/>
        <v>54446.63</v>
      </c>
      <c r="M150" s="385">
        <f t="shared" si="10"/>
        <v>0.5902073712737127</v>
      </c>
      <c r="N150" s="733"/>
      <c r="O150" s="733"/>
      <c r="P150" s="733"/>
      <c r="Q150" s="733"/>
    </row>
    <row r="151" spans="1:17" s="734" customFormat="1" x14ac:dyDescent="0.25">
      <c r="A151" s="50"/>
      <c r="B151" s="49"/>
      <c r="C151" s="49"/>
      <c r="D151" s="547" t="s">
        <v>410</v>
      </c>
      <c r="E151" s="37"/>
      <c r="F151" s="37"/>
      <c r="G151" s="218"/>
      <c r="H151" s="7">
        <f>H152</f>
        <v>312000</v>
      </c>
      <c r="I151" s="7"/>
      <c r="J151" s="217">
        <f t="shared" si="7"/>
        <v>0</v>
      </c>
      <c r="K151" s="201">
        <f t="shared" si="16"/>
        <v>312000</v>
      </c>
      <c r="L151" s="201">
        <f>F151+I151</f>
        <v>0</v>
      </c>
      <c r="M151" s="385">
        <f t="shared" si="10"/>
        <v>0</v>
      </c>
      <c r="N151" s="733"/>
      <c r="O151" s="733"/>
      <c r="P151" s="733"/>
      <c r="Q151" s="733"/>
    </row>
    <row r="152" spans="1:17" s="734" customFormat="1" x14ac:dyDescent="0.25">
      <c r="A152" s="50"/>
      <c r="B152" s="49"/>
      <c r="C152" s="49"/>
      <c r="D152" s="381" t="s">
        <v>411</v>
      </c>
      <c r="E152" s="37"/>
      <c r="F152" s="37"/>
      <c r="G152" s="218"/>
      <c r="H152" s="7">
        <v>312000</v>
      </c>
      <c r="I152" s="7">
        <v>0</v>
      </c>
      <c r="J152" s="217">
        <f t="shared" si="7"/>
        <v>0</v>
      </c>
      <c r="K152" s="201">
        <f t="shared" si="16"/>
        <v>312000</v>
      </c>
      <c r="L152" s="201">
        <f t="shared" si="17"/>
        <v>0</v>
      </c>
      <c r="M152" s="385">
        <f t="shared" si="10"/>
        <v>0</v>
      </c>
      <c r="N152" s="733"/>
      <c r="O152" s="733"/>
      <c r="P152" s="733"/>
      <c r="Q152" s="733"/>
    </row>
    <row r="153" spans="1:17" ht="110.25" x14ac:dyDescent="0.25">
      <c r="A153" s="940" t="s">
        <v>166</v>
      </c>
      <c r="B153" s="941" t="s">
        <v>167</v>
      </c>
      <c r="C153" s="941" t="s">
        <v>44</v>
      </c>
      <c r="D153" s="24" t="s">
        <v>168</v>
      </c>
      <c r="E153" s="37">
        <f>E154</f>
        <v>175835</v>
      </c>
      <c r="F153" s="37">
        <f>F154</f>
        <v>126180.01</v>
      </c>
      <c r="G153" s="218">
        <f t="shared" si="1"/>
        <v>0.71760462934000624</v>
      </c>
      <c r="H153" s="7">
        <v>0</v>
      </c>
      <c r="I153" s="7">
        <v>0</v>
      </c>
      <c r="J153" s="218"/>
      <c r="K153" s="201">
        <f t="shared" si="16"/>
        <v>175835</v>
      </c>
      <c r="L153" s="201">
        <f t="shared" si="17"/>
        <v>126180.01</v>
      </c>
      <c r="M153" s="385">
        <f t="shared" si="10"/>
        <v>0.71760462934000624</v>
      </c>
      <c r="N153" s="549"/>
      <c r="O153" s="549"/>
      <c r="P153" s="549"/>
      <c r="Q153" s="549"/>
    </row>
    <row r="154" spans="1:17" x14ac:dyDescent="0.25">
      <c r="A154" s="940"/>
      <c r="B154" s="941"/>
      <c r="C154" s="941"/>
      <c r="D154" s="377" t="s">
        <v>407</v>
      </c>
      <c r="E154" s="37">
        <v>175835</v>
      </c>
      <c r="F154" s="37">
        <v>126180.01</v>
      </c>
      <c r="G154" s="218">
        <f t="shared" si="1"/>
        <v>0.71760462934000624</v>
      </c>
      <c r="H154" s="7"/>
      <c r="I154" s="7"/>
      <c r="J154" s="218"/>
      <c r="K154" s="201">
        <f t="shared" si="16"/>
        <v>175835</v>
      </c>
      <c r="L154" s="201">
        <f t="shared" si="17"/>
        <v>126180.01</v>
      </c>
      <c r="M154" s="385">
        <f t="shared" si="10"/>
        <v>0.71760462934000624</v>
      </c>
      <c r="N154" s="549"/>
      <c r="O154" s="549"/>
      <c r="P154" s="549"/>
      <c r="Q154" s="549"/>
    </row>
    <row r="155" spans="1:17" ht="79.5" customHeight="1" x14ac:dyDescent="0.25">
      <c r="A155" s="50" t="s">
        <v>229</v>
      </c>
      <c r="B155" s="49" t="s">
        <v>230</v>
      </c>
      <c r="C155" s="49" t="s">
        <v>44</v>
      </c>
      <c r="D155" s="382" t="s">
        <v>231</v>
      </c>
      <c r="E155" s="37">
        <f>E156</f>
        <v>17623</v>
      </c>
      <c r="F155" s="37">
        <f>F156</f>
        <v>6705.3</v>
      </c>
      <c r="G155" s="218">
        <f t="shared" si="1"/>
        <v>0.38048572887703569</v>
      </c>
      <c r="H155" s="7"/>
      <c r="I155" s="7">
        <v>0</v>
      </c>
      <c r="J155" s="218"/>
      <c r="K155" s="201">
        <f t="shared" si="16"/>
        <v>17623</v>
      </c>
      <c r="L155" s="201">
        <f t="shared" si="17"/>
        <v>6705.3</v>
      </c>
      <c r="M155" s="385">
        <f t="shared" si="10"/>
        <v>0.38048572887703569</v>
      </c>
      <c r="N155" s="549"/>
      <c r="O155" s="549"/>
      <c r="P155" s="549"/>
      <c r="Q155" s="549"/>
    </row>
    <row r="156" spans="1:17" ht="17.45" customHeight="1" x14ac:dyDescent="0.25">
      <c r="A156" s="50"/>
      <c r="B156" s="49"/>
      <c r="C156" s="49"/>
      <c r="D156" s="377" t="s">
        <v>407</v>
      </c>
      <c r="E156" s="37">
        <v>17623</v>
      </c>
      <c r="F156" s="37">
        <v>6705.3</v>
      </c>
      <c r="G156" s="218">
        <f t="shared" si="1"/>
        <v>0.38048572887703569</v>
      </c>
      <c r="H156" s="7"/>
      <c r="I156" s="7"/>
      <c r="J156" s="218"/>
      <c r="K156" s="201">
        <f t="shared" si="16"/>
        <v>17623</v>
      </c>
      <c r="L156" s="201">
        <f t="shared" si="17"/>
        <v>6705.3</v>
      </c>
      <c r="M156" s="385">
        <f t="shared" si="10"/>
        <v>0.38048572887703569</v>
      </c>
      <c r="N156" s="549"/>
      <c r="O156" s="549"/>
      <c r="P156" s="549"/>
      <c r="Q156" s="549"/>
    </row>
    <row r="157" spans="1:17" ht="93.75" customHeight="1" x14ac:dyDescent="0.25">
      <c r="A157" s="50" t="s">
        <v>538</v>
      </c>
      <c r="B157" s="49" t="s">
        <v>539</v>
      </c>
      <c r="C157" s="49" t="s">
        <v>68</v>
      </c>
      <c r="D157" s="378" t="s">
        <v>537</v>
      </c>
      <c r="E157" s="37">
        <f>E158</f>
        <v>295047</v>
      </c>
      <c r="F157" s="37">
        <f>F158</f>
        <v>0</v>
      </c>
      <c r="G157" s="218">
        <f t="shared" si="1"/>
        <v>0</v>
      </c>
      <c r="H157" s="7"/>
      <c r="I157" s="7"/>
      <c r="J157" s="218"/>
      <c r="K157" s="201">
        <f t="shared" si="16"/>
        <v>295047</v>
      </c>
      <c r="L157" s="201">
        <f t="shared" si="17"/>
        <v>0</v>
      </c>
      <c r="M157" s="385">
        <f t="shared" si="10"/>
        <v>0</v>
      </c>
      <c r="N157" s="549"/>
      <c r="O157" s="549"/>
      <c r="P157" s="549"/>
      <c r="Q157" s="549"/>
    </row>
    <row r="158" spans="1:17" ht="17.45" customHeight="1" x14ac:dyDescent="0.25">
      <c r="A158" s="50"/>
      <c r="B158" s="49"/>
      <c r="C158" s="49"/>
      <c r="D158" s="377" t="s">
        <v>407</v>
      </c>
      <c r="E158" s="37">
        <v>295047</v>
      </c>
      <c r="F158" s="37">
        <v>0</v>
      </c>
      <c r="G158" s="218">
        <f t="shared" si="1"/>
        <v>0</v>
      </c>
      <c r="H158" s="7"/>
      <c r="I158" s="7"/>
      <c r="J158" s="218"/>
      <c r="K158" s="201">
        <f t="shared" si="16"/>
        <v>295047</v>
      </c>
      <c r="L158" s="201">
        <f t="shared" si="17"/>
        <v>0</v>
      </c>
      <c r="M158" s="385">
        <f t="shared" si="10"/>
        <v>0</v>
      </c>
      <c r="N158" s="549"/>
      <c r="O158" s="549"/>
      <c r="P158" s="549"/>
      <c r="Q158" s="549"/>
    </row>
    <row r="159" spans="1:17" ht="17.45" customHeight="1" x14ac:dyDescent="0.25">
      <c r="A159" s="50"/>
      <c r="B159" s="49"/>
      <c r="C159" s="49"/>
      <c r="D159" s="378" t="s">
        <v>408</v>
      </c>
      <c r="E159" s="37">
        <v>295047</v>
      </c>
      <c r="F159" s="37">
        <v>0</v>
      </c>
      <c r="G159" s="218">
        <f t="shared" si="1"/>
        <v>0</v>
      </c>
      <c r="H159" s="7"/>
      <c r="I159" s="7"/>
      <c r="J159" s="218"/>
      <c r="K159" s="201">
        <f t="shared" si="16"/>
        <v>295047</v>
      </c>
      <c r="L159" s="201"/>
      <c r="M159" s="385">
        <f t="shared" si="10"/>
        <v>0</v>
      </c>
      <c r="N159" s="549"/>
      <c r="O159" s="549"/>
      <c r="P159" s="549"/>
      <c r="Q159" s="549"/>
    </row>
    <row r="160" spans="1:17" ht="63" x14ac:dyDescent="0.25">
      <c r="A160" s="940" t="s">
        <v>169</v>
      </c>
      <c r="B160" s="941" t="s">
        <v>170</v>
      </c>
      <c r="C160" s="941" t="s">
        <v>72</v>
      </c>
      <c r="D160" s="24" t="s">
        <v>540</v>
      </c>
      <c r="E160" s="37">
        <f>E161</f>
        <v>5550149</v>
      </c>
      <c r="F160" s="37">
        <f>F161</f>
        <v>4004683.54</v>
      </c>
      <c r="G160" s="218">
        <f t="shared" si="1"/>
        <v>0.72154523058750319</v>
      </c>
      <c r="H160" s="7">
        <f>H161+H164</f>
        <v>95800</v>
      </c>
      <c r="I160" s="7">
        <f>I161+I164</f>
        <v>46000</v>
      </c>
      <c r="J160" s="218">
        <f t="shared" si="7"/>
        <v>0.4801670146137787</v>
      </c>
      <c r="K160" s="201">
        <f t="shared" si="16"/>
        <v>5645949</v>
      </c>
      <c r="L160" s="201">
        <f t="shared" si="17"/>
        <v>4050683.54</v>
      </c>
      <c r="M160" s="385">
        <f t="shared" si="10"/>
        <v>0.71744954479751766</v>
      </c>
      <c r="N160" s="549"/>
      <c r="O160" s="549"/>
      <c r="P160" s="549"/>
      <c r="Q160" s="549"/>
    </row>
    <row r="161" spans="1:17" x14ac:dyDescent="0.25">
      <c r="A161" s="35"/>
      <c r="B161" s="36"/>
      <c r="C161" s="36"/>
      <c r="D161" s="377" t="s">
        <v>407</v>
      </c>
      <c r="E161" s="38">
        <v>5550149</v>
      </c>
      <c r="F161" s="38">
        <v>4004683.54</v>
      </c>
      <c r="G161" s="218">
        <f t="shared" si="1"/>
        <v>0.72154523058750319</v>
      </c>
      <c r="H161" s="12">
        <v>15000</v>
      </c>
      <c r="I161" s="12">
        <v>0</v>
      </c>
      <c r="J161" s="218">
        <f t="shared" si="7"/>
        <v>0</v>
      </c>
      <c r="K161" s="201">
        <f t="shared" si="16"/>
        <v>5565149</v>
      </c>
      <c r="L161" s="201">
        <f t="shared" si="17"/>
        <v>4004683.54</v>
      </c>
      <c r="M161" s="385">
        <f t="shared" si="10"/>
        <v>0.71960041680824716</v>
      </c>
      <c r="N161" s="549"/>
      <c r="O161" s="549"/>
      <c r="P161" s="549"/>
      <c r="Q161" s="549"/>
    </row>
    <row r="162" spans="1:17" x14ac:dyDescent="0.25">
      <c r="A162" s="35"/>
      <c r="B162" s="36"/>
      <c r="C162" s="36"/>
      <c r="D162" s="378" t="s">
        <v>408</v>
      </c>
      <c r="E162" s="38">
        <v>5076316</v>
      </c>
      <c r="F162" s="38">
        <v>3640976.41</v>
      </c>
      <c r="G162" s="218">
        <f t="shared" si="1"/>
        <v>0.71724778559884772</v>
      </c>
      <c r="H162" s="12"/>
      <c r="I162" s="12"/>
      <c r="J162" s="218"/>
      <c r="K162" s="201">
        <f t="shared" si="16"/>
        <v>5076316</v>
      </c>
      <c r="L162" s="201">
        <f t="shared" si="17"/>
        <v>3640976.41</v>
      </c>
      <c r="M162" s="385">
        <f t="shared" si="10"/>
        <v>0.71724778559884772</v>
      </c>
      <c r="N162" s="549"/>
      <c r="O162" s="549"/>
      <c r="P162" s="549"/>
      <c r="Q162" s="549"/>
    </row>
    <row r="163" spans="1:17" ht="31.5" x14ac:dyDescent="0.25">
      <c r="A163" s="35"/>
      <c r="B163" s="36"/>
      <c r="C163" s="36"/>
      <c r="D163" s="378" t="s">
        <v>409</v>
      </c>
      <c r="E163" s="38">
        <v>101974</v>
      </c>
      <c r="F163" s="38">
        <v>38142.379999999997</v>
      </c>
      <c r="G163" s="218">
        <f t="shared" si="1"/>
        <v>0.37404024555278792</v>
      </c>
      <c r="H163" s="12"/>
      <c r="I163" s="12"/>
      <c r="J163" s="218"/>
      <c r="K163" s="201">
        <f t="shared" si="16"/>
        <v>101974</v>
      </c>
      <c r="L163" s="201">
        <f t="shared" si="17"/>
        <v>38142.379999999997</v>
      </c>
      <c r="M163" s="385">
        <f t="shared" si="10"/>
        <v>0.37404024555278792</v>
      </c>
      <c r="N163" s="549"/>
      <c r="O163" s="549"/>
      <c r="P163" s="549"/>
      <c r="Q163" s="549"/>
    </row>
    <row r="164" spans="1:17" x14ac:dyDescent="0.25">
      <c r="A164" s="35"/>
      <c r="B164" s="36"/>
      <c r="C164" s="36"/>
      <c r="D164" s="379" t="s">
        <v>410</v>
      </c>
      <c r="E164" s="38"/>
      <c r="F164" s="38"/>
      <c r="G164" s="219"/>
      <c r="H164" s="12">
        <f>H165</f>
        <v>80800</v>
      </c>
      <c r="I164" s="12">
        <f>I165</f>
        <v>46000</v>
      </c>
      <c r="J164" s="218">
        <f t="shared" si="7"/>
        <v>0.56930693069306926</v>
      </c>
      <c r="K164" s="201">
        <f t="shared" si="16"/>
        <v>80800</v>
      </c>
      <c r="L164" s="201">
        <f t="shared" si="17"/>
        <v>46000</v>
      </c>
      <c r="M164" s="385">
        <f t="shared" si="10"/>
        <v>0.56930693069306926</v>
      </c>
      <c r="N164" s="549"/>
      <c r="O164" s="549"/>
      <c r="P164" s="549"/>
      <c r="Q164" s="549"/>
    </row>
    <row r="165" spans="1:17" x14ac:dyDescent="0.25">
      <c r="A165" s="35"/>
      <c r="B165" s="36"/>
      <c r="C165" s="36"/>
      <c r="D165" s="380" t="s">
        <v>411</v>
      </c>
      <c r="E165" s="38"/>
      <c r="F165" s="38"/>
      <c r="G165" s="219"/>
      <c r="H165" s="12">
        <v>80800</v>
      </c>
      <c r="I165" s="12">
        <v>46000</v>
      </c>
      <c r="J165" s="218">
        <f t="shared" si="7"/>
        <v>0.56930693069306926</v>
      </c>
      <c r="K165" s="201">
        <f t="shared" si="16"/>
        <v>80800</v>
      </c>
      <c r="L165" s="201">
        <f t="shared" si="17"/>
        <v>46000</v>
      </c>
      <c r="M165" s="385">
        <f t="shared" si="10"/>
        <v>0.56930693069306926</v>
      </c>
      <c r="N165" s="549"/>
      <c r="O165" s="549"/>
      <c r="P165" s="549"/>
      <c r="Q165" s="549"/>
    </row>
    <row r="166" spans="1:17" s="734" customFormat="1" ht="31.5" x14ac:dyDescent="0.25">
      <c r="A166" s="35" t="s">
        <v>73</v>
      </c>
      <c r="B166" s="36" t="s">
        <v>74</v>
      </c>
      <c r="C166" s="36" t="s">
        <v>72</v>
      </c>
      <c r="D166" s="31" t="s">
        <v>75</v>
      </c>
      <c r="E166" s="38">
        <f>E167</f>
        <v>45750062</v>
      </c>
      <c r="F166" s="38">
        <f>F167</f>
        <v>27269916</v>
      </c>
      <c r="G166" s="219">
        <f t="shared" si="1"/>
        <v>0.59606292992564691</v>
      </c>
      <c r="H166" s="12">
        <v>0</v>
      </c>
      <c r="I166" s="12">
        <f>I167+I168</f>
        <v>851173.81</v>
      </c>
      <c r="J166" s="218">
        <v>0</v>
      </c>
      <c r="K166" s="201">
        <f t="shared" si="16"/>
        <v>45750062</v>
      </c>
      <c r="L166" s="201">
        <f>F166+I166</f>
        <v>28121089.809999999</v>
      </c>
      <c r="M166" s="385">
        <f t="shared" si="10"/>
        <v>0.6146677967343519</v>
      </c>
      <c r="N166" s="733"/>
      <c r="O166" s="733"/>
      <c r="P166" s="733"/>
      <c r="Q166" s="733"/>
    </row>
    <row r="167" spans="1:17" s="734" customFormat="1" x14ac:dyDescent="0.25">
      <c r="A167" s="35"/>
      <c r="B167" s="36"/>
      <c r="C167" s="36"/>
      <c r="D167" s="379" t="s">
        <v>407</v>
      </c>
      <c r="E167" s="38">
        <v>45750062</v>
      </c>
      <c r="F167" s="38">
        <v>27269916</v>
      </c>
      <c r="G167" s="219">
        <f t="shared" si="1"/>
        <v>0.59606292992564691</v>
      </c>
      <c r="H167" s="12"/>
      <c r="I167" s="12">
        <v>851173.81</v>
      </c>
      <c r="J167" s="218">
        <v>0</v>
      </c>
      <c r="K167" s="204">
        <f t="shared" si="16"/>
        <v>45750062</v>
      </c>
      <c r="L167" s="204">
        <f>F167+I167</f>
        <v>28121089.809999999</v>
      </c>
      <c r="M167" s="385">
        <f t="shared" si="10"/>
        <v>0.6146677967343519</v>
      </c>
      <c r="N167" s="733"/>
      <c r="O167" s="733"/>
      <c r="P167" s="733"/>
      <c r="Q167" s="733"/>
    </row>
    <row r="168" spans="1:17" s="734" customFormat="1" x14ac:dyDescent="0.25">
      <c r="A168" s="35"/>
      <c r="B168" s="36"/>
      <c r="C168" s="36"/>
      <c r="D168" s="547" t="s">
        <v>410</v>
      </c>
      <c r="E168" s="38"/>
      <c r="F168" s="38"/>
      <c r="G168" s="219"/>
      <c r="H168" s="12"/>
      <c r="I168" s="12"/>
      <c r="J168" s="218">
        <v>0</v>
      </c>
      <c r="K168" s="204">
        <f t="shared" si="16"/>
        <v>0</v>
      </c>
      <c r="L168" s="204">
        <f>F168+I168</f>
        <v>0</v>
      </c>
      <c r="M168" s="385"/>
      <c r="N168" s="733"/>
      <c r="O168" s="733"/>
      <c r="P168" s="733"/>
      <c r="Q168" s="733"/>
    </row>
    <row r="169" spans="1:17" s="734" customFormat="1" x14ac:dyDescent="0.25">
      <c r="A169" s="35"/>
      <c r="B169" s="36"/>
      <c r="C169" s="36"/>
      <c r="D169" s="381" t="s">
        <v>411</v>
      </c>
      <c r="E169" s="38"/>
      <c r="F169" s="38"/>
      <c r="G169" s="219"/>
      <c r="H169" s="12"/>
      <c r="I169" s="12"/>
      <c r="J169" s="219"/>
      <c r="K169" s="204"/>
      <c r="L169" s="204"/>
      <c r="M169" s="385"/>
      <c r="N169" s="733"/>
      <c r="O169" s="733"/>
      <c r="P169" s="733"/>
      <c r="Q169" s="733"/>
    </row>
    <row r="170" spans="1:17" s="42" customFormat="1" x14ac:dyDescent="0.25">
      <c r="A170" s="940">
        <v>819770</v>
      </c>
      <c r="B170" s="941">
        <v>9770</v>
      </c>
      <c r="C170" s="941">
        <v>180</v>
      </c>
      <c r="D170" s="378" t="s">
        <v>501</v>
      </c>
      <c r="E170" s="37">
        <f>E171</f>
        <v>21363</v>
      </c>
      <c r="F170" s="37">
        <f>F171</f>
        <v>21363</v>
      </c>
      <c r="G170" s="219">
        <f t="shared" si="1"/>
        <v>1</v>
      </c>
      <c r="H170" s="7"/>
      <c r="I170" s="7"/>
      <c r="J170" s="218"/>
      <c r="K170" s="7">
        <f t="shared" si="16"/>
        <v>21363</v>
      </c>
      <c r="L170" s="7">
        <f t="shared" si="17"/>
        <v>21363</v>
      </c>
      <c r="M170" s="384">
        <f t="shared" si="10"/>
        <v>1</v>
      </c>
      <c r="N170" s="709"/>
      <c r="O170" s="709"/>
      <c r="P170" s="709"/>
      <c r="Q170" s="709"/>
    </row>
    <row r="171" spans="1:17" ht="16.5" thickBot="1" x14ac:dyDescent="0.3">
      <c r="A171" s="35"/>
      <c r="B171" s="36"/>
      <c r="C171" s="36"/>
      <c r="D171" s="379" t="s">
        <v>407</v>
      </c>
      <c r="E171" s="38">
        <v>21363</v>
      </c>
      <c r="F171" s="38">
        <v>21363</v>
      </c>
      <c r="G171" s="219">
        <f t="shared" si="1"/>
        <v>1</v>
      </c>
      <c r="H171" s="12"/>
      <c r="I171" s="12"/>
      <c r="J171" s="219"/>
      <c r="K171" s="12">
        <f t="shared" si="16"/>
        <v>21363</v>
      </c>
      <c r="L171" s="12">
        <f t="shared" si="17"/>
        <v>21363</v>
      </c>
      <c r="M171" s="385">
        <f t="shared" si="10"/>
        <v>1</v>
      </c>
      <c r="N171" s="549"/>
      <c r="O171" s="549"/>
      <c r="P171" s="549"/>
      <c r="Q171" s="549"/>
    </row>
    <row r="172" spans="1:17" ht="45.75" customHeight="1" thickBot="1" x14ac:dyDescent="0.3">
      <c r="A172" s="32" t="s">
        <v>76</v>
      </c>
      <c r="B172" s="33" t="s">
        <v>14</v>
      </c>
      <c r="C172" s="33" t="s">
        <v>14</v>
      </c>
      <c r="D172" s="34" t="s">
        <v>446</v>
      </c>
      <c r="E172" s="51">
        <f>E173</f>
        <v>2308465</v>
      </c>
      <c r="F172" s="51">
        <f>F173</f>
        <v>1813842.61</v>
      </c>
      <c r="G172" s="216">
        <f t="shared" si="1"/>
        <v>0.78573537393895954</v>
      </c>
      <c r="H172" s="51">
        <f>H173</f>
        <v>23000</v>
      </c>
      <c r="I172" s="51">
        <f>I173</f>
        <v>0</v>
      </c>
      <c r="J172" s="216">
        <f t="shared" si="7"/>
        <v>0</v>
      </c>
      <c r="K172" s="214">
        <f>K173</f>
        <v>2331465</v>
      </c>
      <c r="L172" s="214">
        <f>L173</f>
        <v>1813842.61</v>
      </c>
      <c r="M172" s="224">
        <f t="shared" si="10"/>
        <v>0.7779840615235486</v>
      </c>
      <c r="N172" s="549"/>
      <c r="O172" s="549"/>
      <c r="P172" s="549"/>
      <c r="Q172" s="549"/>
    </row>
    <row r="173" spans="1:17" ht="47.25" x14ac:dyDescent="0.25">
      <c r="A173" s="45" t="s">
        <v>77</v>
      </c>
      <c r="B173" s="46" t="s">
        <v>14</v>
      </c>
      <c r="C173" s="46" t="s">
        <v>14</v>
      </c>
      <c r="D173" s="47" t="s">
        <v>446</v>
      </c>
      <c r="E173" s="39">
        <f>E174+E179</f>
        <v>2308465</v>
      </c>
      <c r="F173" s="39">
        <f>F174+F179</f>
        <v>1813842.61</v>
      </c>
      <c r="G173" s="217">
        <f t="shared" si="1"/>
        <v>0.78573537393895954</v>
      </c>
      <c r="H173" s="39">
        <f>H174</f>
        <v>23000</v>
      </c>
      <c r="I173" s="39">
        <v>0</v>
      </c>
      <c r="J173" s="217">
        <f t="shared" si="7"/>
        <v>0</v>
      </c>
      <c r="K173" s="215">
        <f>K174+K179</f>
        <v>2331465</v>
      </c>
      <c r="L173" s="215">
        <f>L174+L179</f>
        <v>1813842.61</v>
      </c>
      <c r="M173" s="386">
        <f t="shared" si="10"/>
        <v>0.7779840615235486</v>
      </c>
      <c r="N173" s="549"/>
      <c r="O173" s="549"/>
      <c r="P173" s="549"/>
      <c r="Q173" s="549"/>
    </row>
    <row r="174" spans="1:17" ht="47.25" x14ac:dyDescent="0.25">
      <c r="A174" s="940" t="s">
        <v>171</v>
      </c>
      <c r="B174" s="941" t="s">
        <v>42</v>
      </c>
      <c r="C174" s="941" t="s">
        <v>16</v>
      </c>
      <c r="D174" s="24" t="s">
        <v>156</v>
      </c>
      <c r="E174" s="37">
        <f>E175</f>
        <v>2213465</v>
      </c>
      <c r="F174" s="37">
        <f>F175</f>
        <v>1718842.61</v>
      </c>
      <c r="G174" s="218">
        <f t="shared" si="1"/>
        <v>0.77653932183251151</v>
      </c>
      <c r="H174" s="7">
        <f>H177</f>
        <v>23000</v>
      </c>
      <c r="I174" s="7">
        <v>0</v>
      </c>
      <c r="J174" s="218">
        <f t="shared" si="7"/>
        <v>0</v>
      </c>
      <c r="K174" s="201">
        <f>E174+H174</f>
        <v>2236465</v>
      </c>
      <c r="L174" s="201">
        <f>F174+I174</f>
        <v>1718842.61</v>
      </c>
      <c r="M174" s="385">
        <f t="shared" si="10"/>
        <v>0.76855332410746424</v>
      </c>
      <c r="N174" s="549"/>
      <c r="O174" s="549"/>
      <c r="P174" s="549"/>
      <c r="Q174" s="549"/>
    </row>
    <row r="175" spans="1:17" x14ac:dyDescent="0.25">
      <c r="A175" s="35"/>
      <c r="B175" s="36"/>
      <c r="C175" s="36"/>
      <c r="D175" s="377" t="s">
        <v>407</v>
      </c>
      <c r="E175" s="38">
        <v>2213465</v>
      </c>
      <c r="F175" s="38">
        <v>1718842.61</v>
      </c>
      <c r="G175" s="218">
        <f t="shared" si="1"/>
        <v>0.77653932183251151</v>
      </c>
      <c r="H175" s="12"/>
      <c r="I175" s="12"/>
      <c r="J175" s="218"/>
      <c r="K175" s="201">
        <f t="shared" ref="K175:K180" si="18">E175+H175</f>
        <v>2213465</v>
      </c>
      <c r="L175" s="201">
        <f t="shared" ref="L175:L180" si="19">F175+I175</f>
        <v>1718842.61</v>
      </c>
      <c r="M175" s="385">
        <f t="shared" si="10"/>
        <v>0.77653932183251151</v>
      </c>
      <c r="N175" s="549"/>
      <c r="O175" s="549"/>
      <c r="P175" s="549"/>
      <c r="Q175" s="549"/>
    </row>
    <row r="176" spans="1:17" x14ac:dyDescent="0.25">
      <c r="A176" s="35"/>
      <c r="B176" s="36"/>
      <c r="C176" s="36"/>
      <c r="D176" s="378" t="s">
        <v>408</v>
      </c>
      <c r="E176" s="38">
        <v>2149017</v>
      </c>
      <c r="F176" s="38">
        <v>1679331.99</v>
      </c>
      <c r="G176" s="218">
        <f t="shared" si="1"/>
        <v>0.781441929030808</v>
      </c>
      <c r="H176" s="12"/>
      <c r="I176" s="12"/>
      <c r="J176" s="218"/>
      <c r="K176" s="201">
        <f t="shared" si="18"/>
        <v>2149017</v>
      </c>
      <c r="L176" s="201">
        <f t="shared" si="19"/>
        <v>1679331.99</v>
      </c>
      <c r="M176" s="385">
        <f t="shared" si="10"/>
        <v>0.781441929030808</v>
      </c>
      <c r="N176" s="549"/>
      <c r="O176" s="549"/>
      <c r="P176" s="549"/>
      <c r="Q176" s="549"/>
    </row>
    <row r="177" spans="1:17" x14ac:dyDescent="0.25">
      <c r="A177" s="35"/>
      <c r="B177" s="36"/>
      <c r="C177" s="36"/>
      <c r="D177" s="379" t="s">
        <v>410</v>
      </c>
      <c r="E177" s="38"/>
      <c r="F177" s="38"/>
      <c r="G177" s="219"/>
      <c r="H177" s="12">
        <f>H178</f>
        <v>23000</v>
      </c>
      <c r="I177" s="12">
        <f>I178</f>
        <v>0</v>
      </c>
      <c r="J177" s="218">
        <f t="shared" si="7"/>
        <v>0</v>
      </c>
      <c r="K177" s="201">
        <f t="shared" si="18"/>
        <v>23000</v>
      </c>
      <c r="L177" s="201">
        <f t="shared" si="19"/>
        <v>0</v>
      </c>
      <c r="M177" s="385">
        <f t="shared" si="10"/>
        <v>0</v>
      </c>
      <c r="N177" s="549"/>
      <c r="O177" s="549"/>
      <c r="P177" s="549"/>
      <c r="Q177" s="549"/>
    </row>
    <row r="178" spans="1:17" x14ac:dyDescent="0.25">
      <c r="A178" s="35"/>
      <c r="B178" s="36"/>
      <c r="C178" s="36"/>
      <c r="D178" s="380" t="s">
        <v>411</v>
      </c>
      <c r="E178" s="38"/>
      <c r="F178" s="38"/>
      <c r="G178" s="219"/>
      <c r="H178" s="12">
        <v>23000</v>
      </c>
      <c r="I178" s="12">
        <v>0</v>
      </c>
      <c r="J178" s="218">
        <f t="shared" si="7"/>
        <v>0</v>
      </c>
      <c r="K178" s="201">
        <f t="shared" si="18"/>
        <v>23000</v>
      </c>
      <c r="L178" s="201">
        <f t="shared" si="19"/>
        <v>0</v>
      </c>
      <c r="M178" s="385">
        <f t="shared" si="10"/>
        <v>0</v>
      </c>
      <c r="N178" s="549"/>
      <c r="O178" s="549"/>
      <c r="P178" s="549"/>
      <c r="Q178" s="549"/>
    </row>
    <row r="179" spans="1:17" ht="31.5" x14ac:dyDescent="0.25">
      <c r="A179" s="35" t="s">
        <v>78</v>
      </c>
      <c r="B179" s="36" t="s">
        <v>79</v>
      </c>
      <c r="C179" s="36" t="s">
        <v>65</v>
      </c>
      <c r="D179" s="31" t="s">
        <v>80</v>
      </c>
      <c r="E179" s="38">
        <f>E180</f>
        <v>95000</v>
      </c>
      <c r="F179" s="38">
        <f>F180</f>
        <v>95000</v>
      </c>
      <c r="G179" s="219">
        <f t="shared" si="1"/>
        <v>1</v>
      </c>
      <c r="H179" s="12">
        <v>0</v>
      </c>
      <c r="I179" s="12">
        <v>0</v>
      </c>
      <c r="J179" s="219"/>
      <c r="K179" s="201">
        <f t="shared" si="18"/>
        <v>95000</v>
      </c>
      <c r="L179" s="201">
        <f t="shared" si="19"/>
        <v>95000</v>
      </c>
      <c r="M179" s="385">
        <f t="shared" si="10"/>
        <v>1</v>
      </c>
      <c r="N179" s="549"/>
      <c r="O179" s="549"/>
      <c r="P179" s="549"/>
      <c r="Q179" s="549"/>
    </row>
    <row r="180" spans="1:17" ht="16.5" thickBot="1" x14ac:dyDescent="0.3">
      <c r="A180" s="35"/>
      <c r="B180" s="36"/>
      <c r="C180" s="36"/>
      <c r="D180" s="379" t="s">
        <v>407</v>
      </c>
      <c r="E180" s="38">
        <v>95000</v>
      </c>
      <c r="F180" s="38">
        <v>95000</v>
      </c>
      <c r="G180" s="219">
        <f t="shared" si="1"/>
        <v>1</v>
      </c>
      <c r="H180" s="12"/>
      <c r="I180" s="12"/>
      <c r="J180" s="219"/>
      <c r="K180" s="204">
        <f t="shared" si="18"/>
        <v>95000</v>
      </c>
      <c r="L180" s="204">
        <f t="shared" si="19"/>
        <v>95000</v>
      </c>
      <c r="M180" s="385">
        <f t="shared" si="10"/>
        <v>1</v>
      </c>
      <c r="N180" s="549"/>
      <c r="O180" s="549"/>
      <c r="P180" s="549"/>
      <c r="Q180" s="549"/>
    </row>
    <row r="181" spans="1:17" s="29" customFormat="1" ht="64.5" customHeight="1" thickBot="1" x14ac:dyDescent="0.3">
      <c r="A181" s="32" t="s">
        <v>81</v>
      </c>
      <c r="B181" s="33" t="s">
        <v>14</v>
      </c>
      <c r="C181" s="33" t="s">
        <v>14</v>
      </c>
      <c r="D181" s="34" t="s">
        <v>447</v>
      </c>
      <c r="E181" s="51">
        <f>E182</f>
        <v>104444752</v>
      </c>
      <c r="F181" s="51">
        <f>F182</f>
        <v>66628557.889999993</v>
      </c>
      <c r="G181" s="216">
        <f t="shared" si="1"/>
        <v>0.63793112257090712</v>
      </c>
      <c r="H181" s="51">
        <f>H182</f>
        <v>1025427</v>
      </c>
      <c r="I181" s="51">
        <f>I182</f>
        <v>629436.34</v>
      </c>
      <c r="J181" s="216">
        <f t="shared" si="7"/>
        <v>0.61382852216686312</v>
      </c>
      <c r="K181" s="214">
        <f>K182</f>
        <v>105470179</v>
      </c>
      <c r="L181" s="214">
        <f>L182</f>
        <v>67257994.229999989</v>
      </c>
      <c r="M181" s="224">
        <f t="shared" si="10"/>
        <v>0.63769678659595319</v>
      </c>
      <c r="N181" s="549"/>
      <c r="O181" s="549"/>
      <c r="P181" s="549"/>
      <c r="Q181" s="549"/>
    </row>
    <row r="182" spans="1:17" s="28" customFormat="1" ht="63" x14ac:dyDescent="0.25">
      <c r="A182" s="45" t="s">
        <v>82</v>
      </c>
      <c r="B182" s="46" t="s">
        <v>14</v>
      </c>
      <c r="C182" s="46" t="s">
        <v>14</v>
      </c>
      <c r="D182" s="47" t="s">
        <v>447</v>
      </c>
      <c r="E182" s="39">
        <f>E183+E186+E190+E192+E198+E204+E208+E211+E213+E215+E219+E224+E228+E221</f>
        <v>104444752</v>
      </c>
      <c r="F182" s="39">
        <f>F183+F186+F190+F192+F198+F204+F208+F211+F213+F215+F219+F224+F228+F221</f>
        <v>66628557.889999993</v>
      </c>
      <c r="G182" s="217">
        <f t="shared" si="1"/>
        <v>0.63793112257090712</v>
      </c>
      <c r="H182" s="39">
        <f>H183+H186+H190+H192+H198+H204+H208+H211+H213+H215+H219+H224+H228</f>
        <v>1025427</v>
      </c>
      <c r="I182" s="39">
        <f>I183+I186+I190+I192+I198+I204+I208+I211+I213+I215+I219+I224+I228</f>
        <v>629436.34</v>
      </c>
      <c r="J182" s="217">
        <f t="shared" si="7"/>
        <v>0.61382852216686312</v>
      </c>
      <c r="K182" s="215">
        <f>K183+K186+K190+K192+K198+K204+K208+K211+K213+K215+K219+K224+K228+K221</f>
        <v>105470179</v>
      </c>
      <c r="L182" s="215">
        <f>L183+L186+L190+L192+L198+L204+L208+L211+L213+L215+L219+L224+L228+L221</f>
        <v>67257994.229999989</v>
      </c>
      <c r="M182" s="386">
        <f t="shared" si="10"/>
        <v>0.63769678659595319</v>
      </c>
      <c r="N182" s="549"/>
      <c r="O182" s="549"/>
      <c r="P182" s="549"/>
      <c r="Q182" s="549"/>
    </row>
    <row r="183" spans="1:17" ht="49.5" customHeight="1" x14ac:dyDescent="0.25">
      <c r="A183" s="940" t="s">
        <v>172</v>
      </c>
      <c r="B183" s="941" t="s">
        <v>42</v>
      </c>
      <c r="C183" s="941" t="s">
        <v>16</v>
      </c>
      <c r="D183" s="24" t="s">
        <v>156</v>
      </c>
      <c r="E183" s="37">
        <f>E184</f>
        <v>3201039</v>
      </c>
      <c r="F183" s="37">
        <f>F184</f>
        <v>2181928.81</v>
      </c>
      <c r="G183" s="218">
        <f t="shared" si="1"/>
        <v>0.68163143591815034</v>
      </c>
      <c r="H183" s="7">
        <v>0</v>
      </c>
      <c r="I183" s="7">
        <v>0</v>
      </c>
      <c r="J183" s="218"/>
      <c r="K183" s="201">
        <f>E183+H183</f>
        <v>3201039</v>
      </c>
      <c r="L183" s="201">
        <f>F183+I183</f>
        <v>2181928.81</v>
      </c>
      <c r="M183" s="385">
        <f t="shared" si="10"/>
        <v>0.68163143591815034</v>
      </c>
      <c r="N183" s="549"/>
      <c r="O183" s="549"/>
      <c r="P183" s="549"/>
      <c r="Q183" s="549"/>
    </row>
    <row r="184" spans="1:17" x14ac:dyDescent="0.25">
      <c r="A184" s="940"/>
      <c r="B184" s="941"/>
      <c r="C184" s="941"/>
      <c r="D184" s="377" t="s">
        <v>407</v>
      </c>
      <c r="E184" s="37">
        <v>3201039</v>
      </c>
      <c r="F184" s="37">
        <v>2181928.81</v>
      </c>
      <c r="G184" s="218">
        <f t="shared" si="1"/>
        <v>0.68163143591815034</v>
      </c>
      <c r="H184" s="7"/>
      <c r="I184" s="7"/>
      <c r="J184" s="218"/>
      <c r="K184" s="201">
        <f t="shared" ref="K184:K229" si="20">E184+H184</f>
        <v>3201039</v>
      </c>
      <c r="L184" s="201">
        <f t="shared" ref="L184:L229" si="21">F184+I184</f>
        <v>2181928.81</v>
      </c>
      <c r="M184" s="385">
        <f t="shared" si="10"/>
        <v>0.68163143591815034</v>
      </c>
      <c r="N184" s="549"/>
      <c r="O184" s="549"/>
      <c r="P184" s="549"/>
      <c r="Q184" s="549"/>
    </row>
    <row r="185" spans="1:17" x14ac:dyDescent="0.25">
      <c r="A185" s="940"/>
      <c r="B185" s="941"/>
      <c r="C185" s="941"/>
      <c r="D185" s="378" t="s">
        <v>408</v>
      </c>
      <c r="E185" s="37">
        <v>3121148</v>
      </c>
      <c r="F185" s="37">
        <v>2119757.81</v>
      </c>
      <c r="G185" s="218">
        <f t="shared" si="1"/>
        <v>0.67915965856152927</v>
      </c>
      <c r="H185" s="7"/>
      <c r="I185" s="7"/>
      <c r="J185" s="218"/>
      <c r="K185" s="201">
        <f t="shared" si="20"/>
        <v>3121148</v>
      </c>
      <c r="L185" s="201">
        <f t="shared" si="21"/>
        <v>2119757.81</v>
      </c>
      <c r="M185" s="385">
        <f t="shared" si="10"/>
        <v>0.67915965856152927</v>
      </c>
      <c r="N185" s="549"/>
      <c r="O185" s="549"/>
      <c r="P185" s="549"/>
      <c r="Q185" s="549"/>
    </row>
    <row r="186" spans="1:17" ht="31.5" x14ac:dyDescent="0.25">
      <c r="A186" s="940" t="s">
        <v>83</v>
      </c>
      <c r="B186" s="941" t="s">
        <v>84</v>
      </c>
      <c r="C186" s="941" t="s">
        <v>53</v>
      </c>
      <c r="D186" s="24" t="s">
        <v>85</v>
      </c>
      <c r="E186" s="37">
        <f>E187</f>
        <v>14478015</v>
      </c>
      <c r="F186" s="37">
        <f>F187</f>
        <v>10425769.59</v>
      </c>
      <c r="G186" s="218">
        <f t="shared" si="1"/>
        <v>0.72011042881223708</v>
      </c>
      <c r="H186" s="7">
        <f>H187</f>
        <v>799155</v>
      </c>
      <c r="I186" s="7">
        <f>I187</f>
        <v>532090.80000000005</v>
      </c>
      <c r="J186" s="218">
        <f t="shared" si="7"/>
        <v>0.66581676896221642</v>
      </c>
      <c r="K186" s="201">
        <f t="shared" si="20"/>
        <v>15277170</v>
      </c>
      <c r="L186" s="201">
        <f>F186+I186</f>
        <v>10957860.390000001</v>
      </c>
      <c r="M186" s="385">
        <f t="shared" si="10"/>
        <v>0.71727030529869085</v>
      </c>
      <c r="N186" s="549"/>
      <c r="O186" s="549"/>
      <c r="P186" s="549"/>
      <c r="Q186" s="549"/>
    </row>
    <row r="187" spans="1:17" x14ac:dyDescent="0.25">
      <c r="A187" s="940"/>
      <c r="B187" s="941"/>
      <c r="C187" s="941"/>
      <c r="D187" s="377" t="s">
        <v>407</v>
      </c>
      <c r="E187" s="37">
        <v>14478015</v>
      </c>
      <c r="F187" s="37">
        <v>10425769.59</v>
      </c>
      <c r="G187" s="218">
        <f t="shared" si="1"/>
        <v>0.72011042881223708</v>
      </c>
      <c r="H187" s="7">
        <f>H188</f>
        <v>799155</v>
      </c>
      <c r="I187" s="7">
        <f>I188</f>
        <v>532090.80000000005</v>
      </c>
      <c r="J187" s="218">
        <f t="shared" si="7"/>
        <v>0.66581676896221642</v>
      </c>
      <c r="K187" s="201">
        <f t="shared" si="20"/>
        <v>15277170</v>
      </c>
      <c r="L187" s="201">
        <f>F187+I187</f>
        <v>10957860.390000001</v>
      </c>
      <c r="M187" s="385">
        <f t="shared" si="10"/>
        <v>0.71727030529869085</v>
      </c>
      <c r="N187" s="549"/>
      <c r="O187" s="549"/>
      <c r="P187" s="549"/>
      <c r="Q187" s="549"/>
    </row>
    <row r="188" spans="1:17" x14ac:dyDescent="0.25">
      <c r="A188" s="940"/>
      <c r="B188" s="941"/>
      <c r="C188" s="941"/>
      <c r="D188" s="378" t="s">
        <v>408</v>
      </c>
      <c r="E188" s="37">
        <v>13771282</v>
      </c>
      <c r="F188" s="37">
        <v>10002457.02</v>
      </c>
      <c r="G188" s="218">
        <f t="shared" si="1"/>
        <v>0.72632722356567814</v>
      </c>
      <c r="H188" s="7">
        <v>799155</v>
      </c>
      <c r="I188" s="7">
        <v>532090.80000000005</v>
      </c>
      <c r="J188" s="218">
        <f t="shared" si="7"/>
        <v>0.66581676896221642</v>
      </c>
      <c r="K188" s="201">
        <f t="shared" si="20"/>
        <v>14570437</v>
      </c>
      <c r="L188" s="201">
        <f>F188+I188</f>
        <v>10534547.82</v>
      </c>
      <c r="M188" s="385">
        <f t="shared" si="10"/>
        <v>0.7230083641279943</v>
      </c>
      <c r="N188" s="549"/>
      <c r="O188" s="549"/>
      <c r="P188" s="549"/>
      <c r="Q188" s="549"/>
    </row>
    <row r="189" spans="1:17" ht="31.5" x14ac:dyDescent="0.25">
      <c r="A189" s="940"/>
      <c r="B189" s="941"/>
      <c r="C189" s="941"/>
      <c r="D189" s="378" t="s">
        <v>409</v>
      </c>
      <c r="E189" s="37">
        <v>447307</v>
      </c>
      <c r="F189" s="37">
        <v>212096.17</v>
      </c>
      <c r="G189" s="218">
        <f t="shared" si="1"/>
        <v>0.4741624208876678</v>
      </c>
      <c r="H189" s="7"/>
      <c r="I189" s="7"/>
      <c r="J189" s="218"/>
      <c r="K189" s="201">
        <f t="shared" si="20"/>
        <v>447307</v>
      </c>
      <c r="L189" s="201">
        <f t="shared" si="21"/>
        <v>212096.17</v>
      </c>
      <c r="M189" s="385">
        <f t="shared" si="10"/>
        <v>0.4741624208876678</v>
      </c>
      <c r="N189" s="549"/>
      <c r="O189" s="549"/>
      <c r="P189" s="549"/>
      <c r="Q189" s="549"/>
    </row>
    <row r="190" spans="1:17" ht="63" x14ac:dyDescent="0.25">
      <c r="A190" s="940" t="s">
        <v>86</v>
      </c>
      <c r="B190" s="941" t="s">
        <v>87</v>
      </c>
      <c r="C190" s="941" t="s">
        <v>65</v>
      </c>
      <c r="D190" s="24" t="s">
        <v>541</v>
      </c>
      <c r="E190" s="37">
        <f>E191</f>
        <v>340763</v>
      </c>
      <c r="F190" s="37">
        <f>F191</f>
        <v>270515</v>
      </c>
      <c r="G190" s="218">
        <f t="shared" si="1"/>
        <v>0.79385085822110968</v>
      </c>
      <c r="H190" s="7">
        <v>0</v>
      </c>
      <c r="I190" s="7">
        <v>0</v>
      </c>
      <c r="J190" s="218"/>
      <c r="K190" s="201">
        <f t="shared" si="20"/>
        <v>340763</v>
      </c>
      <c r="L190" s="201">
        <f t="shared" si="21"/>
        <v>270515</v>
      </c>
      <c r="M190" s="385">
        <f t="shared" si="10"/>
        <v>0.79385085822110968</v>
      </c>
      <c r="N190" s="549"/>
      <c r="O190" s="549"/>
      <c r="P190" s="549"/>
      <c r="Q190" s="549"/>
    </row>
    <row r="191" spans="1:17" x14ac:dyDescent="0.25">
      <c r="A191" s="940"/>
      <c r="B191" s="941"/>
      <c r="C191" s="941"/>
      <c r="D191" s="377" t="s">
        <v>407</v>
      </c>
      <c r="E191" s="37">
        <v>340763</v>
      </c>
      <c r="F191" s="37">
        <v>270515</v>
      </c>
      <c r="G191" s="218"/>
      <c r="H191" s="7"/>
      <c r="I191" s="7"/>
      <c r="J191" s="218"/>
      <c r="K191" s="201">
        <f t="shared" si="20"/>
        <v>340763</v>
      </c>
      <c r="L191" s="201">
        <f t="shared" si="21"/>
        <v>270515</v>
      </c>
      <c r="M191" s="385">
        <f t="shared" si="10"/>
        <v>0.79385085822110968</v>
      </c>
      <c r="N191" s="549"/>
      <c r="O191" s="549"/>
      <c r="P191" s="549"/>
      <c r="Q191" s="549"/>
    </row>
    <row r="192" spans="1:17" ht="21.75" customHeight="1" x14ac:dyDescent="0.25">
      <c r="A192" s="940" t="s">
        <v>89</v>
      </c>
      <c r="B192" s="941" t="s">
        <v>90</v>
      </c>
      <c r="C192" s="941" t="s">
        <v>91</v>
      </c>
      <c r="D192" s="24" t="s">
        <v>92</v>
      </c>
      <c r="E192" s="37">
        <f>E193</f>
        <v>4461683</v>
      </c>
      <c r="F192" s="37">
        <f>F193</f>
        <v>3035896.39</v>
      </c>
      <c r="G192" s="218">
        <f t="shared" si="1"/>
        <v>0.68043749186125513</v>
      </c>
      <c r="H192" s="7">
        <f>H196</f>
        <v>43262</v>
      </c>
      <c r="I192" s="7">
        <f>I196+I193</f>
        <v>60959.83</v>
      </c>
      <c r="J192" s="218">
        <f t="shared" si="7"/>
        <v>1.4090848781840877</v>
      </c>
      <c r="K192" s="201">
        <f t="shared" si="20"/>
        <v>4504945</v>
      </c>
      <c r="L192" s="201">
        <f t="shared" ref="L192:L199" si="22">F192+I192</f>
        <v>3096856.22</v>
      </c>
      <c r="M192" s="385">
        <f t="shared" si="10"/>
        <v>0.68743485658537451</v>
      </c>
      <c r="N192" s="549"/>
      <c r="O192" s="549"/>
      <c r="P192" s="549"/>
      <c r="Q192" s="549"/>
    </row>
    <row r="193" spans="1:17" x14ac:dyDescent="0.25">
      <c r="A193" s="940"/>
      <c r="B193" s="941"/>
      <c r="C193" s="941"/>
      <c r="D193" s="377" t="s">
        <v>407</v>
      </c>
      <c r="E193" s="37">
        <v>4461683</v>
      </c>
      <c r="F193" s="37">
        <v>3035896.39</v>
      </c>
      <c r="G193" s="218">
        <f t="shared" si="1"/>
        <v>0.68043749186125513</v>
      </c>
      <c r="H193" s="7"/>
      <c r="I193" s="7">
        <v>60959.83</v>
      </c>
      <c r="J193" s="218"/>
      <c r="K193" s="201">
        <f t="shared" si="20"/>
        <v>4461683</v>
      </c>
      <c r="L193" s="201">
        <f t="shared" si="22"/>
        <v>3096856.22</v>
      </c>
      <c r="M193" s="385">
        <f t="shared" si="10"/>
        <v>0.69410045940063425</v>
      </c>
      <c r="N193" s="549"/>
      <c r="O193" s="549"/>
      <c r="P193" s="549"/>
      <c r="Q193" s="549"/>
    </row>
    <row r="194" spans="1:17" x14ac:dyDescent="0.25">
      <c r="A194" s="940"/>
      <c r="B194" s="941"/>
      <c r="C194" s="941"/>
      <c r="D194" s="378" t="s">
        <v>408</v>
      </c>
      <c r="E194" s="37">
        <v>3948613</v>
      </c>
      <c r="F194" s="37">
        <v>2740631.29</v>
      </c>
      <c r="G194" s="218">
        <f t="shared" si="1"/>
        <v>0.69407442309489431</v>
      </c>
      <c r="H194" s="7"/>
      <c r="I194" s="7"/>
      <c r="J194" s="218"/>
      <c r="K194" s="201">
        <f t="shared" si="20"/>
        <v>3948613</v>
      </c>
      <c r="L194" s="201">
        <f t="shared" si="22"/>
        <v>2740631.29</v>
      </c>
      <c r="M194" s="385">
        <f t="shared" si="10"/>
        <v>0.69407442309489431</v>
      </c>
      <c r="N194" s="549"/>
      <c r="O194" s="549"/>
      <c r="P194" s="549"/>
      <c r="Q194" s="549"/>
    </row>
    <row r="195" spans="1:17" ht="33" customHeight="1" x14ac:dyDescent="0.25">
      <c r="A195" s="940"/>
      <c r="B195" s="941"/>
      <c r="C195" s="941"/>
      <c r="D195" s="378" t="s">
        <v>409</v>
      </c>
      <c r="E195" s="37">
        <v>311360</v>
      </c>
      <c r="F195" s="37">
        <v>130642.05</v>
      </c>
      <c r="G195" s="218">
        <f t="shared" si="1"/>
        <v>0.41958520683453238</v>
      </c>
      <c r="H195" s="7"/>
      <c r="I195" s="7"/>
      <c r="J195" s="218"/>
      <c r="K195" s="201">
        <f t="shared" si="20"/>
        <v>311360</v>
      </c>
      <c r="L195" s="201">
        <f t="shared" si="22"/>
        <v>130642.05</v>
      </c>
      <c r="M195" s="385">
        <f t="shared" si="10"/>
        <v>0.41958520683453238</v>
      </c>
      <c r="N195" s="549"/>
      <c r="O195" s="549"/>
      <c r="P195" s="549"/>
      <c r="Q195" s="549"/>
    </row>
    <row r="196" spans="1:17" x14ac:dyDescent="0.25">
      <c r="A196" s="940"/>
      <c r="B196" s="941"/>
      <c r="C196" s="941"/>
      <c r="D196" s="377" t="s">
        <v>410</v>
      </c>
      <c r="E196" s="37"/>
      <c r="F196" s="37"/>
      <c r="G196" s="218"/>
      <c r="H196" s="7">
        <f>H197</f>
        <v>43262</v>
      </c>
      <c r="I196" s="7"/>
      <c r="J196" s="218">
        <f t="shared" si="7"/>
        <v>0</v>
      </c>
      <c r="K196" s="201">
        <f t="shared" si="20"/>
        <v>43262</v>
      </c>
      <c r="L196" s="201">
        <f t="shared" si="22"/>
        <v>0</v>
      </c>
      <c r="M196" s="385">
        <f t="shared" si="10"/>
        <v>0</v>
      </c>
      <c r="N196" s="549"/>
      <c r="O196" s="549"/>
      <c r="P196" s="549"/>
      <c r="Q196" s="549"/>
    </row>
    <row r="197" spans="1:17" x14ac:dyDescent="0.25">
      <c r="A197" s="940"/>
      <c r="B197" s="941"/>
      <c r="C197" s="941"/>
      <c r="D197" s="378" t="s">
        <v>411</v>
      </c>
      <c r="E197" s="37"/>
      <c r="F197" s="37"/>
      <c r="G197" s="218"/>
      <c r="H197" s="7">
        <v>43262</v>
      </c>
      <c r="I197" s="7">
        <v>0</v>
      </c>
      <c r="J197" s="218">
        <f t="shared" si="7"/>
        <v>0</v>
      </c>
      <c r="K197" s="201">
        <f t="shared" si="20"/>
        <v>43262</v>
      </c>
      <c r="L197" s="201">
        <f t="shared" si="22"/>
        <v>0</v>
      </c>
      <c r="M197" s="385">
        <f t="shared" si="10"/>
        <v>0</v>
      </c>
      <c r="N197" s="549"/>
      <c r="O197" s="549"/>
      <c r="P197" s="549"/>
      <c r="Q197" s="549"/>
    </row>
    <row r="198" spans="1:17" ht="27.75" customHeight="1" x14ac:dyDescent="0.25">
      <c r="A198" s="940" t="s">
        <v>93</v>
      </c>
      <c r="B198" s="941" t="s">
        <v>94</v>
      </c>
      <c r="C198" s="941" t="s">
        <v>91</v>
      </c>
      <c r="D198" s="24" t="s">
        <v>95</v>
      </c>
      <c r="E198" s="37">
        <f>E199</f>
        <v>1299784</v>
      </c>
      <c r="F198" s="37">
        <f>F199</f>
        <v>874231.14</v>
      </c>
      <c r="G198" s="218">
        <f t="shared" si="1"/>
        <v>0.67259724692718181</v>
      </c>
      <c r="H198" s="7">
        <f>H199+H202</f>
        <v>23000</v>
      </c>
      <c r="I198" s="7">
        <f>I199+I202</f>
        <v>33317.339999999997</v>
      </c>
      <c r="J198" s="218">
        <f t="shared" si="7"/>
        <v>1.4485799999999998</v>
      </c>
      <c r="K198" s="201">
        <f t="shared" si="20"/>
        <v>1322784</v>
      </c>
      <c r="L198" s="201">
        <f t="shared" si="22"/>
        <v>907548.48</v>
      </c>
      <c r="M198" s="385">
        <f t="shared" ref="M198:M274" si="23">L198/K198</f>
        <v>0.68608970172000872</v>
      </c>
      <c r="N198" s="549"/>
      <c r="O198" s="549"/>
      <c r="P198" s="549"/>
      <c r="Q198" s="549"/>
    </row>
    <row r="199" spans="1:17" x14ac:dyDescent="0.25">
      <c r="A199" s="940"/>
      <c r="B199" s="941"/>
      <c r="C199" s="941"/>
      <c r="D199" s="377" t="s">
        <v>407</v>
      </c>
      <c r="E199" s="37">
        <v>1299784</v>
      </c>
      <c r="F199" s="37">
        <v>874231.14</v>
      </c>
      <c r="G199" s="218">
        <f t="shared" si="1"/>
        <v>0.67259724692718181</v>
      </c>
      <c r="H199" s="7"/>
      <c r="I199" s="7">
        <v>33317.339999999997</v>
      </c>
      <c r="J199" s="218"/>
      <c r="K199" s="201">
        <f t="shared" si="20"/>
        <v>1299784</v>
      </c>
      <c r="L199" s="201">
        <f t="shared" si="22"/>
        <v>907548.48</v>
      </c>
      <c r="M199" s="385">
        <f t="shared" si="23"/>
        <v>0.6982302290226684</v>
      </c>
      <c r="N199" s="549"/>
      <c r="O199" s="549"/>
      <c r="P199" s="549"/>
      <c r="Q199" s="549"/>
    </row>
    <row r="200" spans="1:17" x14ac:dyDescent="0.25">
      <c r="A200" s="940"/>
      <c r="B200" s="941"/>
      <c r="C200" s="941"/>
      <c r="D200" s="378" t="s">
        <v>408</v>
      </c>
      <c r="E200" s="37">
        <v>1044930</v>
      </c>
      <c r="F200" s="37">
        <v>702732.35</v>
      </c>
      <c r="G200" s="218">
        <f t="shared" si="1"/>
        <v>0.67251619725723255</v>
      </c>
      <c r="H200" s="7"/>
      <c r="I200" s="7"/>
      <c r="J200" s="218"/>
      <c r="K200" s="201">
        <f t="shared" si="20"/>
        <v>1044930</v>
      </c>
      <c r="L200" s="201">
        <f t="shared" si="21"/>
        <v>702732.35</v>
      </c>
      <c r="M200" s="385">
        <f t="shared" si="23"/>
        <v>0.67251619725723255</v>
      </c>
      <c r="N200" s="549"/>
      <c r="O200" s="549"/>
      <c r="P200" s="549"/>
      <c r="Q200" s="549"/>
    </row>
    <row r="201" spans="1:17" ht="34.9" customHeight="1" x14ac:dyDescent="0.25">
      <c r="A201" s="940"/>
      <c r="B201" s="941"/>
      <c r="C201" s="941"/>
      <c r="D201" s="378" t="s">
        <v>409</v>
      </c>
      <c r="E201" s="37">
        <v>109471</v>
      </c>
      <c r="F201" s="37">
        <v>51826.71</v>
      </c>
      <c r="G201" s="218">
        <f t="shared" si="1"/>
        <v>0.47342867060682736</v>
      </c>
      <c r="H201" s="7"/>
      <c r="I201" s="7"/>
      <c r="J201" s="218"/>
      <c r="K201" s="201">
        <f t="shared" si="20"/>
        <v>109471</v>
      </c>
      <c r="L201" s="201">
        <f>F201+I201</f>
        <v>51826.71</v>
      </c>
      <c r="M201" s="385">
        <f t="shared" si="23"/>
        <v>0.47342867060682736</v>
      </c>
      <c r="N201" s="549"/>
      <c r="O201" s="549"/>
      <c r="P201" s="549"/>
      <c r="Q201" s="549"/>
    </row>
    <row r="202" spans="1:17" x14ac:dyDescent="0.25">
      <c r="A202" s="940"/>
      <c r="B202" s="941"/>
      <c r="C202" s="941"/>
      <c r="D202" s="377" t="s">
        <v>410</v>
      </c>
      <c r="E202" s="37"/>
      <c r="F202" s="37"/>
      <c r="G202" s="218"/>
      <c r="H202" s="7">
        <f>H203</f>
        <v>23000</v>
      </c>
      <c r="I202" s="7"/>
      <c r="J202" s="218">
        <f t="shared" si="7"/>
        <v>0</v>
      </c>
      <c r="K202" s="201">
        <f t="shared" si="20"/>
        <v>23000</v>
      </c>
      <c r="L202" s="201">
        <f t="shared" si="21"/>
        <v>0</v>
      </c>
      <c r="M202" s="385">
        <f t="shared" si="23"/>
        <v>0</v>
      </c>
      <c r="N202" s="549"/>
      <c r="O202" s="549"/>
      <c r="P202" s="549"/>
      <c r="Q202" s="549"/>
    </row>
    <row r="203" spans="1:17" x14ac:dyDescent="0.25">
      <c r="A203" s="940"/>
      <c r="B203" s="941"/>
      <c r="C203" s="941"/>
      <c r="D203" s="378" t="s">
        <v>411</v>
      </c>
      <c r="E203" s="37"/>
      <c r="F203" s="37"/>
      <c r="G203" s="218"/>
      <c r="H203" s="7">
        <v>23000</v>
      </c>
      <c r="I203" s="7">
        <v>0</v>
      </c>
      <c r="J203" s="218">
        <f t="shared" si="7"/>
        <v>0</v>
      </c>
      <c r="K203" s="201">
        <f t="shared" si="20"/>
        <v>23000</v>
      </c>
      <c r="L203" s="201">
        <f t="shared" si="21"/>
        <v>0</v>
      </c>
      <c r="M203" s="385">
        <f t="shared" si="23"/>
        <v>0</v>
      </c>
      <c r="N203" s="549"/>
      <c r="O203" s="549"/>
      <c r="P203" s="549"/>
      <c r="Q203" s="549"/>
    </row>
    <row r="204" spans="1:17" ht="45.75" customHeight="1" x14ac:dyDescent="0.25">
      <c r="A204" s="940" t="s">
        <v>96</v>
      </c>
      <c r="B204" s="941" t="s">
        <v>97</v>
      </c>
      <c r="C204" s="941" t="s">
        <v>98</v>
      </c>
      <c r="D204" s="24" t="s">
        <v>99</v>
      </c>
      <c r="E204" s="37">
        <f>E205</f>
        <v>24530366</v>
      </c>
      <c r="F204" s="37">
        <f>F205</f>
        <v>16339280.17</v>
      </c>
      <c r="G204" s="218">
        <f t="shared" si="1"/>
        <v>0.66608383136232052</v>
      </c>
      <c r="H204" s="7">
        <f>H205</f>
        <v>160010</v>
      </c>
      <c r="I204" s="7">
        <f>I205</f>
        <v>3068.37</v>
      </c>
      <c r="J204" s="218">
        <f t="shared" si="7"/>
        <v>1.9176113992875443E-2</v>
      </c>
      <c r="K204" s="201">
        <f t="shared" si="20"/>
        <v>24690376</v>
      </c>
      <c r="L204" s="201">
        <f>F204+I204</f>
        <v>16342348.539999999</v>
      </c>
      <c r="M204" s="385">
        <f t="shared" si="23"/>
        <v>0.66189144061637617</v>
      </c>
      <c r="N204" s="549"/>
      <c r="O204" s="549"/>
      <c r="P204" s="549"/>
      <c r="Q204" s="549"/>
    </row>
    <row r="205" spans="1:17" x14ac:dyDescent="0.25">
      <c r="A205" s="940"/>
      <c r="B205" s="941"/>
      <c r="C205" s="941"/>
      <c r="D205" s="377" t="s">
        <v>407</v>
      </c>
      <c r="E205" s="37">
        <v>24530366</v>
      </c>
      <c r="F205" s="37">
        <v>16339280.17</v>
      </c>
      <c r="G205" s="218">
        <f t="shared" si="1"/>
        <v>0.66608383136232052</v>
      </c>
      <c r="H205" s="7">
        <v>160010</v>
      </c>
      <c r="I205" s="7">
        <v>3068.37</v>
      </c>
      <c r="J205" s="218">
        <f t="shared" si="7"/>
        <v>1.9176113992875443E-2</v>
      </c>
      <c r="K205" s="201">
        <f t="shared" si="20"/>
        <v>24690376</v>
      </c>
      <c r="L205" s="201">
        <f>F205+I205</f>
        <v>16342348.539999999</v>
      </c>
      <c r="M205" s="385">
        <f t="shared" si="23"/>
        <v>0.66189144061637617</v>
      </c>
      <c r="N205" s="549"/>
      <c r="O205" s="549"/>
      <c r="P205" s="549"/>
      <c r="Q205" s="549"/>
    </row>
    <row r="206" spans="1:17" x14ac:dyDescent="0.25">
      <c r="A206" s="940"/>
      <c r="B206" s="941"/>
      <c r="C206" s="941"/>
      <c r="D206" s="378" t="s">
        <v>408</v>
      </c>
      <c r="E206" s="37">
        <v>17711841</v>
      </c>
      <c r="F206" s="37">
        <v>12353210.449999999</v>
      </c>
      <c r="G206" s="218">
        <f t="shared" si="1"/>
        <v>0.6974549088375398</v>
      </c>
      <c r="H206" s="7"/>
      <c r="I206" s="7"/>
      <c r="J206" s="218"/>
      <c r="K206" s="201">
        <f t="shared" si="20"/>
        <v>17711841</v>
      </c>
      <c r="L206" s="201">
        <f>F206+I206</f>
        <v>12353210.449999999</v>
      </c>
      <c r="M206" s="385">
        <f t="shared" si="23"/>
        <v>0.6974549088375398</v>
      </c>
      <c r="N206" s="549"/>
      <c r="O206" s="549"/>
      <c r="P206" s="549"/>
      <c r="Q206" s="549"/>
    </row>
    <row r="207" spans="1:17" ht="31.5" x14ac:dyDescent="0.25">
      <c r="A207" s="940"/>
      <c r="B207" s="941"/>
      <c r="C207" s="941"/>
      <c r="D207" s="378" t="s">
        <v>409</v>
      </c>
      <c r="E207" s="37">
        <v>5062186</v>
      </c>
      <c r="F207" s="37">
        <v>2667733.13</v>
      </c>
      <c r="G207" s="218">
        <f t="shared" si="1"/>
        <v>0.52699231715310335</v>
      </c>
      <c r="H207" s="7"/>
      <c r="I207" s="7"/>
      <c r="J207" s="218"/>
      <c r="K207" s="201">
        <f t="shared" si="20"/>
        <v>5062186</v>
      </c>
      <c r="L207" s="201">
        <f t="shared" si="21"/>
        <v>2667733.13</v>
      </c>
      <c r="M207" s="385">
        <f t="shared" si="23"/>
        <v>0.52699231715310335</v>
      </c>
      <c r="N207" s="549"/>
      <c r="O207" s="549"/>
      <c r="P207" s="549"/>
      <c r="Q207" s="549"/>
    </row>
    <row r="208" spans="1:17" ht="31.5" x14ac:dyDescent="0.25">
      <c r="A208" s="940" t="s">
        <v>173</v>
      </c>
      <c r="B208" s="941" t="s">
        <v>174</v>
      </c>
      <c r="C208" s="941" t="s">
        <v>100</v>
      </c>
      <c r="D208" s="24" t="s">
        <v>175</v>
      </c>
      <c r="E208" s="37">
        <f>E209</f>
        <v>2114801</v>
      </c>
      <c r="F208" s="37">
        <f>F209</f>
        <v>1593820.47</v>
      </c>
      <c r="G208" s="218">
        <f t="shared" si="1"/>
        <v>0.75365032927448017</v>
      </c>
      <c r="H208" s="7">
        <v>0</v>
      </c>
      <c r="I208" s="7">
        <v>0</v>
      </c>
      <c r="J208" s="218"/>
      <c r="K208" s="201">
        <f t="shared" si="20"/>
        <v>2114801</v>
      </c>
      <c r="L208" s="201">
        <f t="shared" si="21"/>
        <v>1593820.47</v>
      </c>
      <c r="M208" s="385">
        <f t="shared" si="23"/>
        <v>0.75365032927448017</v>
      </c>
      <c r="N208" s="549"/>
      <c r="O208" s="549"/>
      <c r="P208" s="549"/>
      <c r="Q208" s="549"/>
    </row>
    <row r="209" spans="1:17" x14ac:dyDescent="0.25">
      <c r="A209" s="940"/>
      <c r="B209" s="941"/>
      <c r="C209" s="941"/>
      <c r="D209" s="377" t="s">
        <v>407</v>
      </c>
      <c r="E209" s="37">
        <v>2114801</v>
      </c>
      <c r="F209" s="37">
        <v>1593820.47</v>
      </c>
      <c r="G209" s="218">
        <f t="shared" si="1"/>
        <v>0.75365032927448017</v>
      </c>
      <c r="H209" s="7"/>
      <c r="I209" s="7"/>
      <c r="J209" s="218"/>
      <c r="K209" s="201">
        <f t="shared" si="20"/>
        <v>2114801</v>
      </c>
      <c r="L209" s="201">
        <f t="shared" si="21"/>
        <v>1593820.47</v>
      </c>
      <c r="M209" s="385">
        <f t="shared" si="23"/>
        <v>0.75365032927448017</v>
      </c>
      <c r="N209" s="549"/>
      <c r="O209" s="549"/>
      <c r="P209" s="549"/>
      <c r="Q209" s="549"/>
    </row>
    <row r="210" spans="1:17" x14ac:dyDescent="0.25">
      <c r="A210" s="940"/>
      <c r="B210" s="941"/>
      <c r="C210" s="941"/>
      <c r="D210" s="378" t="s">
        <v>408</v>
      </c>
      <c r="E210" s="37">
        <v>2006393</v>
      </c>
      <c r="F210" s="37">
        <v>1508791.24</v>
      </c>
      <c r="G210" s="218">
        <f t="shared" si="1"/>
        <v>0.75199187796209421</v>
      </c>
      <c r="H210" s="7"/>
      <c r="I210" s="7"/>
      <c r="J210" s="218"/>
      <c r="K210" s="201">
        <f t="shared" si="20"/>
        <v>2006393</v>
      </c>
      <c r="L210" s="201">
        <f t="shared" si="21"/>
        <v>1508791.24</v>
      </c>
      <c r="M210" s="385">
        <f t="shared" si="23"/>
        <v>0.75199187796209421</v>
      </c>
      <c r="N210" s="549"/>
      <c r="O210" s="549"/>
      <c r="P210" s="549"/>
      <c r="Q210" s="549"/>
    </row>
    <row r="211" spans="1:17" ht="31.5" x14ac:dyDescent="0.25">
      <c r="A211" s="940" t="s">
        <v>101</v>
      </c>
      <c r="B211" s="941" t="s">
        <v>102</v>
      </c>
      <c r="C211" s="941" t="s">
        <v>100</v>
      </c>
      <c r="D211" s="24" t="s">
        <v>103</v>
      </c>
      <c r="E211" s="37">
        <f>E212</f>
        <v>316106</v>
      </c>
      <c r="F211" s="37">
        <v>207758</v>
      </c>
      <c r="G211" s="218">
        <f t="shared" si="1"/>
        <v>0.657241558211486</v>
      </c>
      <c r="H211" s="7">
        <v>0</v>
      </c>
      <c r="I211" s="7">
        <v>0</v>
      </c>
      <c r="J211" s="218"/>
      <c r="K211" s="201">
        <f t="shared" si="20"/>
        <v>316106</v>
      </c>
      <c r="L211" s="201">
        <f t="shared" si="21"/>
        <v>207758</v>
      </c>
      <c r="M211" s="385">
        <f t="shared" si="23"/>
        <v>0.657241558211486</v>
      </c>
      <c r="N211" s="549"/>
      <c r="O211" s="549"/>
      <c r="P211" s="549"/>
      <c r="Q211" s="549"/>
    </row>
    <row r="212" spans="1:17" x14ac:dyDescent="0.25">
      <c r="A212" s="940"/>
      <c r="B212" s="941"/>
      <c r="C212" s="941"/>
      <c r="D212" s="377" t="s">
        <v>407</v>
      </c>
      <c r="E212" s="37">
        <v>316106</v>
      </c>
      <c r="F212" s="37">
        <v>207758</v>
      </c>
      <c r="G212" s="218">
        <f t="shared" si="1"/>
        <v>0.657241558211486</v>
      </c>
      <c r="H212" s="7"/>
      <c r="I212" s="7"/>
      <c r="J212" s="218"/>
      <c r="K212" s="201">
        <f t="shared" si="20"/>
        <v>316106</v>
      </c>
      <c r="L212" s="201">
        <f t="shared" si="21"/>
        <v>207758</v>
      </c>
      <c r="M212" s="385">
        <f t="shared" si="23"/>
        <v>0.657241558211486</v>
      </c>
      <c r="N212" s="549"/>
      <c r="O212" s="549"/>
      <c r="P212" s="549"/>
      <c r="Q212" s="549"/>
    </row>
    <row r="213" spans="1:17" ht="47.25" x14ac:dyDescent="0.25">
      <c r="A213" s="940" t="s">
        <v>104</v>
      </c>
      <c r="B213" s="941" t="s">
        <v>105</v>
      </c>
      <c r="C213" s="941" t="s">
        <v>106</v>
      </c>
      <c r="D213" s="24" t="s">
        <v>107</v>
      </c>
      <c r="E213" s="37">
        <f>E214</f>
        <v>90000</v>
      </c>
      <c r="F213" s="37">
        <v>77900</v>
      </c>
      <c r="G213" s="218">
        <f t="shared" si="1"/>
        <v>0.86555555555555552</v>
      </c>
      <c r="H213" s="7">
        <v>0</v>
      </c>
      <c r="I213" s="7">
        <v>0</v>
      </c>
      <c r="J213" s="218"/>
      <c r="K213" s="201">
        <f t="shared" si="20"/>
        <v>90000</v>
      </c>
      <c r="L213" s="201">
        <f t="shared" si="21"/>
        <v>77900</v>
      </c>
      <c r="M213" s="385">
        <f t="shared" si="23"/>
        <v>0.86555555555555552</v>
      </c>
      <c r="N213" s="549"/>
      <c r="O213" s="549"/>
      <c r="P213" s="549"/>
      <c r="Q213" s="549"/>
    </row>
    <row r="214" spans="1:17" x14ac:dyDescent="0.25">
      <c r="A214" s="940"/>
      <c r="B214" s="941"/>
      <c r="C214" s="941"/>
      <c r="D214" s="377" t="s">
        <v>407</v>
      </c>
      <c r="E214" s="37">
        <v>90000</v>
      </c>
      <c r="F214" s="37">
        <v>24780</v>
      </c>
      <c r="G214" s="218">
        <f t="shared" si="1"/>
        <v>0.27533333333333332</v>
      </c>
      <c r="H214" s="7"/>
      <c r="I214" s="7"/>
      <c r="J214" s="218"/>
      <c r="K214" s="201">
        <f t="shared" si="20"/>
        <v>90000</v>
      </c>
      <c r="L214" s="201">
        <f t="shared" si="21"/>
        <v>24780</v>
      </c>
      <c r="M214" s="385">
        <f t="shared" si="23"/>
        <v>0.27533333333333332</v>
      </c>
      <c r="N214" s="549"/>
      <c r="O214" s="549"/>
      <c r="P214" s="549"/>
      <c r="Q214" s="549"/>
    </row>
    <row r="215" spans="1:17" ht="63" x14ac:dyDescent="0.25">
      <c r="A215" s="940" t="s">
        <v>108</v>
      </c>
      <c r="B215" s="941" t="s">
        <v>109</v>
      </c>
      <c r="C215" s="941" t="s">
        <v>106</v>
      </c>
      <c r="D215" s="24" t="s">
        <v>542</v>
      </c>
      <c r="E215" s="37">
        <f>E216</f>
        <v>12001927</v>
      </c>
      <c r="F215" s="37">
        <f>F216</f>
        <v>5858723.9800000004</v>
      </c>
      <c r="G215" s="218">
        <f t="shared" si="1"/>
        <v>0.48814860980240926</v>
      </c>
      <c r="H215" s="7">
        <v>0</v>
      </c>
      <c r="I215" s="7">
        <v>0</v>
      </c>
      <c r="J215" s="218"/>
      <c r="K215" s="201">
        <f t="shared" si="20"/>
        <v>12001927</v>
      </c>
      <c r="L215" s="201">
        <f t="shared" si="21"/>
        <v>5858723.9800000004</v>
      </c>
      <c r="M215" s="385">
        <f t="shared" si="23"/>
        <v>0.48814860980240926</v>
      </c>
      <c r="N215" s="549"/>
      <c r="O215" s="549"/>
      <c r="P215" s="549"/>
      <c r="Q215" s="549"/>
    </row>
    <row r="216" spans="1:17" x14ac:dyDescent="0.25">
      <c r="A216" s="940"/>
      <c r="B216" s="941"/>
      <c r="C216" s="941"/>
      <c r="D216" s="377" t="s">
        <v>407</v>
      </c>
      <c r="E216" s="37">
        <v>12001927</v>
      </c>
      <c r="F216" s="37">
        <v>5858723.9800000004</v>
      </c>
      <c r="G216" s="218">
        <f t="shared" si="1"/>
        <v>0.48814860980240926</v>
      </c>
      <c r="H216" s="7"/>
      <c r="I216" s="7"/>
      <c r="J216" s="218"/>
      <c r="K216" s="201">
        <f t="shared" si="20"/>
        <v>12001927</v>
      </c>
      <c r="L216" s="201">
        <f t="shared" si="21"/>
        <v>5858723.9800000004</v>
      </c>
      <c r="M216" s="385">
        <f t="shared" si="23"/>
        <v>0.48814860980240926</v>
      </c>
      <c r="N216" s="549"/>
      <c r="O216" s="549"/>
      <c r="P216" s="549"/>
      <c r="Q216" s="549"/>
    </row>
    <row r="217" spans="1:17" x14ac:dyDescent="0.25">
      <c r="A217" s="940"/>
      <c r="B217" s="941"/>
      <c r="C217" s="941"/>
      <c r="D217" s="378" t="s">
        <v>408</v>
      </c>
      <c r="E217" s="37">
        <v>5907423</v>
      </c>
      <c r="F217" s="37">
        <v>4023332.28</v>
      </c>
      <c r="G217" s="218">
        <f t="shared" si="1"/>
        <v>0.68106385474681597</v>
      </c>
      <c r="H217" s="7"/>
      <c r="I217" s="7"/>
      <c r="J217" s="218"/>
      <c r="K217" s="201">
        <f t="shared" si="20"/>
        <v>5907423</v>
      </c>
      <c r="L217" s="201">
        <f t="shared" si="21"/>
        <v>4023332.28</v>
      </c>
      <c r="M217" s="385">
        <f t="shared" si="23"/>
        <v>0.68106385474681597</v>
      </c>
      <c r="N217" s="549"/>
      <c r="O217" s="549"/>
      <c r="P217" s="549"/>
      <c r="Q217" s="549"/>
    </row>
    <row r="218" spans="1:17" ht="31.5" x14ac:dyDescent="0.25">
      <c r="A218" s="940"/>
      <c r="B218" s="941"/>
      <c r="C218" s="941"/>
      <c r="D218" s="378" t="s">
        <v>409</v>
      </c>
      <c r="E218" s="37">
        <v>542849</v>
      </c>
      <c r="F218" s="37">
        <v>274426.65999999997</v>
      </c>
      <c r="G218" s="218">
        <f t="shared" si="1"/>
        <v>0.50553037769250742</v>
      </c>
      <c r="H218" s="7"/>
      <c r="I218" s="7"/>
      <c r="J218" s="218"/>
      <c r="K218" s="201">
        <f t="shared" si="20"/>
        <v>542849</v>
      </c>
      <c r="L218" s="201">
        <f t="shared" si="21"/>
        <v>274426.65999999997</v>
      </c>
      <c r="M218" s="385">
        <f t="shared" si="23"/>
        <v>0.50553037769250742</v>
      </c>
      <c r="N218" s="549"/>
      <c r="O218" s="549"/>
      <c r="P218" s="549"/>
      <c r="Q218" s="549"/>
    </row>
    <row r="219" spans="1:17" ht="31.5" x14ac:dyDescent="0.25">
      <c r="A219" s="940" t="s">
        <v>176</v>
      </c>
      <c r="B219" s="941" t="s">
        <v>177</v>
      </c>
      <c r="C219" s="941" t="s">
        <v>106</v>
      </c>
      <c r="D219" s="24" t="s">
        <v>543</v>
      </c>
      <c r="E219" s="37">
        <f>E220</f>
        <v>34958996</v>
      </c>
      <c r="F219" s="37">
        <f>F220</f>
        <v>21912807.41</v>
      </c>
      <c r="G219" s="218">
        <f t="shared" si="1"/>
        <v>0.62681455182522972</v>
      </c>
      <c r="H219" s="7">
        <v>0</v>
      </c>
      <c r="I219" s="7">
        <v>0</v>
      </c>
      <c r="J219" s="218"/>
      <c r="K219" s="201">
        <f t="shared" si="20"/>
        <v>34958996</v>
      </c>
      <c r="L219" s="201">
        <f t="shared" si="21"/>
        <v>21912807.41</v>
      </c>
      <c r="M219" s="385">
        <f t="shared" si="23"/>
        <v>0.62681455182522972</v>
      </c>
      <c r="N219" s="549"/>
      <c r="O219" s="549"/>
      <c r="P219" s="549"/>
      <c r="Q219" s="549"/>
    </row>
    <row r="220" spans="1:17" x14ac:dyDescent="0.25">
      <c r="A220" s="940"/>
      <c r="B220" s="941"/>
      <c r="C220" s="941"/>
      <c r="D220" s="377" t="s">
        <v>407</v>
      </c>
      <c r="E220" s="37">
        <v>34958996</v>
      </c>
      <c r="F220" s="37">
        <v>21912807.41</v>
      </c>
      <c r="G220" s="218">
        <f t="shared" si="1"/>
        <v>0.62681455182522972</v>
      </c>
      <c r="H220" s="7"/>
      <c r="I220" s="7"/>
      <c r="J220" s="218"/>
      <c r="K220" s="201">
        <f t="shared" si="20"/>
        <v>34958996</v>
      </c>
      <c r="L220" s="201">
        <f t="shared" si="21"/>
        <v>21912807.41</v>
      </c>
      <c r="M220" s="385">
        <f t="shared" si="23"/>
        <v>0.62681455182522972</v>
      </c>
      <c r="N220" s="549"/>
      <c r="O220" s="549"/>
      <c r="P220" s="549"/>
      <c r="Q220" s="549"/>
    </row>
    <row r="221" spans="1:17" s="745" customFormat="1" ht="47.25" x14ac:dyDescent="0.25">
      <c r="A221" s="940">
        <v>1015049</v>
      </c>
      <c r="B221" s="941">
        <v>5049</v>
      </c>
      <c r="C221" s="941">
        <v>810</v>
      </c>
      <c r="D221" s="378" t="s">
        <v>621</v>
      </c>
      <c r="E221" s="37">
        <v>105408</v>
      </c>
      <c r="F221" s="37">
        <f>F222</f>
        <v>11712</v>
      </c>
      <c r="G221" s="218">
        <f t="shared" si="1"/>
        <v>0.1111111111111111</v>
      </c>
      <c r="H221" s="7"/>
      <c r="I221" s="7"/>
      <c r="J221" s="218"/>
      <c r="K221" s="201">
        <f t="shared" si="20"/>
        <v>105408</v>
      </c>
      <c r="L221" s="201">
        <f t="shared" si="21"/>
        <v>11712</v>
      </c>
      <c r="M221" s="385">
        <f t="shared" si="23"/>
        <v>0.1111111111111111</v>
      </c>
      <c r="N221" s="744"/>
      <c r="O221" s="744"/>
      <c r="P221" s="744"/>
      <c r="Q221" s="744"/>
    </row>
    <row r="222" spans="1:17" x14ac:dyDescent="0.25">
      <c r="A222" s="940"/>
      <c r="B222" s="941"/>
      <c r="C222" s="941"/>
      <c r="D222" s="377" t="s">
        <v>407</v>
      </c>
      <c r="E222" s="37">
        <v>105408</v>
      </c>
      <c r="F222" s="37">
        <v>11712</v>
      </c>
      <c r="G222" s="218">
        <f t="shared" si="1"/>
        <v>0.1111111111111111</v>
      </c>
      <c r="H222" s="7"/>
      <c r="I222" s="7"/>
      <c r="J222" s="218"/>
      <c r="K222" s="201">
        <f t="shared" si="20"/>
        <v>105408</v>
      </c>
      <c r="L222" s="201">
        <f t="shared" si="21"/>
        <v>11712</v>
      </c>
      <c r="M222" s="385">
        <f t="shared" si="23"/>
        <v>0.1111111111111111</v>
      </c>
      <c r="N222" s="549"/>
      <c r="O222" s="549"/>
      <c r="P222" s="549"/>
      <c r="Q222" s="549"/>
    </row>
    <row r="223" spans="1:17" x14ac:dyDescent="0.25">
      <c r="A223" s="940"/>
      <c r="B223" s="941"/>
      <c r="C223" s="941"/>
      <c r="D223" s="378" t="s">
        <v>408</v>
      </c>
      <c r="E223" s="37">
        <v>105408</v>
      </c>
      <c r="F223" s="37">
        <v>11712</v>
      </c>
      <c r="G223" s="218">
        <f t="shared" si="1"/>
        <v>0.1111111111111111</v>
      </c>
      <c r="H223" s="7"/>
      <c r="I223" s="7"/>
      <c r="J223" s="218"/>
      <c r="K223" s="201">
        <f t="shared" si="20"/>
        <v>105408</v>
      </c>
      <c r="L223" s="201">
        <f t="shared" si="21"/>
        <v>11712</v>
      </c>
      <c r="M223" s="385">
        <f t="shared" si="23"/>
        <v>0.1111111111111111</v>
      </c>
      <c r="N223" s="549"/>
      <c r="O223" s="549"/>
      <c r="P223" s="549"/>
      <c r="Q223" s="549"/>
    </row>
    <row r="224" spans="1:17" ht="79.5" customHeight="1" x14ac:dyDescent="0.25">
      <c r="A224" s="940" t="s">
        <v>110</v>
      </c>
      <c r="B224" s="941" t="s">
        <v>111</v>
      </c>
      <c r="C224" s="941" t="s">
        <v>106</v>
      </c>
      <c r="D224" s="24" t="s">
        <v>112</v>
      </c>
      <c r="E224" s="37">
        <f>E225</f>
        <v>6017864</v>
      </c>
      <c r="F224" s="37">
        <f>F225</f>
        <v>3442214.93</v>
      </c>
      <c r="G224" s="218">
        <f t="shared" si="1"/>
        <v>0.57199945528845453</v>
      </c>
      <c r="H224" s="7">
        <v>0</v>
      </c>
      <c r="I224" s="7">
        <v>0</v>
      </c>
      <c r="J224" s="218"/>
      <c r="K224" s="201">
        <f t="shared" si="20"/>
        <v>6017864</v>
      </c>
      <c r="L224" s="201">
        <f t="shared" si="21"/>
        <v>3442214.93</v>
      </c>
      <c r="M224" s="385">
        <f t="shared" si="23"/>
        <v>0.57199945528845453</v>
      </c>
      <c r="N224" s="549"/>
      <c r="O224" s="549"/>
      <c r="P224" s="549"/>
      <c r="Q224" s="549"/>
    </row>
    <row r="225" spans="1:17" x14ac:dyDescent="0.25">
      <c r="A225" s="940"/>
      <c r="B225" s="941"/>
      <c r="C225" s="941"/>
      <c r="D225" s="377" t="s">
        <v>407</v>
      </c>
      <c r="E225" s="37">
        <v>6017864</v>
      </c>
      <c r="F225" s="37">
        <v>3442214.93</v>
      </c>
      <c r="G225" s="218">
        <f t="shared" si="1"/>
        <v>0.57199945528845453</v>
      </c>
      <c r="H225" s="7"/>
      <c r="I225" s="7"/>
      <c r="J225" s="218"/>
      <c r="K225" s="201">
        <f t="shared" si="20"/>
        <v>6017864</v>
      </c>
      <c r="L225" s="201">
        <f t="shared" si="21"/>
        <v>3442214.93</v>
      </c>
      <c r="M225" s="385">
        <f t="shared" si="23"/>
        <v>0.57199945528845453</v>
      </c>
      <c r="N225" s="549"/>
      <c r="O225" s="549"/>
      <c r="P225" s="549"/>
      <c r="Q225" s="549"/>
    </row>
    <row r="226" spans="1:17" x14ac:dyDescent="0.25">
      <c r="A226" s="940"/>
      <c r="B226" s="941"/>
      <c r="C226" s="941"/>
      <c r="D226" s="378" t="s">
        <v>408</v>
      </c>
      <c r="E226" s="37">
        <v>3633493</v>
      </c>
      <c r="F226" s="37">
        <v>2434038.42</v>
      </c>
      <c r="G226" s="218">
        <f t="shared" si="1"/>
        <v>0.66988939293401695</v>
      </c>
      <c r="H226" s="7"/>
      <c r="I226" s="7"/>
      <c r="J226" s="218"/>
      <c r="K226" s="201">
        <f t="shared" si="20"/>
        <v>3633493</v>
      </c>
      <c r="L226" s="201">
        <f t="shared" si="21"/>
        <v>2434038.42</v>
      </c>
      <c r="M226" s="385">
        <f t="shared" si="23"/>
        <v>0.66988939293401695</v>
      </c>
      <c r="N226" s="549"/>
      <c r="O226" s="549"/>
      <c r="P226" s="549"/>
      <c r="Q226" s="549"/>
    </row>
    <row r="227" spans="1:17" ht="31.5" x14ac:dyDescent="0.25">
      <c r="A227" s="940"/>
      <c r="B227" s="941"/>
      <c r="C227" s="941"/>
      <c r="D227" s="378" t="s">
        <v>409</v>
      </c>
      <c r="E227" s="37">
        <v>119881</v>
      </c>
      <c r="F227" s="37">
        <v>23866.76</v>
      </c>
      <c r="G227" s="218">
        <f t="shared" si="1"/>
        <v>0.19908709470224639</v>
      </c>
      <c r="H227" s="7"/>
      <c r="I227" s="7"/>
      <c r="J227" s="218"/>
      <c r="K227" s="201">
        <f t="shared" si="20"/>
        <v>119881</v>
      </c>
      <c r="L227" s="201">
        <f t="shared" si="21"/>
        <v>23866.76</v>
      </c>
      <c r="M227" s="385">
        <f t="shared" si="23"/>
        <v>0.19908709470224639</v>
      </c>
      <c r="N227" s="549"/>
      <c r="O227" s="549"/>
      <c r="P227" s="549"/>
      <c r="Q227" s="549"/>
    </row>
    <row r="228" spans="1:17" ht="57" customHeight="1" x14ac:dyDescent="0.25">
      <c r="A228" s="940" t="s">
        <v>113</v>
      </c>
      <c r="B228" s="941" t="s">
        <v>114</v>
      </c>
      <c r="C228" s="941" t="s">
        <v>106</v>
      </c>
      <c r="D228" s="24" t="s">
        <v>115</v>
      </c>
      <c r="E228" s="37">
        <f>E229</f>
        <v>528000</v>
      </c>
      <c r="F228" s="37">
        <f>F229</f>
        <v>396000</v>
      </c>
      <c r="G228" s="218">
        <f t="shared" si="1"/>
        <v>0.75</v>
      </c>
      <c r="H228" s="7">
        <v>0</v>
      </c>
      <c r="I228" s="7">
        <v>0</v>
      </c>
      <c r="J228" s="218"/>
      <c r="K228" s="201">
        <f t="shared" si="20"/>
        <v>528000</v>
      </c>
      <c r="L228" s="201">
        <f t="shared" si="21"/>
        <v>396000</v>
      </c>
      <c r="M228" s="385">
        <f t="shared" si="23"/>
        <v>0.75</v>
      </c>
      <c r="N228" s="549"/>
      <c r="O228" s="549"/>
      <c r="P228" s="549"/>
      <c r="Q228" s="549"/>
    </row>
    <row r="229" spans="1:17" ht="16.5" thickBot="1" x14ac:dyDescent="0.3">
      <c r="A229" s="940"/>
      <c r="B229" s="941"/>
      <c r="C229" s="941"/>
      <c r="D229" s="377" t="s">
        <v>407</v>
      </c>
      <c r="E229" s="37">
        <v>528000</v>
      </c>
      <c r="F229" s="37">
        <v>396000</v>
      </c>
      <c r="G229" s="218">
        <f t="shared" si="1"/>
        <v>0.75</v>
      </c>
      <c r="H229" s="7"/>
      <c r="I229" s="7"/>
      <c r="J229" s="218"/>
      <c r="K229" s="201">
        <f t="shared" si="20"/>
        <v>528000</v>
      </c>
      <c r="L229" s="201">
        <f t="shared" si="21"/>
        <v>396000</v>
      </c>
      <c r="M229" s="385">
        <f t="shared" si="23"/>
        <v>0.75</v>
      </c>
      <c r="N229" s="549"/>
      <c r="O229" s="549"/>
      <c r="P229" s="549"/>
      <c r="Q229" s="549"/>
    </row>
    <row r="230" spans="1:17" s="29" customFormat="1" ht="59.25" customHeight="1" thickBot="1" x14ac:dyDescent="0.3">
      <c r="A230" s="32" t="s">
        <v>116</v>
      </c>
      <c r="B230" s="33" t="s">
        <v>14</v>
      </c>
      <c r="C230" s="33" t="s">
        <v>14</v>
      </c>
      <c r="D230" s="34" t="s">
        <v>117</v>
      </c>
      <c r="E230" s="51">
        <f>E231</f>
        <v>70168450</v>
      </c>
      <c r="F230" s="51">
        <f>F231</f>
        <v>51334100.170000002</v>
      </c>
      <c r="G230" s="216">
        <f t="shared" si="1"/>
        <v>0.73158378402259139</v>
      </c>
      <c r="H230" s="10">
        <f>H231</f>
        <v>2755726</v>
      </c>
      <c r="I230" s="10">
        <f>I231</f>
        <v>688321</v>
      </c>
      <c r="J230" s="216">
        <f t="shared" ref="J230:J296" si="24">I230/H230</f>
        <v>0.24977846128388673</v>
      </c>
      <c r="K230" s="214">
        <f>K231</f>
        <v>72924176</v>
      </c>
      <c r="L230" s="214">
        <f>L231</f>
        <v>52022421.170000002</v>
      </c>
      <c r="M230" s="224">
        <f t="shared" si="23"/>
        <v>0.71337688025436174</v>
      </c>
      <c r="N230" s="549"/>
      <c r="O230" s="549"/>
      <c r="P230" s="549"/>
      <c r="Q230" s="549"/>
    </row>
    <row r="231" spans="1:17" s="28" customFormat="1" ht="46.5" customHeight="1" x14ac:dyDescent="0.25">
      <c r="A231" s="45" t="s">
        <v>118</v>
      </c>
      <c r="B231" s="46" t="s">
        <v>14</v>
      </c>
      <c r="C231" s="46" t="s">
        <v>14</v>
      </c>
      <c r="D231" s="47" t="s">
        <v>117</v>
      </c>
      <c r="E231" s="39">
        <f>E232+E235+E239+E244+E248+E250+E252+E237+E254</f>
        <v>70168450</v>
      </c>
      <c r="F231" s="39">
        <f>F232+F235+F239+F244+F248+F250+F252+F237+F254</f>
        <v>51334100.170000002</v>
      </c>
      <c r="G231" s="217">
        <f t="shared" si="1"/>
        <v>0.73158378402259139</v>
      </c>
      <c r="H231" s="39">
        <f>H232+H235+H239+H244+H248+H250+H252+H241+H256</f>
        <v>2755726</v>
      </c>
      <c r="I231" s="39">
        <f>I232+I235+I239+I244+I248+I250+I252+I241+I256</f>
        <v>688321</v>
      </c>
      <c r="J231" s="217">
        <f t="shared" si="24"/>
        <v>0.24977846128388673</v>
      </c>
      <c r="K231" s="215">
        <f>K232+K235+K239+K244+K248+K250+K252+K241+K256+K237+K254</f>
        <v>72924176</v>
      </c>
      <c r="L231" s="215">
        <f>L232+L235+L239+L244+L248+L250+L252+L241+L256+L237+L254</f>
        <v>52022421.170000002</v>
      </c>
      <c r="M231" s="386">
        <f t="shared" si="23"/>
        <v>0.71337688025436174</v>
      </c>
      <c r="N231" s="549"/>
      <c r="O231" s="549"/>
      <c r="P231" s="549"/>
      <c r="Q231" s="549"/>
    </row>
    <row r="232" spans="1:17" ht="47.25" x14ac:dyDescent="0.25">
      <c r="A232" s="940" t="s">
        <v>119</v>
      </c>
      <c r="B232" s="941" t="s">
        <v>42</v>
      </c>
      <c r="C232" s="941" t="s">
        <v>16</v>
      </c>
      <c r="D232" s="24" t="s">
        <v>156</v>
      </c>
      <c r="E232" s="37">
        <f>E233</f>
        <v>4265901</v>
      </c>
      <c r="F232" s="37">
        <f>F233</f>
        <v>2696366.79</v>
      </c>
      <c r="G232" s="218">
        <f t="shared" si="1"/>
        <v>0.63207439413150934</v>
      </c>
      <c r="H232" s="7">
        <v>0</v>
      </c>
      <c r="I232" s="7">
        <v>0</v>
      </c>
      <c r="J232" s="217"/>
      <c r="K232" s="201">
        <f>E232+H232</f>
        <v>4265901</v>
      </c>
      <c r="L232" s="201">
        <f>F232+I232</f>
        <v>2696366.79</v>
      </c>
      <c r="M232" s="385">
        <f t="shared" si="23"/>
        <v>0.63207439413150934</v>
      </c>
      <c r="N232" s="549"/>
      <c r="O232" s="549"/>
      <c r="P232" s="549"/>
      <c r="Q232" s="549"/>
    </row>
    <row r="233" spans="1:17" x14ac:dyDescent="0.25">
      <c r="A233" s="940"/>
      <c r="B233" s="941"/>
      <c r="C233" s="941"/>
      <c r="D233" s="377" t="s">
        <v>407</v>
      </c>
      <c r="E233" s="37">
        <v>4265901</v>
      </c>
      <c r="F233" s="37">
        <v>2696366.79</v>
      </c>
      <c r="G233" s="218">
        <f t="shared" si="1"/>
        <v>0.63207439413150934</v>
      </c>
      <c r="H233" s="7"/>
      <c r="I233" s="7"/>
      <c r="J233" s="217"/>
      <c r="K233" s="201">
        <f t="shared" ref="K233:K258" si="25">E233+H233</f>
        <v>4265901</v>
      </c>
      <c r="L233" s="201">
        <f t="shared" ref="L233:L258" si="26">F233+I233</f>
        <v>2696366.79</v>
      </c>
      <c r="M233" s="385">
        <f t="shared" si="23"/>
        <v>0.63207439413150934</v>
      </c>
      <c r="N233" s="549"/>
      <c r="O233" s="549"/>
      <c r="P233" s="549"/>
      <c r="Q233" s="549"/>
    </row>
    <row r="234" spans="1:17" x14ac:dyDescent="0.25">
      <c r="A234" s="940"/>
      <c r="B234" s="941"/>
      <c r="C234" s="941"/>
      <c r="D234" s="378" t="s">
        <v>408</v>
      </c>
      <c r="E234" s="37">
        <v>4146980</v>
      </c>
      <c r="F234" s="37">
        <v>2589553.11</v>
      </c>
      <c r="G234" s="218">
        <f t="shared" si="1"/>
        <v>0.62444311523084262</v>
      </c>
      <c r="H234" s="7"/>
      <c r="I234" s="7"/>
      <c r="J234" s="217"/>
      <c r="K234" s="201">
        <f t="shared" si="25"/>
        <v>4146980</v>
      </c>
      <c r="L234" s="201">
        <f t="shared" si="26"/>
        <v>2589553.11</v>
      </c>
      <c r="M234" s="385">
        <f t="shared" si="23"/>
        <v>0.62444311523084262</v>
      </c>
      <c r="N234" s="549"/>
      <c r="O234" s="549"/>
      <c r="P234" s="549"/>
      <c r="Q234" s="549"/>
    </row>
    <row r="235" spans="1:17" ht="31.5" x14ac:dyDescent="0.25">
      <c r="A235" s="940" t="s">
        <v>120</v>
      </c>
      <c r="B235" s="941" t="s">
        <v>121</v>
      </c>
      <c r="C235" s="941" t="s">
        <v>122</v>
      </c>
      <c r="D235" s="24" t="s">
        <v>123</v>
      </c>
      <c r="E235" s="37">
        <f>E236</f>
        <v>9760</v>
      </c>
      <c r="F235" s="37">
        <v>9582.5400000000009</v>
      </c>
      <c r="G235" s="218">
        <f t="shared" si="1"/>
        <v>0.98181762295081976</v>
      </c>
      <c r="H235" s="7">
        <v>0</v>
      </c>
      <c r="I235" s="7">
        <v>0</v>
      </c>
      <c r="J235" s="217"/>
      <c r="K235" s="201">
        <f t="shared" si="25"/>
        <v>9760</v>
      </c>
      <c r="L235" s="201">
        <f t="shared" si="26"/>
        <v>9582.5400000000009</v>
      </c>
      <c r="M235" s="385">
        <f t="shared" si="23"/>
        <v>0.98181762295081976</v>
      </c>
      <c r="N235" s="549"/>
      <c r="O235" s="549"/>
      <c r="P235" s="549"/>
      <c r="Q235" s="549"/>
    </row>
    <row r="236" spans="1:17" x14ac:dyDescent="0.25">
      <c r="A236" s="940"/>
      <c r="B236" s="941"/>
      <c r="C236" s="941"/>
      <c r="D236" s="377" t="s">
        <v>407</v>
      </c>
      <c r="E236" s="37">
        <v>9760</v>
      </c>
      <c r="F236" s="37">
        <v>9582.5400000000009</v>
      </c>
      <c r="G236" s="218">
        <f t="shared" si="1"/>
        <v>0.98181762295081976</v>
      </c>
      <c r="H236" s="7"/>
      <c r="I236" s="7"/>
      <c r="J236" s="217"/>
      <c r="K236" s="201">
        <f t="shared" si="25"/>
        <v>9760</v>
      </c>
      <c r="L236" s="201">
        <f t="shared" si="26"/>
        <v>9582.5400000000009</v>
      </c>
      <c r="M236" s="385">
        <f t="shared" si="23"/>
        <v>0.98181762295081976</v>
      </c>
      <c r="N236" s="549"/>
      <c r="O236" s="549"/>
      <c r="P236" s="549"/>
      <c r="Q236" s="549"/>
    </row>
    <row r="237" spans="1:17" ht="47.25" x14ac:dyDescent="0.25">
      <c r="A237" s="940">
        <v>1216012</v>
      </c>
      <c r="B237" s="941">
        <v>6012</v>
      </c>
      <c r="C237" s="941">
        <v>620</v>
      </c>
      <c r="D237" s="378" t="s">
        <v>208</v>
      </c>
      <c r="E237" s="37">
        <f>E238</f>
        <v>6551345</v>
      </c>
      <c r="F237" s="37">
        <f>F238</f>
        <v>6551344.0199999996</v>
      </c>
      <c r="G237" s="218">
        <f t="shared" si="1"/>
        <v>0.99999985041239614</v>
      </c>
      <c r="H237" s="7"/>
      <c r="I237" s="7"/>
      <c r="J237" s="217"/>
      <c r="K237" s="201">
        <f t="shared" si="25"/>
        <v>6551345</v>
      </c>
      <c r="L237" s="201">
        <f t="shared" si="26"/>
        <v>6551344.0199999996</v>
      </c>
      <c r="M237" s="385">
        <f t="shared" si="23"/>
        <v>0.99999985041239614</v>
      </c>
      <c r="N237" s="549"/>
      <c r="O237" s="549"/>
      <c r="P237" s="549"/>
      <c r="Q237" s="549"/>
    </row>
    <row r="238" spans="1:17" x14ac:dyDescent="0.25">
      <c r="A238" s="940"/>
      <c r="B238" s="941"/>
      <c r="C238" s="941"/>
      <c r="D238" s="377" t="s">
        <v>407</v>
      </c>
      <c r="E238" s="37">
        <v>6551345</v>
      </c>
      <c r="F238" s="37">
        <v>6551344.0199999996</v>
      </c>
      <c r="G238" s="218">
        <f t="shared" si="1"/>
        <v>0.99999985041239614</v>
      </c>
      <c r="H238" s="7"/>
      <c r="I238" s="7"/>
      <c r="J238" s="217"/>
      <c r="K238" s="201"/>
      <c r="L238" s="201"/>
      <c r="M238" s="385"/>
      <c r="N238" s="549"/>
      <c r="O238" s="549"/>
      <c r="P238" s="549"/>
      <c r="Q238" s="549"/>
    </row>
    <row r="239" spans="1:17" ht="31.5" x14ac:dyDescent="0.25">
      <c r="A239" s="940" t="s">
        <v>124</v>
      </c>
      <c r="B239" s="941" t="s">
        <v>125</v>
      </c>
      <c r="C239" s="941" t="s">
        <v>26</v>
      </c>
      <c r="D239" s="24" t="s">
        <v>126</v>
      </c>
      <c r="E239" s="37">
        <f>E240</f>
        <v>1269500</v>
      </c>
      <c r="F239" s="37">
        <f>F240</f>
        <v>477747.22</v>
      </c>
      <c r="G239" s="218">
        <f t="shared" si="1"/>
        <v>0.37632707365104368</v>
      </c>
      <c r="H239" s="7">
        <v>0</v>
      </c>
      <c r="I239" s="7">
        <v>0</v>
      </c>
      <c r="J239" s="217"/>
      <c r="K239" s="201">
        <f t="shared" si="25"/>
        <v>1269500</v>
      </c>
      <c r="L239" s="201">
        <f t="shared" si="26"/>
        <v>477747.22</v>
      </c>
      <c r="M239" s="385">
        <f t="shared" si="23"/>
        <v>0.37632707365104368</v>
      </c>
      <c r="N239" s="549"/>
      <c r="O239" s="549"/>
      <c r="P239" s="549"/>
      <c r="Q239" s="549"/>
    </row>
    <row r="240" spans="1:17" x14ac:dyDescent="0.25">
      <c r="A240" s="940"/>
      <c r="B240" s="941"/>
      <c r="C240" s="941"/>
      <c r="D240" s="377" t="s">
        <v>407</v>
      </c>
      <c r="E240" s="37">
        <v>1269500</v>
      </c>
      <c r="F240" s="37">
        <v>477747.22</v>
      </c>
      <c r="G240" s="218">
        <f t="shared" si="1"/>
        <v>0.37632707365104368</v>
      </c>
      <c r="H240" s="7"/>
      <c r="I240" s="7"/>
      <c r="J240" s="217"/>
      <c r="K240" s="201">
        <f t="shared" si="25"/>
        <v>1269500</v>
      </c>
      <c r="L240" s="201">
        <f t="shared" si="26"/>
        <v>477747.22</v>
      </c>
      <c r="M240" s="385">
        <f t="shared" si="23"/>
        <v>0.37632707365104368</v>
      </c>
      <c r="N240" s="549"/>
      <c r="O240" s="549"/>
      <c r="P240" s="549"/>
      <c r="Q240" s="549"/>
    </row>
    <row r="241" spans="1:17" ht="31.5" x14ac:dyDescent="0.25">
      <c r="A241" s="940">
        <v>1216015</v>
      </c>
      <c r="B241" s="941">
        <v>6015</v>
      </c>
      <c r="C241" s="941">
        <v>620</v>
      </c>
      <c r="D241" s="378" t="s">
        <v>476</v>
      </c>
      <c r="E241" s="37"/>
      <c r="F241" s="37"/>
      <c r="G241" s="218"/>
      <c r="H241" s="7">
        <f>H242</f>
        <v>1835036</v>
      </c>
      <c r="I241" s="7">
        <f>I242</f>
        <v>0</v>
      </c>
      <c r="J241" s="217">
        <f t="shared" si="24"/>
        <v>0</v>
      </c>
      <c r="K241" s="201">
        <f t="shared" si="25"/>
        <v>1835036</v>
      </c>
      <c r="L241" s="201">
        <f t="shared" si="26"/>
        <v>0</v>
      </c>
      <c r="M241" s="385">
        <f t="shared" si="23"/>
        <v>0</v>
      </c>
      <c r="N241" s="549"/>
      <c r="O241" s="549"/>
      <c r="P241" s="549"/>
      <c r="Q241" s="549"/>
    </row>
    <row r="242" spans="1:17" x14ac:dyDescent="0.25">
      <c r="A242" s="940"/>
      <c r="B242" s="941"/>
      <c r="C242" s="941"/>
      <c r="D242" s="377" t="s">
        <v>410</v>
      </c>
      <c r="E242" s="37"/>
      <c r="F242" s="37"/>
      <c r="G242" s="218"/>
      <c r="H242" s="7">
        <f>H243</f>
        <v>1835036</v>
      </c>
      <c r="I242" s="7">
        <f>I243</f>
        <v>0</v>
      </c>
      <c r="J242" s="217">
        <f t="shared" si="24"/>
        <v>0</v>
      </c>
      <c r="K242" s="201">
        <f t="shared" si="25"/>
        <v>1835036</v>
      </c>
      <c r="L242" s="201">
        <f t="shared" si="26"/>
        <v>0</v>
      </c>
      <c r="M242" s="385">
        <f t="shared" si="23"/>
        <v>0</v>
      </c>
      <c r="N242" s="549"/>
      <c r="O242" s="549"/>
      <c r="P242" s="549"/>
      <c r="Q242" s="549"/>
    </row>
    <row r="243" spans="1:17" x14ac:dyDescent="0.25">
      <c r="A243" s="940"/>
      <c r="B243" s="941"/>
      <c r="C243" s="941"/>
      <c r="D243" s="378" t="s">
        <v>411</v>
      </c>
      <c r="E243" s="37"/>
      <c r="F243" s="37"/>
      <c r="G243" s="218"/>
      <c r="H243" s="7">
        <v>1835036</v>
      </c>
      <c r="I243" s="7">
        <v>0</v>
      </c>
      <c r="J243" s="217">
        <f t="shared" si="24"/>
        <v>0</v>
      </c>
      <c r="K243" s="201">
        <f t="shared" si="25"/>
        <v>1835036</v>
      </c>
      <c r="L243" s="201">
        <f t="shared" si="26"/>
        <v>0</v>
      </c>
      <c r="M243" s="385">
        <f t="shared" si="23"/>
        <v>0</v>
      </c>
      <c r="N243" s="549"/>
      <c r="O243" s="549"/>
      <c r="P243" s="549"/>
      <c r="Q243" s="549"/>
    </row>
    <row r="244" spans="1:17" ht="31.5" x14ac:dyDescent="0.25">
      <c r="A244" s="940" t="s">
        <v>127</v>
      </c>
      <c r="B244" s="941" t="s">
        <v>25</v>
      </c>
      <c r="C244" s="941" t="s">
        <v>26</v>
      </c>
      <c r="D244" s="24" t="s">
        <v>27</v>
      </c>
      <c r="E244" s="37">
        <f>E245</f>
        <v>45545968</v>
      </c>
      <c r="F244" s="37">
        <f>F245</f>
        <v>33208315.629999999</v>
      </c>
      <c r="G244" s="218">
        <f t="shared" ref="G244:G329" si="27">F244/E244</f>
        <v>0.7291164748106792</v>
      </c>
      <c r="H244" s="7">
        <f>H246</f>
        <v>461390</v>
      </c>
      <c r="I244" s="7">
        <f>I246</f>
        <v>419911</v>
      </c>
      <c r="J244" s="218"/>
      <c r="K244" s="201">
        <f>E244+H244</f>
        <v>46007358</v>
      </c>
      <c r="L244" s="201">
        <f t="shared" si="26"/>
        <v>33628226.629999995</v>
      </c>
      <c r="M244" s="385">
        <f t="shared" si="23"/>
        <v>0.73093148774159111</v>
      </c>
      <c r="N244" s="549"/>
      <c r="O244" s="549"/>
      <c r="P244" s="549"/>
      <c r="Q244" s="549"/>
    </row>
    <row r="245" spans="1:17" x14ac:dyDescent="0.25">
      <c r="A245" s="940"/>
      <c r="B245" s="941"/>
      <c r="C245" s="941"/>
      <c r="D245" s="377" t="s">
        <v>407</v>
      </c>
      <c r="E245" s="37">
        <v>45545968</v>
      </c>
      <c r="F245" s="37">
        <v>33208315.629999999</v>
      </c>
      <c r="G245" s="218">
        <f t="shared" si="27"/>
        <v>0.7291164748106792</v>
      </c>
      <c r="H245" s="7"/>
      <c r="I245" s="7"/>
      <c r="J245" s="218"/>
      <c r="K245" s="201">
        <f t="shared" si="25"/>
        <v>45545968</v>
      </c>
      <c r="L245" s="201">
        <f t="shared" si="26"/>
        <v>33208315.629999999</v>
      </c>
      <c r="M245" s="385">
        <f>L245/K245</f>
        <v>0.7291164748106792</v>
      </c>
      <c r="N245" s="549"/>
      <c r="O245" s="549"/>
      <c r="P245" s="549"/>
      <c r="Q245" s="549"/>
    </row>
    <row r="246" spans="1:17" x14ac:dyDescent="0.25">
      <c r="A246" s="940"/>
      <c r="B246" s="941"/>
      <c r="C246" s="941"/>
      <c r="D246" s="377" t="s">
        <v>410</v>
      </c>
      <c r="E246" s="37"/>
      <c r="F246" s="37"/>
      <c r="G246" s="218"/>
      <c r="H246" s="7">
        <f>H247</f>
        <v>461390</v>
      </c>
      <c r="I246" s="7">
        <f>I247</f>
        <v>419911</v>
      </c>
      <c r="J246" s="218"/>
      <c r="K246" s="201">
        <f t="shared" si="25"/>
        <v>461390</v>
      </c>
      <c r="L246" s="201">
        <f t="shared" si="26"/>
        <v>419911</v>
      </c>
      <c r="M246" s="385">
        <f t="shared" ref="M246:M247" si="28">L246/K246</f>
        <v>0.91009991547281044</v>
      </c>
      <c r="N246" s="549"/>
      <c r="O246" s="549"/>
      <c r="P246" s="549"/>
      <c r="Q246" s="549"/>
    </row>
    <row r="247" spans="1:17" x14ac:dyDescent="0.25">
      <c r="A247" s="940"/>
      <c r="B247" s="941"/>
      <c r="C247" s="941"/>
      <c r="D247" s="378" t="s">
        <v>411</v>
      </c>
      <c r="E247" s="37"/>
      <c r="F247" s="37"/>
      <c r="G247" s="218"/>
      <c r="H247" s="7">
        <v>461390</v>
      </c>
      <c r="I247" s="7">
        <v>419911</v>
      </c>
      <c r="J247" s="218"/>
      <c r="K247" s="201">
        <f t="shared" si="25"/>
        <v>461390</v>
      </c>
      <c r="L247" s="201">
        <f t="shared" si="26"/>
        <v>419911</v>
      </c>
      <c r="M247" s="385">
        <f t="shared" si="28"/>
        <v>0.91009991547281044</v>
      </c>
      <c r="N247" s="549"/>
      <c r="O247" s="549"/>
      <c r="P247" s="549"/>
      <c r="Q247" s="549"/>
    </row>
    <row r="248" spans="1:17" ht="157.5" customHeight="1" x14ac:dyDescent="0.25">
      <c r="A248" s="940">
        <v>1216071</v>
      </c>
      <c r="B248" s="941">
        <v>6071</v>
      </c>
      <c r="C248" s="49" t="s">
        <v>234</v>
      </c>
      <c r="D248" s="24" t="s">
        <v>232</v>
      </c>
      <c r="E248" s="37">
        <f>E249</f>
        <v>9284334</v>
      </c>
      <c r="F248" s="37">
        <f>F249</f>
        <v>6367777.8399999999</v>
      </c>
      <c r="G248" s="218">
        <f t="shared" si="27"/>
        <v>0.68586264130523522</v>
      </c>
      <c r="H248" s="7">
        <v>0</v>
      </c>
      <c r="I248" s="7">
        <v>0</v>
      </c>
      <c r="J248" s="218"/>
      <c r="K248" s="201">
        <f t="shared" si="25"/>
        <v>9284334</v>
      </c>
      <c r="L248" s="201">
        <f t="shared" si="26"/>
        <v>6367777.8399999999</v>
      </c>
      <c r="M248" s="385">
        <f t="shared" si="23"/>
        <v>0.68586264130523522</v>
      </c>
      <c r="N248" s="549"/>
      <c r="O248" s="549"/>
      <c r="P248" s="549"/>
      <c r="Q248" s="549"/>
    </row>
    <row r="249" spans="1:17" x14ac:dyDescent="0.25">
      <c r="A249" s="940"/>
      <c r="B249" s="941"/>
      <c r="C249" s="49"/>
      <c r="D249" s="377" t="s">
        <v>407</v>
      </c>
      <c r="E249" s="37">
        <v>9284334</v>
      </c>
      <c r="F249" s="37">
        <v>6367777.8399999999</v>
      </c>
      <c r="G249" s="218">
        <f t="shared" si="27"/>
        <v>0.68586264130523522</v>
      </c>
      <c r="H249" s="7"/>
      <c r="I249" s="7"/>
      <c r="J249" s="218"/>
      <c r="K249" s="201">
        <f t="shared" si="25"/>
        <v>9284334</v>
      </c>
      <c r="L249" s="201">
        <f t="shared" si="26"/>
        <v>6367777.8399999999</v>
      </c>
      <c r="M249" s="385">
        <f t="shared" si="23"/>
        <v>0.68586264130523522</v>
      </c>
      <c r="N249" s="549"/>
      <c r="O249" s="549"/>
      <c r="P249" s="549"/>
      <c r="Q249" s="549"/>
    </row>
    <row r="250" spans="1:17" ht="45.75" customHeight="1" x14ac:dyDescent="0.25">
      <c r="A250" s="940" t="s">
        <v>128</v>
      </c>
      <c r="B250" s="941" t="s">
        <v>129</v>
      </c>
      <c r="C250" s="941" t="s">
        <v>130</v>
      </c>
      <c r="D250" s="24" t="s">
        <v>131</v>
      </c>
      <c r="E250" s="37">
        <f>E251</f>
        <v>2968087</v>
      </c>
      <c r="F250" s="37">
        <f>F251</f>
        <v>1815978.13</v>
      </c>
      <c r="G250" s="218">
        <f t="shared" si="27"/>
        <v>0.61183453517366571</v>
      </c>
      <c r="H250" s="7">
        <v>0</v>
      </c>
      <c r="I250" s="7">
        <v>0</v>
      </c>
      <c r="J250" s="218"/>
      <c r="K250" s="201">
        <f t="shared" si="25"/>
        <v>2968087</v>
      </c>
      <c r="L250" s="201">
        <f t="shared" si="26"/>
        <v>1815978.13</v>
      </c>
      <c r="M250" s="385">
        <f t="shared" si="23"/>
        <v>0.61183453517366571</v>
      </c>
      <c r="N250" s="549"/>
      <c r="O250" s="549"/>
      <c r="P250" s="549"/>
      <c r="Q250" s="549"/>
    </row>
    <row r="251" spans="1:17" x14ac:dyDescent="0.25">
      <c r="A251" s="35"/>
      <c r="B251" s="36"/>
      <c r="C251" s="36"/>
      <c r="D251" s="377" t="s">
        <v>407</v>
      </c>
      <c r="E251" s="38">
        <v>2968087</v>
      </c>
      <c r="F251" s="38">
        <v>1815978.13</v>
      </c>
      <c r="G251" s="218">
        <f t="shared" si="27"/>
        <v>0.61183453517366571</v>
      </c>
      <c r="H251" s="12"/>
      <c r="I251" s="7"/>
      <c r="J251" s="218"/>
      <c r="K251" s="201">
        <f t="shared" si="25"/>
        <v>2968087</v>
      </c>
      <c r="L251" s="201">
        <f t="shared" si="26"/>
        <v>1815978.13</v>
      </c>
      <c r="M251" s="385">
        <f t="shared" si="23"/>
        <v>0.61183453517366571</v>
      </c>
      <c r="N251" s="549"/>
      <c r="O251" s="549"/>
      <c r="P251" s="549"/>
      <c r="Q251" s="549"/>
    </row>
    <row r="252" spans="1:17" ht="44.25" customHeight="1" x14ac:dyDescent="0.25">
      <c r="A252" s="35">
        <v>1218110</v>
      </c>
      <c r="B252" s="36">
        <v>8110</v>
      </c>
      <c r="C252" s="127" t="s">
        <v>206</v>
      </c>
      <c r="D252" s="31" t="s">
        <v>207</v>
      </c>
      <c r="E252" s="38">
        <f>E253</f>
        <v>207555</v>
      </c>
      <c r="F252" s="38">
        <f>F253</f>
        <v>206988</v>
      </c>
      <c r="G252" s="218">
        <f t="shared" si="27"/>
        <v>0.99726819397268196</v>
      </c>
      <c r="H252" s="12"/>
      <c r="I252" s="12"/>
      <c r="J252" s="219"/>
      <c r="K252" s="201">
        <f t="shared" si="25"/>
        <v>207555</v>
      </c>
      <c r="L252" s="201">
        <f t="shared" si="26"/>
        <v>206988</v>
      </c>
      <c r="M252" s="385">
        <f t="shared" si="23"/>
        <v>0.99726819397268196</v>
      </c>
      <c r="N252" s="549"/>
      <c r="O252" s="549"/>
      <c r="P252" s="549"/>
      <c r="Q252" s="549"/>
    </row>
    <row r="253" spans="1:17" x14ac:dyDescent="0.25">
      <c r="A253" s="35"/>
      <c r="B253" s="36"/>
      <c r="C253" s="36"/>
      <c r="D253" s="379" t="s">
        <v>407</v>
      </c>
      <c r="E253" s="38">
        <v>207555</v>
      </c>
      <c r="F253" s="38">
        <v>206988</v>
      </c>
      <c r="G253" s="219">
        <f t="shared" si="27"/>
        <v>0.99726819397268196</v>
      </c>
      <c r="H253" s="12"/>
      <c r="I253" s="12"/>
      <c r="J253" s="219"/>
      <c r="K253" s="204">
        <f t="shared" si="25"/>
        <v>207555</v>
      </c>
      <c r="L253" s="204">
        <f t="shared" si="26"/>
        <v>206988</v>
      </c>
      <c r="M253" s="385">
        <f t="shared" si="23"/>
        <v>0.99726819397268196</v>
      </c>
      <c r="N253" s="549"/>
      <c r="O253" s="549"/>
      <c r="P253" s="549"/>
      <c r="Q253" s="549"/>
    </row>
    <row r="254" spans="1:17" ht="47.25" x14ac:dyDescent="0.25">
      <c r="A254" s="35">
        <v>1218311</v>
      </c>
      <c r="B254" s="36">
        <v>8311</v>
      </c>
      <c r="C254" s="127" t="s">
        <v>546</v>
      </c>
      <c r="D254" s="380" t="s">
        <v>680</v>
      </c>
      <c r="E254" s="38">
        <f>E255</f>
        <v>66000</v>
      </c>
      <c r="F254" s="38">
        <f>F255</f>
        <v>0</v>
      </c>
      <c r="G254" s="219">
        <f t="shared" si="27"/>
        <v>0</v>
      </c>
      <c r="H254" s="12"/>
      <c r="I254" s="12"/>
      <c r="J254" s="219"/>
      <c r="K254" s="204">
        <f>E254</f>
        <v>66000</v>
      </c>
      <c r="L254" s="204">
        <f>F254</f>
        <v>0</v>
      </c>
      <c r="M254" s="385">
        <f t="shared" si="23"/>
        <v>0</v>
      </c>
      <c r="N254" s="549"/>
      <c r="O254" s="549"/>
      <c r="P254" s="549"/>
      <c r="Q254" s="549"/>
    </row>
    <row r="255" spans="1:17" x14ac:dyDescent="0.25">
      <c r="A255" s="35"/>
      <c r="B255" s="36"/>
      <c r="C255" s="36"/>
      <c r="D255" s="379" t="s">
        <v>407</v>
      </c>
      <c r="E255" s="38">
        <v>66000</v>
      </c>
      <c r="F255" s="38">
        <v>0</v>
      </c>
      <c r="G255" s="219">
        <f t="shared" si="27"/>
        <v>0</v>
      </c>
      <c r="H255" s="12"/>
      <c r="I255" s="12"/>
      <c r="J255" s="219"/>
      <c r="K255" s="204">
        <f>E255</f>
        <v>66000</v>
      </c>
      <c r="L255" s="204">
        <f>F255</f>
        <v>0</v>
      </c>
      <c r="M255" s="385">
        <f t="shared" si="23"/>
        <v>0</v>
      </c>
      <c r="N255" s="549"/>
      <c r="O255" s="549"/>
      <c r="P255" s="549"/>
      <c r="Q255" s="549"/>
    </row>
    <row r="256" spans="1:17" ht="31.5" x14ac:dyDescent="0.25">
      <c r="A256" s="940">
        <v>1218340</v>
      </c>
      <c r="B256" s="941">
        <v>8340</v>
      </c>
      <c r="C256" s="49" t="s">
        <v>134</v>
      </c>
      <c r="D256" s="378" t="s">
        <v>135</v>
      </c>
      <c r="E256" s="37"/>
      <c r="F256" s="37"/>
      <c r="G256" s="218"/>
      <c r="H256" s="7">
        <f>H257+H258</f>
        <v>459300</v>
      </c>
      <c r="I256" s="7">
        <f>I257+I258</f>
        <v>268410</v>
      </c>
      <c r="J256" s="218"/>
      <c r="K256" s="204">
        <f t="shared" si="25"/>
        <v>459300</v>
      </c>
      <c r="L256" s="204">
        <f t="shared" si="26"/>
        <v>268410</v>
      </c>
      <c r="M256" s="385">
        <f t="shared" si="23"/>
        <v>0.58438928804702805</v>
      </c>
      <c r="N256" s="549"/>
      <c r="O256" s="549"/>
      <c r="P256" s="549"/>
      <c r="Q256" s="549"/>
    </row>
    <row r="257" spans="1:17" x14ac:dyDescent="0.25">
      <c r="A257" s="940"/>
      <c r="B257" s="941"/>
      <c r="C257" s="941"/>
      <c r="D257" s="377" t="s">
        <v>407</v>
      </c>
      <c r="E257" s="37"/>
      <c r="F257" s="37"/>
      <c r="G257" s="218"/>
      <c r="H257" s="7">
        <v>322056</v>
      </c>
      <c r="I257" s="7">
        <v>268410</v>
      </c>
      <c r="J257" s="218"/>
      <c r="K257" s="204">
        <f t="shared" si="25"/>
        <v>322056</v>
      </c>
      <c r="L257" s="204">
        <f t="shared" si="26"/>
        <v>268410</v>
      </c>
      <c r="M257" s="385">
        <f t="shared" si="23"/>
        <v>0.83342648483493553</v>
      </c>
      <c r="N257" s="549"/>
      <c r="O257" s="549"/>
      <c r="P257" s="549"/>
      <c r="Q257" s="549"/>
    </row>
    <row r="258" spans="1:17" ht="16.5" thickBot="1" x14ac:dyDescent="0.3">
      <c r="A258" s="35"/>
      <c r="B258" s="36"/>
      <c r="C258" s="36"/>
      <c r="D258" s="379" t="s">
        <v>410</v>
      </c>
      <c r="E258" s="38"/>
      <c r="F258" s="38"/>
      <c r="G258" s="219"/>
      <c r="H258" s="12">
        <v>137244</v>
      </c>
      <c r="I258" s="12">
        <v>0</v>
      </c>
      <c r="J258" s="219"/>
      <c r="K258" s="204">
        <f t="shared" si="25"/>
        <v>137244</v>
      </c>
      <c r="L258" s="204">
        <f t="shared" si="26"/>
        <v>0</v>
      </c>
      <c r="M258" s="385">
        <f t="shared" si="23"/>
        <v>0</v>
      </c>
      <c r="N258" s="549"/>
      <c r="O258" s="549"/>
      <c r="P258" s="549"/>
      <c r="Q258" s="549"/>
    </row>
    <row r="259" spans="1:17" s="29" customFormat="1" ht="46.5" customHeight="1" thickBot="1" x14ac:dyDescent="0.3">
      <c r="A259" s="32" t="s">
        <v>136</v>
      </c>
      <c r="B259" s="33" t="s">
        <v>14</v>
      </c>
      <c r="C259" s="33" t="s">
        <v>14</v>
      </c>
      <c r="D259" s="34" t="s">
        <v>448</v>
      </c>
      <c r="E259" s="51">
        <f>E260</f>
        <v>3331416</v>
      </c>
      <c r="F259" s="51">
        <f>F260</f>
        <v>1929212.97</v>
      </c>
      <c r="G259" s="216">
        <f t="shared" si="27"/>
        <v>0.57909698758726014</v>
      </c>
      <c r="H259" s="51">
        <f>H260</f>
        <v>55034036</v>
      </c>
      <c r="I259" s="51">
        <f>I260</f>
        <v>27475073.199999999</v>
      </c>
      <c r="J259" s="216">
        <f t="shared" si="24"/>
        <v>0.49923783892571499</v>
      </c>
      <c r="K259" s="214">
        <f>K260</f>
        <v>58365452</v>
      </c>
      <c r="L259" s="214">
        <f>L260</f>
        <v>29404286.169999998</v>
      </c>
      <c r="M259" s="224">
        <f t="shared" si="23"/>
        <v>0.50379608419720623</v>
      </c>
      <c r="N259" s="549"/>
      <c r="O259" s="549"/>
      <c r="P259" s="549"/>
      <c r="Q259" s="549"/>
    </row>
    <row r="260" spans="1:17" s="28" customFormat="1" ht="47.25" x14ac:dyDescent="0.25">
      <c r="A260" s="45" t="s">
        <v>137</v>
      </c>
      <c r="B260" s="46" t="s">
        <v>14</v>
      </c>
      <c r="C260" s="46" t="s">
        <v>14</v>
      </c>
      <c r="D260" s="47" t="s">
        <v>448</v>
      </c>
      <c r="E260" s="39">
        <f>E261+E274+E283+E286</f>
        <v>3331416</v>
      </c>
      <c r="F260" s="39">
        <f>F261+F274+F283+F286</f>
        <v>1929212.97</v>
      </c>
      <c r="G260" s="217">
        <f t="shared" si="27"/>
        <v>0.57909698758726014</v>
      </c>
      <c r="H260" s="39">
        <f>H261+H274+H283+H286+H268+H277+H280+H265+H271</f>
        <v>55034036</v>
      </c>
      <c r="I260" s="39">
        <f>I261+I274+I283+I286+I268+I277+I280+I265+I271</f>
        <v>27475073.199999999</v>
      </c>
      <c r="J260" s="217">
        <f t="shared" si="24"/>
        <v>0.49923783892571499</v>
      </c>
      <c r="K260" s="39">
        <f>K261+K274+K283+K286+K268+K277+K280+K265+K271</f>
        <v>58365452</v>
      </c>
      <c r="L260" s="39">
        <f>L261+L274+L283+L286+L268+L277+L280+L265+L271</f>
        <v>29404286.169999998</v>
      </c>
      <c r="M260" s="386">
        <f t="shared" si="23"/>
        <v>0.50379608419720623</v>
      </c>
      <c r="N260" s="549"/>
      <c r="O260" s="549"/>
      <c r="P260" s="549"/>
      <c r="Q260" s="549"/>
    </row>
    <row r="261" spans="1:17" ht="47.25" x14ac:dyDescent="0.25">
      <c r="A261" s="940" t="s">
        <v>178</v>
      </c>
      <c r="B261" s="941" t="s">
        <v>42</v>
      </c>
      <c r="C261" s="941" t="s">
        <v>16</v>
      </c>
      <c r="D261" s="24" t="s">
        <v>156</v>
      </c>
      <c r="E261" s="37">
        <f>E262</f>
        <v>3331416</v>
      </c>
      <c r="F261" s="37">
        <f>F262</f>
        <v>1929212.97</v>
      </c>
      <c r="G261" s="218">
        <f t="shared" si="27"/>
        <v>0.57909698758726014</v>
      </c>
      <c r="H261" s="7">
        <v>0</v>
      </c>
      <c r="I261" s="7">
        <v>0</v>
      </c>
      <c r="J261" s="217"/>
      <c r="K261" s="7">
        <f>E261+H261</f>
        <v>3331416</v>
      </c>
      <c r="L261" s="201">
        <f>F261+I261</f>
        <v>1929212.97</v>
      </c>
      <c r="M261" s="385">
        <f t="shared" si="23"/>
        <v>0.57909698758726014</v>
      </c>
      <c r="N261" s="549"/>
      <c r="O261" s="549"/>
      <c r="P261" s="549"/>
      <c r="Q261" s="549"/>
    </row>
    <row r="262" spans="1:17" x14ac:dyDescent="0.25">
      <c r="A262" s="940"/>
      <c r="B262" s="941"/>
      <c r="C262" s="941"/>
      <c r="D262" s="377" t="s">
        <v>407</v>
      </c>
      <c r="E262" s="37">
        <v>3331416</v>
      </c>
      <c r="F262" s="37">
        <v>1929212.97</v>
      </c>
      <c r="G262" s="218">
        <f t="shared" si="27"/>
        <v>0.57909698758726014</v>
      </c>
      <c r="H262" s="7"/>
      <c r="I262" s="7"/>
      <c r="J262" s="217"/>
      <c r="K262" s="201">
        <f t="shared" ref="K262:K288" si="29">E262+H262</f>
        <v>3331416</v>
      </c>
      <c r="L262" s="201">
        <f t="shared" ref="L262:L288" si="30">F262+I262</f>
        <v>1929212.97</v>
      </c>
      <c r="M262" s="385">
        <f t="shared" si="23"/>
        <v>0.57909698758726014</v>
      </c>
      <c r="N262" s="549"/>
      <c r="O262" s="549"/>
      <c r="P262" s="549"/>
      <c r="Q262" s="549"/>
    </row>
    <row r="263" spans="1:17" x14ac:dyDescent="0.25">
      <c r="A263" s="940"/>
      <c r="B263" s="941"/>
      <c r="C263" s="941"/>
      <c r="D263" s="378" t="s">
        <v>408</v>
      </c>
      <c r="E263" s="37">
        <v>3092643</v>
      </c>
      <c r="F263" s="37">
        <v>1795391.4</v>
      </c>
      <c r="G263" s="218">
        <f t="shared" si="27"/>
        <v>0.58053625976228096</v>
      </c>
      <c r="H263" s="7"/>
      <c r="I263" s="7"/>
      <c r="J263" s="217"/>
      <c r="K263" s="201">
        <f t="shared" si="29"/>
        <v>3092643</v>
      </c>
      <c r="L263" s="201">
        <f t="shared" si="30"/>
        <v>1795391.4</v>
      </c>
      <c r="M263" s="385">
        <f t="shared" si="23"/>
        <v>0.58053625976228096</v>
      </c>
      <c r="N263" s="549"/>
      <c r="O263" s="549"/>
      <c r="P263" s="549"/>
      <c r="Q263" s="549"/>
    </row>
    <row r="264" spans="1:17" ht="31.5" x14ac:dyDescent="0.25">
      <c r="A264" s="940"/>
      <c r="B264" s="941"/>
      <c r="C264" s="941"/>
      <c r="D264" s="378" t="s">
        <v>409</v>
      </c>
      <c r="E264" s="37">
        <v>111558</v>
      </c>
      <c r="F264" s="37">
        <v>40881.54</v>
      </c>
      <c r="G264" s="218">
        <f t="shared" si="27"/>
        <v>0.366459958048728</v>
      </c>
      <c r="H264" s="7"/>
      <c r="I264" s="7"/>
      <c r="J264" s="217"/>
      <c r="K264" s="201">
        <f t="shared" si="29"/>
        <v>111558</v>
      </c>
      <c r="L264" s="201">
        <f t="shared" si="30"/>
        <v>40881.54</v>
      </c>
      <c r="M264" s="385">
        <f t="shared" si="23"/>
        <v>0.366459958048728</v>
      </c>
      <c r="N264" s="549"/>
      <c r="O264" s="549"/>
      <c r="P264" s="549"/>
      <c r="Q264" s="549"/>
    </row>
    <row r="265" spans="1:17" ht="94.5" x14ac:dyDescent="0.25">
      <c r="A265" s="1035">
        <v>1510150</v>
      </c>
      <c r="B265" s="49" t="s">
        <v>148</v>
      </c>
      <c r="C265" s="1036">
        <v>111</v>
      </c>
      <c r="D265" s="378" t="s">
        <v>149</v>
      </c>
      <c r="E265" s="37"/>
      <c r="F265" s="37"/>
      <c r="G265" s="218"/>
      <c r="H265" s="7">
        <v>250000</v>
      </c>
      <c r="I265" s="7">
        <v>0</v>
      </c>
      <c r="J265" s="217">
        <f t="shared" si="24"/>
        <v>0</v>
      </c>
      <c r="K265" s="201">
        <f>H265+E265</f>
        <v>250000</v>
      </c>
      <c r="L265" s="201">
        <f>I265+F265</f>
        <v>0</v>
      </c>
      <c r="M265" s="385">
        <f t="shared" si="23"/>
        <v>0</v>
      </c>
      <c r="N265" s="549"/>
      <c r="O265" s="549"/>
      <c r="P265" s="549"/>
      <c r="Q265" s="549"/>
    </row>
    <row r="266" spans="1:17" x14ac:dyDescent="0.25">
      <c r="A266" s="1035"/>
      <c r="B266" s="49"/>
      <c r="C266" s="1036"/>
      <c r="D266" s="377" t="s">
        <v>410</v>
      </c>
      <c r="E266" s="37"/>
      <c r="F266" s="37"/>
      <c r="G266" s="218"/>
      <c r="H266" s="7">
        <v>250000</v>
      </c>
      <c r="I266" s="7">
        <v>0</v>
      </c>
      <c r="J266" s="217">
        <f t="shared" si="24"/>
        <v>0</v>
      </c>
      <c r="K266" s="201">
        <f>H266+E266</f>
        <v>250000</v>
      </c>
      <c r="L266" s="201">
        <f>I266+F266</f>
        <v>0</v>
      </c>
      <c r="M266" s="385">
        <f t="shared" si="23"/>
        <v>0</v>
      </c>
      <c r="N266" s="549"/>
      <c r="O266" s="549"/>
      <c r="P266" s="549"/>
      <c r="Q266" s="549"/>
    </row>
    <row r="267" spans="1:17" x14ac:dyDescent="0.25">
      <c r="A267" s="1035"/>
      <c r="B267" s="1036"/>
      <c r="C267" s="1036"/>
      <c r="D267" s="378" t="s">
        <v>411</v>
      </c>
      <c r="E267" s="37"/>
      <c r="F267" s="37"/>
      <c r="G267" s="218"/>
      <c r="H267" s="7">
        <v>250000</v>
      </c>
      <c r="I267" s="7">
        <v>0</v>
      </c>
      <c r="J267" s="217">
        <f t="shared" si="24"/>
        <v>0</v>
      </c>
      <c r="K267" s="201">
        <v>250000</v>
      </c>
      <c r="L267" s="201">
        <f>I267+F267</f>
        <v>0</v>
      </c>
      <c r="M267" s="385">
        <v>0</v>
      </c>
      <c r="N267" s="549"/>
      <c r="O267" s="549"/>
      <c r="P267" s="549"/>
      <c r="Q267" s="549"/>
    </row>
    <row r="268" spans="1:17" ht="47.25" x14ac:dyDescent="0.25">
      <c r="A268" s="940">
        <v>1511021</v>
      </c>
      <c r="B268" s="941">
        <v>1021</v>
      </c>
      <c r="C268" s="49" t="s">
        <v>49</v>
      </c>
      <c r="D268" s="378" t="s">
        <v>478</v>
      </c>
      <c r="E268" s="37"/>
      <c r="F268" s="37"/>
      <c r="G268" s="218"/>
      <c r="H268" s="7">
        <f>H269</f>
        <v>26127892</v>
      </c>
      <c r="I268" s="7">
        <f>I269</f>
        <v>18629066.48</v>
      </c>
      <c r="J268" s="217">
        <f t="shared" si="24"/>
        <v>0.7129953874579702</v>
      </c>
      <c r="K268" s="201">
        <f t="shared" si="29"/>
        <v>26127892</v>
      </c>
      <c r="L268" s="201">
        <f t="shared" si="30"/>
        <v>18629066.48</v>
      </c>
      <c r="M268" s="385">
        <f t="shared" si="23"/>
        <v>0.7129953874579702</v>
      </c>
      <c r="N268" s="549"/>
      <c r="O268" s="549"/>
      <c r="P268" s="549"/>
      <c r="Q268" s="549"/>
    </row>
    <row r="269" spans="1:17" x14ac:dyDescent="0.25">
      <c r="A269" s="940"/>
      <c r="B269" s="941"/>
      <c r="C269" s="941"/>
      <c r="D269" s="377" t="s">
        <v>410</v>
      </c>
      <c r="E269" s="37"/>
      <c r="F269" s="37"/>
      <c r="G269" s="218"/>
      <c r="H269" s="7">
        <f>H270</f>
        <v>26127892</v>
      </c>
      <c r="I269" s="7">
        <f>I270</f>
        <v>18629066.48</v>
      </c>
      <c r="J269" s="217">
        <f t="shared" si="24"/>
        <v>0.7129953874579702</v>
      </c>
      <c r="K269" s="201">
        <f t="shared" si="29"/>
        <v>26127892</v>
      </c>
      <c r="L269" s="201">
        <f t="shared" si="30"/>
        <v>18629066.48</v>
      </c>
      <c r="M269" s="385">
        <f t="shared" si="23"/>
        <v>0.7129953874579702</v>
      </c>
      <c r="N269" s="549"/>
      <c r="O269" s="549"/>
      <c r="P269" s="549"/>
      <c r="Q269" s="549"/>
    </row>
    <row r="270" spans="1:17" x14ac:dyDescent="0.25">
      <c r="A270" s="940"/>
      <c r="B270" s="941"/>
      <c r="C270" s="941"/>
      <c r="D270" s="378" t="s">
        <v>411</v>
      </c>
      <c r="E270" s="37"/>
      <c r="F270" s="37"/>
      <c r="G270" s="218"/>
      <c r="H270" s="7">
        <v>26127892</v>
      </c>
      <c r="I270" s="7">
        <v>18629066.48</v>
      </c>
      <c r="J270" s="217">
        <f t="shared" si="24"/>
        <v>0.7129953874579702</v>
      </c>
      <c r="K270" s="201">
        <f t="shared" si="29"/>
        <v>26127892</v>
      </c>
      <c r="L270" s="201">
        <f t="shared" si="30"/>
        <v>18629066.48</v>
      </c>
      <c r="M270" s="385">
        <f t="shared" si="23"/>
        <v>0.7129953874579702</v>
      </c>
      <c r="N270" s="549"/>
      <c r="O270" s="549"/>
      <c r="P270" s="549"/>
      <c r="Q270" s="549"/>
    </row>
    <row r="271" spans="1:17" ht="31.5" x14ac:dyDescent="0.25">
      <c r="A271" s="1035">
        <v>1512010</v>
      </c>
      <c r="B271" s="1036">
        <v>2010</v>
      </c>
      <c r="C271" s="49" t="s">
        <v>19</v>
      </c>
      <c r="D271" s="378" t="s">
        <v>20</v>
      </c>
      <c r="E271" s="37"/>
      <c r="F271" s="37"/>
      <c r="G271" s="218"/>
      <c r="H271" s="7">
        <f>H272</f>
        <v>3000000</v>
      </c>
      <c r="I271" s="7">
        <f>I272</f>
        <v>0</v>
      </c>
      <c r="J271" s="217">
        <f t="shared" si="24"/>
        <v>0</v>
      </c>
      <c r="K271" s="201">
        <f t="shared" ref="K271:L273" si="31">H271+E271</f>
        <v>3000000</v>
      </c>
      <c r="L271" s="201">
        <f t="shared" si="31"/>
        <v>0</v>
      </c>
      <c r="M271" s="385">
        <f t="shared" si="23"/>
        <v>0</v>
      </c>
      <c r="N271" s="549"/>
      <c r="O271" s="549"/>
      <c r="P271" s="549"/>
      <c r="Q271" s="549"/>
    </row>
    <row r="272" spans="1:17" x14ac:dyDescent="0.25">
      <c r="A272" s="1035"/>
      <c r="B272" s="1036"/>
      <c r="C272" s="1036"/>
      <c r="D272" s="377" t="s">
        <v>410</v>
      </c>
      <c r="E272" s="37"/>
      <c r="F272" s="37"/>
      <c r="G272" s="218"/>
      <c r="H272" s="7">
        <v>3000000</v>
      </c>
      <c r="I272" s="7">
        <v>0</v>
      </c>
      <c r="J272" s="217">
        <f t="shared" si="24"/>
        <v>0</v>
      </c>
      <c r="K272" s="201">
        <f t="shared" si="31"/>
        <v>3000000</v>
      </c>
      <c r="L272" s="201">
        <f t="shared" si="31"/>
        <v>0</v>
      </c>
      <c r="M272" s="385">
        <f t="shared" si="23"/>
        <v>0</v>
      </c>
      <c r="N272" s="549"/>
      <c r="O272" s="549"/>
      <c r="P272" s="549"/>
      <c r="Q272" s="549"/>
    </row>
    <row r="273" spans="1:17" x14ac:dyDescent="0.25">
      <c r="A273" s="1035"/>
      <c r="B273" s="1036"/>
      <c r="C273" s="1036"/>
      <c r="D273" s="378" t="s">
        <v>411</v>
      </c>
      <c r="E273" s="37"/>
      <c r="F273" s="37"/>
      <c r="G273" s="218"/>
      <c r="H273" s="7">
        <v>3000000</v>
      </c>
      <c r="I273" s="7">
        <v>0</v>
      </c>
      <c r="J273" s="217">
        <f t="shared" si="24"/>
        <v>0</v>
      </c>
      <c r="K273" s="201">
        <f t="shared" si="31"/>
        <v>3000000</v>
      </c>
      <c r="L273" s="201">
        <f t="shared" si="31"/>
        <v>0</v>
      </c>
      <c r="M273" s="385">
        <f t="shared" si="23"/>
        <v>0</v>
      </c>
      <c r="N273" s="549"/>
      <c r="O273" s="549"/>
      <c r="P273" s="549"/>
      <c r="Q273" s="549"/>
    </row>
    <row r="274" spans="1:17" x14ac:dyDescent="0.25">
      <c r="A274" s="56">
        <v>1512170</v>
      </c>
      <c r="B274" s="57">
        <v>2170</v>
      </c>
      <c r="C274" s="58" t="s">
        <v>204</v>
      </c>
      <c r="D274" s="30" t="s">
        <v>553</v>
      </c>
      <c r="E274" s="37">
        <v>0</v>
      </c>
      <c r="F274" s="37">
        <v>0</v>
      </c>
      <c r="G274" s="218"/>
      <c r="H274" s="7">
        <f>H275</f>
        <v>173444</v>
      </c>
      <c r="I274" s="7">
        <f>I275</f>
        <v>0</v>
      </c>
      <c r="J274" s="218">
        <f t="shared" si="24"/>
        <v>0</v>
      </c>
      <c r="K274" s="201">
        <f t="shared" si="29"/>
        <v>173444</v>
      </c>
      <c r="L274" s="201">
        <f t="shared" si="30"/>
        <v>0</v>
      </c>
      <c r="M274" s="385">
        <f t="shared" si="23"/>
        <v>0</v>
      </c>
      <c r="N274" s="549"/>
      <c r="O274" s="549"/>
      <c r="P274" s="549"/>
      <c r="Q274" s="549"/>
    </row>
    <row r="275" spans="1:17" x14ac:dyDescent="0.25">
      <c r="A275" s="225"/>
      <c r="B275" s="59"/>
      <c r="C275" s="60"/>
      <c r="D275" s="377" t="s">
        <v>410</v>
      </c>
      <c r="E275" s="7"/>
      <c r="F275" s="7"/>
      <c r="G275" s="218"/>
      <c r="H275" s="7">
        <f>H276</f>
        <v>173444</v>
      </c>
      <c r="I275" s="7">
        <f>I276</f>
        <v>0</v>
      </c>
      <c r="J275" s="218">
        <f t="shared" si="24"/>
        <v>0</v>
      </c>
      <c r="K275" s="201">
        <f t="shared" si="29"/>
        <v>173444</v>
      </c>
      <c r="L275" s="201">
        <f t="shared" si="30"/>
        <v>0</v>
      </c>
      <c r="M275" s="385">
        <f t="shared" ref="M275:M328" si="32">L275/K275</f>
        <v>0</v>
      </c>
      <c r="N275" s="549"/>
      <c r="O275" s="549"/>
      <c r="P275" s="549"/>
      <c r="Q275" s="549"/>
    </row>
    <row r="276" spans="1:17" x14ac:dyDescent="0.25">
      <c r="A276" s="225"/>
      <c r="B276" s="59"/>
      <c r="C276" s="60"/>
      <c r="D276" s="378" t="s">
        <v>411</v>
      </c>
      <c r="E276" s="7"/>
      <c r="F276" s="7"/>
      <c r="G276" s="218"/>
      <c r="H276" s="12">
        <v>173444</v>
      </c>
      <c r="I276" s="12">
        <v>0</v>
      </c>
      <c r="J276" s="218">
        <f t="shared" si="24"/>
        <v>0</v>
      </c>
      <c r="K276" s="201">
        <f t="shared" si="29"/>
        <v>173444</v>
      </c>
      <c r="L276" s="201">
        <f t="shared" si="30"/>
        <v>0</v>
      </c>
      <c r="M276" s="385">
        <f t="shared" si="32"/>
        <v>0</v>
      </c>
      <c r="N276" s="549"/>
      <c r="O276" s="549"/>
      <c r="P276" s="549"/>
      <c r="Q276" s="549"/>
    </row>
    <row r="277" spans="1:17" ht="47.25" x14ac:dyDescent="0.25">
      <c r="A277" s="551" t="s">
        <v>494</v>
      </c>
      <c r="B277" s="60" t="s">
        <v>495</v>
      </c>
      <c r="C277" s="60" t="s">
        <v>26</v>
      </c>
      <c r="D277" s="380" t="s">
        <v>208</v>
      </c>
      <c r="E277" s="7"/>
      <c r="F277" s="7"/>
      <c r="G277" s="218"/>
      <c r="H277" s="12">
        <f>H278</f>
        <v>16296000</v>
      </c>
      <c r="I277" s="12">
        <f>I278</f>
        <v>4195162.72</v>
      </c>
      <c r="J277" s="218">
        <f t="shared" si="24"/>
        <v>0.25743512027491405</v>
      </c>
      <c r="K277" s="201">
        <f t="shared" si="29"/>
        <v>16296000</v>
      </c>
      <c r="L277" s="201">
        <f t="shared" si="30"/>
        <v>4195162.72</v>
      </c>
      <c r="M277" s="385">
        <f t="shared" si="32"/>
        <v>0.25743512027491405</v>
      </c>
      <c r="N277" s="549"/>
      <c r="O277" s="549"/>
      <c r="P277" s="549"/>
      <c r="Q277" s="549"/>
    </row>
    <row r="278" spans="1:17" x14ac:dyDescent="0.25">
      <c r="A278" s="551"/>
      <c r="B278" s="60"/>
      <c r="C278" s="60"/>
      <c r="D278" s="379" t="s">
        <v>410</v>
      </c>
      <c r="E278" s="7"/>
      <c r="F278" s="7"/>
      <c r="G278" s="218"/>
      <c r="H278" s="12">
        <f>H279</f>
        <v>16296000</v>
      </c>
      <c r="I278" s="12">
        <f>I279</f>
        <v>4195162.72</v>
      </c>
      <c r="J278" s="218">
        <f t="shared" si="24"/>
        <v>0.25743512027491405</v>
      </c>
      <c r="K278" s="201">
        <f t="shared" si="29"/>
        <v>16296000</v>
      </c>
      <c r="L278" s="201">
        <f t="shared" si="30"/>
        <v>4195162.72</v>
      </c>
      <c r="M278" s="385">
        <f t="shared" si="32"/>
        <v>0.25743512027491405</v>
      </c>
      <c r="N278" s="549"/>
      <c r="O278" s="549"/>
      <c r="P278" s="549"/>
      <c r="Q278" s="549"/>
    </row>
    <row r="279" spans="1:17" x14ac:dyDescent="0.25">
      <c r="A279" s="551"/>
      <c r="B279" s="60"/>
      <c r="C279" s="60"/>
      <c r="D279" s="380" t="s">
        <v>411</v>
      </c>
      <c r="E279" s="7"/>
      <c r="F279" s="7"/>
      <c r="G279" s="218"/>
      <c r="H279" s="12">
        <v>16296000</v>
      </c>
      <c r="I279" s="12">
        <v>4195162.72</v>
      </c>
      <c r="J279" s="218">
        <f t="shared" si="24"/>
        <v>0.25743512027491405</v>
      </c>
      <c r="K279" s="201">
        <f t="shared" si="29"/>
        <v>16296000</v>
      </c>
      <c r="L279" s="201">
        <f t="shared" si="30"/>
        <v>4195162.72</v>
      </c>
      <c r="M279" s="385">
        <f t="shared" si="32"/>
        <v>0.25743512027491405</v>
      </c>
      <c r="N279" s="549"/>
      <c r="O279" s="549"/>
      <c r="P279" s="549"/>
      <c r="Q279" s="549"/>
    </row>
    <row r="280" spans="1:17" ht="31.5" x14ac:dyDescent="0.25">
      <c r="A280" s="551" t="s">
        <v>554</v>
      </c>
      <c r="B280" s="60" t="s">
        <v>125</v>
      </c>
      <c r="C280" s="60" t="s">
        <v>26</v>
      </c>
      <c r="D280" s="380" t="s">
        <v>126</v>
      </c>
      <c r="E280" s="7"/>
      <c r="F280" s="7"/>
      <c r="G280" s="218"/>
      <c r="H280" s="12">
        <f>H281</f>
        <v>198440</v>
      </c>
      <c r="I280" s="12">
        <f>I281</f>
        <v>0</v>
      </c>
      <c r="J280" s="218">
        <f t="shared" si="24"/>
        <v>0</v>
      </c>
      <c r="K280" s="201">
        <f t="shared" si="29"/>
        <v>198440</v>
      </c>
      <c r="L280" s="201">
        <f t="shared" si="30"/>
        <v>0</v>
      </c>
      <c r="M280" s="385">
        <f t="shared" si="32"/>
        <v>0</v>
      </c>
      <c r="N280" s="549"/>
      <c r="O280" s="549"/>
      <c r="P280" s="549"/>
      <c r="Q280" s="549"/>
    </row>
    <row r="281" spans="1:17" x14ac:dyDescent="0.25">
      <c r="A281" s="551"/>
      <c r="B281" s="60"/>
      <c r="C281" s="60"/>
      <c r="D281" s="379" t="s">
        <v>410</v>
      </c>
      <c r="E281" s="7"/>
      <c r="F281" s="7"/>
      <c r="G281" s="218"/>
      <c r="H281" s="12">
        <f>H282</f>
        <v>198440</v>
      </c>
      <c r="I281" s="12">
        <f>I282</f>
        <v>0</v>
      </c>
      <c r="J281" s="218">
        <f t="shared" si="24"/>
        <v>0</v>
      </c>
      <c r="K281" s="201">
        <f t="shared" si="29"/>
        <v>198440</v>
      </c>
      <c r="L281" s="201">
        <f t="shared" si="30"/>
        <v>0</v>
      </c>
      <c r="M281" s="385">
        <f t="shared" si="32"/>
        <v>0</v>
      </c>
      <c r="N281" s="549"/>
      <c r="O281" s="549"/>
      <c r="P281" s="549"/>
      <c r="Q281" s="549"/>
    </row>
    <row r="282" spans="1:17" x14ac:dyDescent="0.25">
      <c r="A282" s="551"/>
      <c r="B282" s="60"/>
      <c r="C282" s="60"/>
      <c r="D282" s="380" t="s">
        <v>411</v>
      </c>
      <c r="E282" s="7"/>
      <c r="F282" s="7"/>
      <c r="G282" s="218"/>
      <c r="H282" s="12">
        <v>198440</v>
      </c>
      <c r="I282" s="12">
        <v>0</v>
      </c>
      <c r="J282" s="218"/>
      <c r="K282" s="201">
        <f t="shared" si="29"/>
        <v>198440</v>
      </c>
      <c r="L282" s="201">
        <f t="shared" si="30"/>
        <v>0</v>
      </c>
      <c r="M282" s="385">
        <f t="shared" si="32"/>
        <v>0</v>
      </c>
      <c r="N282" s="549"/>
      <c r="O282" s="549"/>
      <c r="P282" s="549"/>
      <c r="Q282" s="549"/>
    </row>
    <row r="283" spans="1:17" ht="31.5" x14ac:dyDescent="0.25">
      <c r="A283" s="35">
        <v>1516030</v>
      </c>
      <c r="B283" s="36" t="s">
        <v>25</v>
      </c>
      <c r="C283" s="36" t="s">
        <v>26</v>
      </c>
      <c r="D283" s="31" t="s">
        <v>27</v>
      </c>
      <c r="E283" s="7">
        <v>0</v>
      </c>
      <c r="F283" s="7">
        <v>0</v>
      </c>
      <c r="G283" s="218"/>
      <c r="H283" s="12">
        <f>H284</f>
        <v>1501481</v>
      </c>
      <c r="I283" s="12">
        <f>I284</f>
        <v>966004.54</v>
      </c>
      <c r="J283" s="218">
        <f t="shared" si="24"/>
        <v>0.64336780818405293</v>
      </c>
      <c r="K283" s="201">
        <f t="shared" si="29"/>
        <v>1501481</v>
      </c>
      <c r="L283" s="201">
        <f t="shared" si="30"/>
        <v>966004.54</v>
      </c>
      <c r="M283" s="385">
        <f t="shared" si="32"/>
        <v>0.64336780818405293</v>
      </c>
      <c r="N283" s="549"/>
      <c r="O283" s="549"/>
      <c r="P283" s="549"/>
      <c r="Q283" s="549"/>
    </row>
    <row r="284" spans="1:17" x14ac:dyDescent="0.25">
      <c r="A284" s="125"/>
      <c r="B284" s="36"/>
      <c r="C284" s="126"/>
      <c r="D284" s="377" t="s">
        <v>410</v>
      </c>
      <c r="E284" s="12"/>
      <c r="F284" s="12"/>
      <c r="G284" s="218"/>
      <c r="H284" s="12">
        <f>H285</f>
        <v>1501481</v>
      </c>
      <c r="I284" s="12">
        <f>I285</f>
        <v>966004.54</v>
      </c>
      <c r="J284" s="218">
        <f t="shared" si="24"/>
        <v>0.64336780818405293</v>
      </c>
      <c r="K284" s="201">
        <f t="shared" si="29"/>
        <v>1501481</v>
      </c>
      <c r="L284" s="201">
        <f t="shared" si="30"/>
        <v>966004.54</v>
      </c>
      <c r="M284" s="385">
        <f t="shared" si="32"/>
        <v>0.64336780818405293</v>
      </c>
      <c r="N284" s="549"/>
      <c r="O284" s="549"/>
      <c r="P284" s="549"/>
      <c r="Q284" s="549"/>
    </row>
    <row r="285" spans="1:17" x14ac:dyDescent="0.25">
      <c r="A285" s="125"/>
      <c r="B285" s="36"/>
      <c r="C285" s="126"/>
      <c r="D285" s="378" t="s">
        <v>411</v>
      </c>
      <c r="E285" s="12"/>
      <c r="F285" s="12"/>
      <c r="G285" s="218"/>
      <c r="H285" s="12">
        <v>1501481</v>
      </c>
      <c r="I285" s="12">
        <v>966004.54</v>
      </c>
      <c r="J285" s="218">
        <f t="shared" si="24"/>
        <v>0.64336780818405293</v>
      </c>
      <c r="K285" s="201">
        <f t="shared" si="29"/>
        <v>1501481</v>
      </c>
      <c r="L285" s="201">
        <f t="shared" si="30"/>
        <v>966004.54</v>
      </c>
      <c r="M285" s="385">
        <f t="shared" si="32"/>
        <v>0.64336780818405293</v>
      </c>
      <c r="N285" s="549"/>
      <c r="O285" s="549"/>
      <c r="P285" s="549"/>
      <c r="Q285" s="549"/>
    </row>
    <row r="286" spans="1:17" ht="31.5" x14ac:dyDescent="0.25">
      <c r="A286" s="125">
        <v>1517461</v>
      </c>
      <c r="B286" s="36">
        <v>7461</v>
      </c>
      <c r="C286" s="552" t="s">
        <v>130</v>
      </c>
      <c r="D286" s="31" t="s">
        <v>260</v>
      </c>
      <c r="E286" s="12">
        <v>0</v>
      </c>
      <c r="F286" s="12">
        <v>0</v>
      </c>
      <c r="G286" s="219"/>
      <c r="H286" s="12">
        <f>H287</f>
        <v>7486779</v>
      </c>
      <c r="I286" s="12">
        <f>I287</f>
        <v>3684839.46</v>
      </c>
      <c r="J286" s="219">
        <f t="shared" si="24"/>
        <v>0.49217954209680825</v>
      </c>
      <c r="K286" s="201">
        <f t="shared" si="29"/>
        <v>7486779</v>
      </c>
      <c r="L286" s="201">
        <f t="shared" si="30"/>
        <v>3684839.46</v>
      </c>
      <c r="M286" s="385">
        <f t="shared" si="32"/>
        <v>0.49217954209680825</v>
      </c>
      <c r="N286" s="549"/>
      <c r="O286" s="549"/>
      <c r="P286" s="549"/>
      <c r="Q286" s="549"/>
    </row>
    <row r="287" spans="1:17" x14ac:dyDescent="0.25">
      <c r="A287" s="940"/>
      <c r="B287" s="941"/>
      <c r="C287" s="941"/>
      <c r="D287" s="377" t="s">
        <v>410</v>
      </c>
      <c r="E287" s="7"/>
      <c r="F287" s="7"/>
      <c r="G287" s="218"/>
      <c r="H287" s="7">
        <f>H288</f>
        <v>7486779</v>
      </c>
      <c r="I287" s="7">
        <f>I288</f>
        <v>3684839.46</v>
      </c>
      <c r="J287" s="219">
        <f t="shared" si="24"/>
        <v>0.49217954209680825</v>
      </c>
      <c r="K287" s="201">
        <f t="shared" si="29"/>
        <v>7486779</v>
      </c>
      <c r="L287" s="201">
        <f t="shared" si="30"/>
        <v>3684839.46</v>
      </c>
      <c r="M287" s="385">
        <f t="shared" si="32"/>
        <v>0.49217954209680825</v>
      </c>
      <c r="N287" s="549"/>
      <c r="O287" s="549"/>
      <c r="P287" s="549"/>
      <c r="Q287" s="549"/>
    </row>
    <row r="288" spans="1:17" ht="16.5" thickBot="1" x14ac:dyDescent="0.3">
      <c r="A288" s="35"/>
      <c r="B288" s="36"/>
      <c r="C288" s="36"/>
      <c r="D288" s="380" t="s">
        <v>411</v>
      </c>
      <c r="E288" s="12"/>
      <c r="F288" s="12"/>
      <c r="G288" s="219"/>
      <c r="H288" s="12">
        <v>7486779</v>
      </c>
      <c r="I288" s="12">
        <v>3684839.46</v>
      </c>
      <c r="J288" s="219">
        <f t="shared" si="24"/>
        <v>0.49217954209680825</v>
      </c>
      <c r="K288" s="204">
        <f t="shared" si="29"/>
        <v>7486779</v>
      </c>
      <c r="L288" s="204">
        <f t="shared" si="30"/>
        <v>3684839.46</v>
      </c>
      <c r="M288" s="385">
        <f t="shared" si="32"/>
        <v>0.49217954209680825</v>
      </c>
      <c r="N288" s="549"/>
      <c r="O288" s="549"/>
      <c r="P288" s="549"/>
      <c r="Q288" s="549"/>
    </row>
    <row r="289" spans="1:17" s="29" customFormat="1" ht="62.25" customHeight="1" thickBot="1" x14ac:dyDescent="0.3">
      <c r="A289" s="32" t="s">
        <v>179</v>
      </c>
      <c r="B289" s="33" t="s">
        <v>14</v>
      </c>
      <c r="C289" s="33" t="s">
        <v>14</v>
      </c>
      <c r="D289" s="34" t="s">
        <v>180</v>
      </c>
      <c r="E289" s="51">
        <f t="shared" ref="E289:F291" si="33">E290</f>
        <v>4533794</v>
      </c>
      <c r="F289" s="51">
        <f t="shared" si="33"/>
        <v>3318930.83</v>
      </c>
      <c r="G289" s="216">
        <f t="shared" si="27"/>
        <v>0.73204270639557067</v>
      </c>
      <c r="H289" s="10">
        <f>H290</f>
        <v>9099316</v>
      </c>
      <c r="I289" s="10">
        <f>I290</f>
        <v>9099315.0199999996</v>
      </c>
      <c r="J289" s="216">
        <f t="shared" si="24"/>
        <v>0.99999989229959696</v>
      </c>
      <c r="K289" s="214">
        <f>K290</f>
        <v>13633110</v>
      </c>
      <c r="L289" s="214">
        <f>L290</f>
        <v>12418245.85</v>
      </c>
      <c r="M289" s="224">
        <f t="shared" si="32"/>
        <v>0.91088870037724334</v>
      </c>
      <c r="N289" s="549"/>
      <c r="O289" s="549"/>
      <c r="P289" s="549"/>
      <c r="Q289" s="549"/>
    </row>
    <row r="290" spans="1:17" s="28" customFormat="1" ht="63" x14ac:dyDescent="0.25">
      <c r="A290" s="45" t="s">
        <v>181</v>
      </c>
      <c r="B290" s="46" t="s">
        <v>14</v>
      </c>
      <c r="C290" s="46" t="s">
        <v>14</v>
      </c>
      <c r="D290" s="47" t="s">
        <v>180</v>
      </c>
      <c r="E290" s="39">
        <f t="shared" si="33"/>
        <v>4533794</v>
      </c>
      <c r="F290" s="39">
        <f t="shared" si="33"/>
        <v>3318930.83</v>
      </c>
      <c r="G290" s="217">
        <f t="shared" si="27"/>
        <v>0.73204270639557067</v>
      </c>
      <c r="H290" s="13">
        <f>H294</f>
        <v>9099316</v>
      </c>
      <c r="I290" s="13">
        <f>I294</f>
        <v>9099315.0199999996</v>
      </c>
      <c r="J290" s="217">
        <f t="shared" si="24"/>
        <v>0.99999989229959696</v>
      </c>
      <c r="K290" s="13">
        <f>K291+K294</f>
        <v>13633110</v>
      </c>
      <c r="L290" s="13">
        <f t="shared" ref="L290" si="34">L291+L294</f>
        <v>12418245.85</v>
      </c>
      <c r="M290" s="386">
        <f t="shared" si="32"/>
        <v>0.91088870037724334</v>
      </c>
      <c r="N290" s="549"/>
      <c r="O290" s="549"/>
      <c r="P290" s="549"/>
      <c r="Q290" s="549"/>
    </row>
    <row r="291" spans="1:17" ht="54.6" customHeight="1" x14ac:dyDescent="0.25">
      <c r="A291" s="35" t="s">
        <v>182</v>
      </c>
      <c r="B291" s="36" t="s">
        <v>42</v>
      </c>
      <c r="C291" s="36" t="s">
        <v>16</v>
      </c>
      <c r="D291" s="31" t="s">
        <v>156</v>
      </c>
      <c r="E291" s="38">
        <f t="shared" si="33"/>
        <v>4533794</v>
      </c>
      <c r="F291" s="38">
        <f>F292</f>
        <v>3318930.83</v>
      </c>
      <c r="G291" s="219">
        <f t="shared" si="27"/>
        <v>0.73204270639557067</v>
      </c>
      <c r="H291" s="7">
        <v>0</v>
      </c>
      <c r="I291" s="7"/>
      <c r="J291" s="218"/>
      <c r="K291" s="7">
        <f>E291+H291</f>
        <v>4533794</v>
      </c>
      <c r="L291" s="204">
        <f>F291+I291</f>
        <v>3318930.83</v>
      </c>
      <c r="M291" s="385">
        <f t="shared" si="32"/>
        <v>0.73204270639557067</v>
      </c>
      <c r="N291" s="549"/>
      <c r="O291" s="549"/>
      <c r="P291" s="549"/>
      <c r="Q291" s="549"/>
    </row>
    <row r="292" spans="1:17" x14ac:dyDescent="0.25">
      <c r="A292" s="940"/>
      <c r="B292" s="941"/>
      <c r="C292" s="941"/>
      <c r="D292" s="377" t="s">
        <v>407</v>
      </c>
      <c r="E292" s="37">
        <v>4533794</v>
      </c>
      <c r="F292" s="37">
        <v>3318930.83</v>
      </c>
      <c r="G292" s="219">
        <f t="shared" si="27"/>
        <v>0.73204270639557067</v>
      </c>
      <c r="H292" s="7"/>
      <c r="I292" s="7"/>
      <c r="J292" s="219"/>
      <c r="K292" s="204">
        <f t="shared" ref="K292:K296" si="35">E292+H292</f>
        <v>4533794</v>
      </c>
      <c r="L292" s="204">
        <f t="shared" ref="L292:L296" si="36">F292+I292</f>
        <v>3318930.83</v>
      </c>
      <c r="M292" s="385">
        <f t="shared" si="32"/>
        <v>0.73204270639557067</v>
      </c>
      <c r="N292" s="549"/>
      <c r="O292" s="549"/>
      <c r="P292" s="549"/>
      <c r="Q292" s="549"/>
    </row>
    <row r="293" spans="1:17" x14ac:dyDescent="0.25">
      <c r="A293" s="35"/>
      <c r="B293" s="36"/>
      <c r="C293" s="36"/>
      <c r="D293" s="380" t="s">
        <v>408</v>
      </c>
      <c r="E293" s="38">
        <v>4269632</v>
      </c>
      <c r="F293" s="38">
        <v>3102180.73</v>
      </c>
      <c r="G293" s="219">
        <f t="shared" si="27"/>
        <v>0.72656864338659632</v>
      </c>
      <c r="H293" s="12"/>
      <c r="I293" s="12"/>
      <c r="J293" s="219"/>
      <c r="K293" s="204">
        <f t="shared" si="35"/>
        <v>4269632</v>
      </c>
      <c r="L293" s="204">
        <f t="shared" si="36"/>
        <v>3102180.73</v>
      </c>
      <c r="M293" s="385">
        <f t="shared" si="32"/>
        <v>0.72656864338659632</v>
      </c>
      <c r="N293" s="549"/>
      <c r="O293" s="549"/>
      <c r="P293" s="549"/>
      <c r="Q293" s="549"/>
    </row>
    <row r="294" spans="1:17" ht="47.25" x14ac:dyDescent="0.25">
      <c r="A294" s="50" t="s">
        <v>521</v>
      </c>
      <c r="B294" s="49" t="s">
        <v>522</v>
      </c>
      <c r="C294" s="49" t="s">
        <v>258</v>
      </c>
      <c r="D294" s="378" t="s">
        <v>523</v>
      </c>
      <c r="E294" s="37"/>
      <c r="F294" s="37"/>
      <c r="G294" s="218"/>
      <c r="H294" s="7">
        <f>H295</f>
        <v>9099316</v>
      </c>
      <c r="I294" s="7">
        <f>I295</f>
        <v>9099315.0199999996</v>
      </c>
      <c r="J294" s="219">
        <f t="shared" si="24"/>
        <v>0.99999989229959696</v>
      </c>
      <c r="K294" s="204">
        <f t="shared" si="35"/>
        <v>9099316</v>
      </c>
      <c r="L294" s="204">
        <f t="shared" si="36"/>
        <v>9099315.0199999996</v>
      </c>
      <c r="M294" s="385">
        <f t="shared" si="32"/>
        <v>0.99999989229959696</v>
      </c>
      <c r="N294" s="549"/>
      <c r="O294" s="549"/>
      <c r="P294" s="549"/>
      <c r="Q294" s="549"/>
    </row>
    <row r="295" spans="1:17" x14ac:dyDescent="0.25">
      <c r="A295" s="50"/>
      <c r="B295" s="49"/>
      <c r="C295" s="49"/>
      <c r="D295" s="377" t="s">
        <v>410</v>
      </c>
      <c r="E295" s="37"/>
      <c r="F295" s="37"/>
      <c r="G295" s="218"/>
      <c r="H295" s="7">
        <f>H296</f>
        <v>9099316</v>
      </c>
      <c r="I295" s="7">
        <f>I296</f>
        <v>9099315.0199999996</v>
      </c>
      <c r="J295" s="219">
        <f t="shared" si="24"/>
        <v>0.99999989229959696</v>
      </c>
      <c r="K295" s="204">
        <f t="shared" si="35"/>
        <v>9099316</v>
      </c>
      <c r="L295" s="204">
        <f t="shared" si="36"/>
        <v>9099315.0199999996</v>
      </c>
      <c r="M295" s="385">
        <f t="shared" si="32"/>
        <v>0.99999989229959696</v>
      </c>
      <c r="N295" s="549"/>
      <c r="O295" s="549"/>
      <c r="P295" s="549"/>
      <c r="Q295" s="549"/>
    </row>
    <row r="296" spans="1:17" ht="16.5" thickBot="1" x14ac:dyDescent="0.3">
      <c r="A296" s="946"/>
      <c r="B296" s="127"/>
      <c r="C296" s="127"/>
      <c r="D296" s="380" t="s">
        <v>411</v>
      </c>
      <c r="E296" s="38"/>
      <c r="F296" s="38"/>
      <c r="G296" s="219"/>
      <c r="H296" s="12">
        <v>9099316</v>
      </c>
      <c r="I296" s="12">
        <v>9099315.0199999996</v>
      </c>
      <c r="J296" s="219">
        <f t="shared" si="24"/>
        <v>0.99999989229959696</v>
      </c>
      <c r="K296" s="204">
        <f t="shared" si="35"/>
        <v>9099316</v>
      </c>
      <c r="L296" s="204">
        <f t="shared" si="36"/>
        <v>9099315.0199999996</v>
      </c>
      <c r="M296" s="385">
        <f t="shared" si="32"/>
        <v>0.99999989229959696</v>
      </c>
      <c r="N296" s="549"/>
      <c r="O296" s="549"/>
      <c r="P296" s="549"/>
      <c r="Q296" s="549"/>
    </row>
    <row r="297" spans="1:17" s="740" customFormat="1" ht="48" thickBot="1" x14ac:dyDescent="0.3">
      <c r="A297" s="32" t="s">
        <v>183</v>
      </c>
      <c r="B297" s="33" t="s">
        <v>14</v>
      </c>
      <c r="C297" s="33" t="s">
        <v>14</v>
      </c>
      <c r="D297" s="34" t="s">
        <v>184</v>
      </c>
      <c r="E297" s="51">
        <f>E298</f>
        <v>10248088</v>
      </c>
      <c r="F297" s="51">
        <f>F298</f>
        <v>7369507.7300000004</v>
      </c>
      <c r="G297" s="216">
        <f t="shared" si="27"/>
        <v>0.71911050432041568</v>
      </c>
      <c r="H297" s="10">
        <v>0</v>
      </c>
      <c r="I297" s="10"/>
      <c r="J297" s="216"/>
      <c r="K297" s="214">
        <f>K298</f>
        <v>10248088</v>
      </c>
      <c r="L297" s="214">
        <f>L298</f>
        <v>7369507.7300000004</v>
      </c>
      <c r="M297" s="224">
        <f t="shared" si="32"/>
        <v>0.71911050432041568</v>
      </c>
      <c r="N297" s="709"/>
      <c r="O297" s="709"/>
      <c r="P297" s="709"/>
      <c r="Q297" s="709"/>
    </row>
    <row r="298" spans="1:17" s="741" customFormat="1" ht="44.25" customHeight="1" x14ac:dyDescent="0.25">
      <c r="A298" s="45" t="s">
        <v>185</v>
      </c>
      <c r="B298" s="46" t="s">
        <v>14</v>
      </c>
      <c r="C298" s="46" t="s">
        <v>14</v>
      </c>
      <c r="D298" s="47" t="s">
        <v>184</v>
      </c>
      <c r="E298" s="39">
        <f>E299+E302+E304</f>
        <v>10248088</v>
      </c>
      <c r="F298" s="39">
        <f>F299+F302+F304</f>
        <v>7369507.7300000004</v>
      </c>
      <c r="G298" s="217">
        <f t="shared" si="27"/>
        <v>0.71911050432041568</v>
      </c>
      <c r="H298" s="13">
        <v>0</v>
      </c>
      <c r="I298" s="13"/>
      <c r="J298" s="558"/>
      <c r="K298" s="215">
        <f>K299+K302+K304</f>
        <v>10248088</v>
      </c>
      <c r="L298" s="215">
        <f>L299+L302+L304</f>
        <v>7369507.7300000004</v>
      </c>
      <c r="M298" s="386">
        <f t="shared" si="32"/>
        <v>0.71911050432041568</v>
      </c>
      <c r="N298" s="709"/>
      <c r="O298" s="709"/>
      <c r="P298" s="709"/>
      <c r="Q298" s="709"/>
    </row>
    <row r="299" spans="1:17" s="42" customFormat="1" ht="47.25" x14ac:dyDescent="0.25">
      <c r="A299" s="35" t="s">
        <v>186</v>
      </c>
      <c r="B299" s="36" t="s">
        <v>42</v>
      </c>
      <c r="C299" s="36" t="s">
        <v>16</v>
      </c>
      <c r="D299" s="31" t="s">
        <v>156</v>
      </c>
      <c r="E299" s="38">
        <f>E300</f>
        <v>4704270</v>
      </c>
      <c r="F299" s="38">
        <f>F300</f>
        <v>3637785.73</v>
      </c>
      <c r="G299" s="218">
        <f t="shared" si="27"/>
        <v>0.77329441762483875</v>
      </c>
      <c r="H299" s="12">
        <v>0</v>
      </c>
      <c r="I299" s="12"/>
      <c r="J299" s="219"/>
      <c r="K299" s="204">
        <f>E299+H299</f>
        <v>4704270</v>
      </c>
      <c r="L299" s="204">
        <f>F299+I299</f>
        <v>3637785.73</v>
      </c>
      <c r="M299" s="385">
        <f t="shared" si="32"/>
        <v>0.77329441762483875</v>
      </c>
      <c r="N299" s="709"/>
      <c r="O299" s="709"/>
      <c r="P299" s="709"/>
      <c r="Q299" s="709"/>
    </row>
    <row r="300" spans="1:17" s="42" customFormat="1" x14ac:dyDescent="0.25">
      <c r="A300" s="35"/>
      <c r="B300" s="36"/>
      <c r="C300" s="36"/>
      <c r="D300" s="377" t="s">
        <v>407</v>
      </c>
      <c r="E300" s="38">
        <v>4704270</v>
      </c>
      <c r="F300" s="38">
        <v>3637785.73</v>
      </c>
      <c r="G300" s="218">
        <f t="shared" si="27"/>
        <v>0.77329441762483875</v>
      </c>
      <c r="H300" s="12"/>
      <c r="I300" s="12"/>
      <c r="J300" s="219"/>
      <c r="K300" s="204">
        <f t="shared" ref="K300:K305" si="37">E300+H300</f>
        <v>4704270</v>
      </c>
      <c r="L300" s="204">
        <f t="shared" ref="L300:L305" si="38">F300+I300</f>
        <v>3637785.73</v>
      </c>
      <c r="M300" s="385">
        <f t="shared" si="32"/>
        <v>0.77329441762483875</v>
      </c>
      <c r="N300" s="709"/>
      <c r="O300" s="709"/>
      <c r="P300" s="709"/>
      <c r="Q300" s="709"/>
    </row>
    <row r="301" spans="1:17" s="42" customFormat="1" x14ac:dyDescent="0.25">
      <c r="A301" s="35"/>
      <c r="B301" s="36"/>
      <c r="C301" s="36"/>
      <c r="D301" s="378" t="s">
        <v>408</v>
      </c>
      <c r="E301" s="38">
        <v>4568210</v>
      </c>
      <c r="F301" s="38">
        <v>3512070.48</v>
      </c>
      <c r="G301" s="218">
        <f t="shared" si="27"/>
        <v>0.76880670547107077</v>
      </c>
      <c r="H301" s="12"/>
      <c r="I301" s="12"/>
      <c r="J301" s="219"/>
      <c r="K301" s="204">
        <f t="shared" si="37"/>
        <v>4568210</v>
      </c>
      <c r="L301" s="204">
        <f t="shared" si="38"/>
        <v>3512070.48</v>
      </c>
      <c r="M301" s="385">
        <f t="shared" si="32"/>
        <v>0.76880670547107077</v>
      </c>
      <c r="N301" s="709"/>
      <c r="O301" s="709"/>
      <c r="P301" s="709"/>
      <c r="Q301" s="709"/>
    </row>
    <row r="302" spans="1:17" s="42" customFormat="1" ht="31.9" customHeight="1" x14ac:dyDescent="0.25">
      <c r="A302" s="35">
        <v>2717413</v>
      </c>
      <c r="B302" s="36">
        <v>7413</v>
      </c>
      <c r="C302" s="127" t="s">
        <v>211</v>
      </c>
      <c r="D302" s="31" t="s">
        <v>210</v>
      </c>
      <c r="E302" s="38">
        <f>E303</f>
        <v>5362968</v>
      </c>
      <c r="F302" s="38">
        <f>F303</f>
        <v>3550872</v>
      </c>
      <c r="G302" s="219">
        <f t="shared" si="27"/>
        <v>0.66210948862644714</v>
      </c>
      <c r="H302" s="12"/>
      <c r="I302" s="12"/>
      <c r="J302" s="219"/>
      <c r="K302" s="204">
        <f t="shared" si="37"/>
        <v>5362968</v>
      </c>
      <c r="L302" s="204">
        <f t="shared" si="38"/>
        <v>3550872</v>
      </c>
      <c r="M302" s="385">
        <f t="shared" si="32"/>
        <v>0.66210948862644714</v>
      </c>
      <c r="N302" s="709"/>
      <c r="O302" s="709"/>
      <c r="P302" s="709"/>
      <c r="Q302" s="709"/>
    </row>
    <row r="303" spans="1:17" s="42" customFormat="1" x14ac:dyDescent="0.25">
      <c r="A303" s="35"/>
      <c r="B303" s="36"/>
      <c r="C303" s="127"/>
      <c r="D303" s="379" t="s">
        <v>407</v>
      </c>
      <c r="E303" s="38">
        <v>5362968</v>
      </c>
      <c r="F303" s="38">
        <v>3550872</v>
      </c>
      <c r="G303" s="219">
        <f t="shared" si="27"/>
        <v>0.66210948862644714</v>
      </c>
      <c r="H303" s="12"/>
      <c r="I303" s="12"/>
      <c r="J303" s="219"/>
      <c r="K303" s="204">
        <f t="shared" si="37"/>
        <v>5362968</v>
      </c>
      <c r="L303" s="204">
        <f t="shared" si="38"/>
        <v>3550872</v>
      </c>
      <c r="M303" s="385">
        <f t="shared" si="32"/>
        <v>0.66210948862644714</v>
      </c>
      <c r="N303" s="709"/>
      <c r="O303" s="709"/>
      <c r="P303" s="709"/>
      <c r="Q303" s="709"/>
    </row>
    <row r="304" spans="1:17" s="42" customFormat="1" ht="31.5" x14ac:dyDescent="0.25">
      <c r="A304" s="940">
        <v>2717693</v>
      </c>
      <c r="B304" s="941">
        <v>7693</v>
      </c>
      <c r="C304" s="49" t="s">
        <v>152</v>
      </c>
      <c r="D304" s="378" t="s">
        <v>509</v>
      </c>
      <c r="E304" s="37">
        <f>E305</f>
        <v>180850</v>
      </c>
      <c r="F304" s="37">
        <f>F305</f>
        <v>180850</v>
      </c>
      <c r="G304" s="218">
        <f t="shared" si="27"/>
        <v>1</v>
      </c>
      <c r="H304" s="7"/>
      <c r="I304" s="7"/>
      <c r="J304" s="218"/>
      <c r="K304" s="7">
        <f t="shared" si="37"/>
        <v>180850</v>
      </c>
      <c r="L304" s="7">
        <f t="shared" si="38"/>
        <v>180850</v>
      </c>
      <c r="M304" s="384">
        <f t="shared" si="32"/>
        <v>1</v>
      </c>
      <c r="N304" s="709"/>
      <c r="O304" s="709"/>
      <c r="P304" s="709"/>
      <c r="Q304" s="709"/>
    </row>
    <row r="305" spans="1:17" x14ac:dyDescent="0.25">
      <c r="A305" s="940"/>
      <c r="B305" s="941"/>
      <c r="C305" s="49"/>
      <c r="D305" s="379" t="s">
        <v>407</v>
      </c>
      <c r="E305" s="37">
        <v>180850</v>
      </c>
      <c r="F305" s="37">
        <v>180850</v>
      </c>
      <c r="G305" s="218">
        <f t="shared" si="27"/>
        <v>1</v>
      </c>
      <c r="H305" s="7"/>
      <c r="I305" s="7"/>
      <c r="J305" s="218"/>
      <c r="K305" s="7">
        <f t="shared" si="37"/>
        <v>180850</v>
      </c>
      <c r="L305" s="7">
        <f t="shared" si="38"/>
        <v>180850</v>
      </c>
      <c r="M305" s="384">
        <f t="shared" si="32"/>
        <v>1</v>
      </c>
      <c r="N305" s="549"/>
      <c r="O305" s="549"/>
      <c r="P305" s="549"/>
      <c r="Q305" s="549"/>
    </row>
    <row r="306" spans="1:17" s="29" customFormat="1" ht="48" thickBot="1" x14ac:dyDescent="0.3">
      <c r="A306" s="702" t="s">
        <v>187</v>
      </c>
      <c r="B306" s="703" t="s">
        <v>14</v>
      </c>
      <c r="C306" s="703" t="s">
        <v>14</v>
      </c>
      <c r="D306" s="704" t="s">
        <v>449</v>
      </c>
      <c r="E306" s="705">
        <f t="shared" ref="E306:F308" si="39">E307</f>
        <v>4390777</v>
      </c>
      <c r="F306" s="705">
        <f t="shared" si="39"/>
        <v>3194826.85</v>
      </c>
      <c r="G306" s="706">
        <f t="shared" si="27"/>
        <v>0.72762220673015277</v>
      </c>
      <c r="H306" s="710">
        <f>H307</f>
        <v>0</v>
      </c>
      <c r="I306" s="710">
        <f>I307</f>
        <v>1551101.35</v>
      </c>
      <c r="J306" s="706">
        <v>0</v>
      </c>
      <c r="K306" s="707">
        <f>K307</f>
        <v>4390777</v>
      </c>
      <c r="L306" s="707">
        <f>L307</f>
        <v>4745928.2</v>
      </c>
      <c r="M306" s="708">
        <f t="shared" si="32"/>
        <v>1.0808857293367438</v>
      </c>
      <c r="N306" s="549"/>
      <c r="O306" s="549"/>
      <c r="P306" s="549"/>
      <c r="Q306" s="549"/>
    </row>
    <row r="307" spans="1:17" s="28" customFormat="1" ht="47.25" x14ac:dyDescent="0.25">
      <c r="A307" s="45" t="s">
        <v>188</v>
      </c>
      <c r="B307" s="46" t="s">
        <v>14</v>
      </c>
      <c r="C307" s="46" t="s">
        <v>14</v>
      </c>
      <c r="D307" s="47" t="s">
        <v>449</v>
      </c>
      <c r="E307" s="39">
        <f>E308+E313+E316+E318</f>
        <v>4390777</v>
      </c>
      <c r="F307" s="39">
        <f>F308+F313+F316+F318</f>
        <v>3194826.85</v>
      </c>
      <c r="G307" s="217">
        <f t="shared" si="27"/>
        <v>0.72762220673015277</v>
      </c>
      <c r="H307" s="13">
        <f>H308+H311</f>
        <v>0</v>
      </c>
      <c r="I307" s="13">
        <f>I308+I311</f>
        <v>1551101.35</v>
      </c>
      <c r="J307" s="217">
        <v>0</v>
      </c>
      <c r="K307" s="13">
        <f>K308+K311+K313+K316+K318</f>
        <v>4390777</v>
      </c>
      <c r="L307" s="13">
        <f>L308+L311+L313+L316+L318</f>
        <v>4745928.2</v>
      </c>
      <c r="M307" s="386">
        <f t="shared" si="32"/>
        <v>1.0808857293367438</v>
      </c>
      <c r="N307" s="549"/>
      <c r="O307" s="549"/>
      <c r="P307" s="549"/>
      <c r="Q307" s="549"/>
    </row>
    <row r="308" spans="1:17" ht="47.25" x14ac:dyDescent="0.25">
      <c r="A308" s="35" t="s">
        <v>189</v>
      </c>
      <c r="B308" s="36" t="s">
        <v>42</v>
      </c>
      <c r="C308" s="36" t="s">
        <v>16</v>
      </c>
      <c r="D308" s="31" t="s">
        <v>156</v>
      </c>
      <c r="E308" s="38">
        <f>E309</f>
        <v>3562005</v>
      </c>
      <c r="F308" s="38">
        <f t="shared" si="39"/>
        <v>2603360.69</v>
      </c>
      <c r="G308" s="219">
        <f t="shared" si="27"/>
        <v>0.7308694653713288</v>
      </c>
      <c r="H308" s="12"/>
      <c r="I308" s="7"/>
      <c r="J308" s="218"/>
      <c r="K308" s="7">
        <f>K309</f>
        <v>3562005</v>
      </c>
      <c r="L308" s="204">
        <f>L309</f>
        <v>2603360.69</v>
      </c>
      <c r="M308" s="385">
        <f t="shared" si="32"/>
        <v>0.7308694653713288</v>
      </c>
      <c r="N308" s="549"/>
      <c r="O308" s="549"/>
      <c r="P308" s="549"/>
      <c r="Q308" s="549"/>
    </row>
    <row r="309" spans="1:17" x14ac:dyDescent="0.25">
      <c r="A309" s="940"/>
      <c r="B309" s="941"/>
      <c r="C309" s="941"/>
      <c r="D309" s="377" t="s">
        <v>407</v>
      </c>
      <c r="E309" s="37">
        <v>3562005</v>
      </c>
      <c r="F309" s="37">
        <v>2603360.69</v>
      </c>
      <c r="G309" s="219">
        <f t="shared" si="27"/>
        <v>0.7308694653713288</v>
      </c>
      <c r="H309" s="7"/>
      <c r="I309" s="7"/>
      <c r="J309" s="219"/>
      <c r="K309" s="7">
        <f>E309+H309</f>
        <v>3562005</v>
      </c>
      <c r="L309" s="7">
        <f>F309+I309</f>
        <v>2603360.69</v>
      </c>
      <c r="M309" s="386">
        <f t="shared" si="32"/>
        <v>0.7308694653713288</v>
      </c>
      <c r="N309" s="549"/>
      <c r="O309" s="549"/>
      <c r="P309" s="549"/>
      <c r="Q309" s="549"/>
    </row>
    <row r="310" spans="1:17" x14ac:dyDescent="0.25">
      <c r="A310" s="940"/>
      <c r="B310" s="941"/>
      <c r="C310" s="941"/>
      <c r="D310" s="378" t="s">
        <v>408</v>
      </c>
      <c r="E310" s="37">
        <v>3418475</v>
      </c>
      <c r="F310" s="37">
        <v>2493671.9900000002</v>
      </c>
      <c r="G310" s="219">
        <f t="shared" si="27"/>
        <v>0.72946913170346428</v>
      </c>
      <c r="H310" s="7"/>
      <c r="I310" s="7"/>
      <c r="J310" s="219"/>
      <c r="K310" s="7">
        <f t="shared" ref="K310:K319" si="40">E310+H310</f>
        <v>3418475</v>
      </c>
      <c r="L310" s="7">
        <f t="shared" ref="L310:L319" si="41">F310+I310</f>
        <v>2493671.9900000002</v>
      </c>
      <c r="M310" s="385">
        <f t="shared" si="32"/>
        <v>0.72946913170346428</v>
      </c>
      <c r="N310" s="549"/>
      <c r="O310" s="549"/>
      <c r="P310" s="549"/>
      <c r="Q310" s="549"/>
    </row>
    <row r="311" spans="1:17" ht="31.5" x14ac:dyDescent="0.25">
      <c r="A311" s="50" t="s">
        <v>555</v>
      </c>
      <c r="B311" s="49" t="s">
        <v>197</v>
      </c>
      <c r="C311" s="49" t="s">
        <v>195</v>
      </c>
      <c r="D311" s="378" t="s">
        <v>556</v>
      </c>
      <c r="E311" s="37"/>
      <c r="F311" s="37"/>
      <c r="G311" s="219"/>
      <c r="H311" s="7">
        <f>H312</f>
        <v>0</v>
      </c>
      <c r="I311" s="7">
        <f>I312</f>
        <v>1551101.35</v>
      </c>
      <c r="J311" s="219">
        <v>0</v>
      </c>
      <c r="K311" s="7">
        <f t="shared" si="40"/>
        <v>0</v>
      </c>
      <c r="L311" s="7">
        <f t="shared" si="41"/>
        <v>1551101.35</v>
      </c>
      <c r="M311" s="385">
        <v>0</v>
      </c>
      <c r="N311" s="549"/>
      <c r="O311" s="549"/>
      <c r="P311" s="549"/>
      <c r="Q311" s="549"/>
    </row>
    <row r="312" spans="1:17" x14ac:dyDescent="0.25">
      <c r="A312" s="50"/>
      <c r="B312" s="49"/>
      <c r="C312" s="49"/>
      <c r="D312" s="377" t="s">
        <v>407</v>
      </c>
      <c r="E312" s="37"/>
      <c r="F312" s="37"/>
      <c r="G312" s="219"/>
      <c r="H312" s="7">
        <v>0</v>
      </c>
      <c r="I312" s="7">
        <v>1551101.35</v>
      </c>
      <c r="J312" s="219">
        <v>0</v>
      </c>
      <c r="K312" s="7">
        <f t="shared" si="40"/>
        <v>0</v>
      </c>
      <c r="L312" s="7">
        <f t="shared" si="41"/>
        <v>1551101.35</v>
      </c>
      <c r="M312" s="385">
        <v>0</v>
      </c>
      <c r="N312" s="549"/>
      <c r="O312" s="549"/>
      <c r="P312" s="549"/>
      <c r="Q312" s="549"/>
    </row>
    <row r="313" spans="1:17" ht="31.5" x14ac:dyDescent="0.25">
      <c r="A313" s="940">
        <v>3117693</v>
      </c>
      <c r="B313" s="941">
        <v>7693</v>
      </c>
      <c r="C313" s="49" t="s">
        <v>152</v>
      </c>
      <c r="D313" s="378" t="s">
        <v>544</v>
      </c>
      <c r="E313" s="37">
        <f>E314</f>
        <v>682300</v>
      </c>
      <c r="F313" s="37">
        <f>F314</f>
        <v>506230.18</v>
      </c>
      <c r="G313" s="219">
        <f t="shared" si="27"/>
        <v>0.74194662172065073</v>
      </c>
      <c r="H313" s="7"/>
      <c r="I313" s="7"/>
      <c r="J313" s="218"/>
      <c r="K313" s="7">
        <f t="shared" si="40"/>
        <v>682300</v>
      </c>
      <c r="L313" s="7">
        <f t="shared" si="41"/>
        <v>506230.18</v>
      </c>
      <c r="M313" s="384">
        <f t="shared" si="32"/>
        <v>0.74194662172065073</v>
      </c>
      <c r="N313" s="549"/>
      <c r="O313" s="549"/>
      <c r="P313" s="549"/>
      <c r="Q313" s="549"/>
    </row>
    <row r="314" spans="1:17" x14ac:dyDescent="0.25">
      <c r="A314" s="940"/>
      <c r="B314" s="941"/>
      <c r="C314" s="941"/>
      <c r="D314" s="377" t="s">
        <v>407</v>
      </c>
      <c r="E314" s="37">
        <v>682300</v>
      </c>
      <c r="F314" s="37">
        <v>506230.18</v>
      </c>
      <c r="G314" s="219">
        <f t="shared" si="27"/>
        <v>0.74194662172065073</v>
      </c>
      <c r="H314" s="7"/>
      <c r="I314" s="7"/>
      <c r="J314" s="218"/>
      <c r="K314" s="7">
        <f t="shared" si="40"/>
        <v>682300</v>
      </c>
      <c r="L314" s="7">
        <f t="shared" si="41"/>
        <v>506230.18</v>
      </c>
      <c r="M314" s="384">
        <f t="shared" si="32"/>
        <v>0.74194662172065073</v>
      </c>
      <c r="N314" s="549"/>
      <c r="O314" s="549"/>
      <c r="P314" s="549"/>
      <c r="Q314" s="549"/>
    </row>
    <row r="315" spans="1:17" ht="31.5" x14ac:dyDescent="0.25">
      <c r="A315" s="940"/>
      <c r="B315" s="941"/>
      <c r="C315" s="941"/>
      <c r="D315" s="378" t="s">
        <v>409</v>
      </c>
      <c r="E315" s="37">
        <v>279692</v>
      </c>
      <c r="F315" s="37">
        <v>178016.86</v>
      </c>
      <c r="G315" s="219">
        <f t="shared" si="27"/>
        <v>0.63647462208429262</v>
      </c>
      <c r="H315" s="7"/>
      <c r="I315" s="7"/>
      <c r="J315" s="218"/>
      <c r="K315" s="7">
        <f t="shared" si="40"/>
        <v>279692</v>
      </c>
      <c r="L315" s="7">
        <f t="shared" si="41"/>
        <v>178016.86</v>
      </c>
      <c r="M315" s="384">
        <f t="shared" si="32"/>
        <v>0.63647462208429262</v>
      </c>
      <c r="N315" s="549"/>
      <c r="O315" s="549"/>
      <c r="P315" s="549"/>
      <c r="Q315" s="549"/>
    </row>
    <row r="316" spans="1:17" ht="47.25" x14ac:dyDescent="0.25">
      <c r="A316" s="940">
        <v>3118110</v>
      </c>
      <c r="B316" s="941">
        <v>8110</v>
      </c>
      <c r="C316" s="941" t="s">
        <v>206</v>
      </c>
      <c r="D316" s="378" t="s">
        <v>207</v>
      </c>
      <c r="E316" s="37">
        <f>E317</f>
        <v>121472</v>
      </c>
      <c r="F316" s="37">
        <f>F317</f>
        <v>60235.98</v>
      </c>
      <c r="G316" s="219">
        <f t="shared" si="27"/>
        <v>0.49588366043203375</v>
      </c>
      <c r="H316" s="7"/>
      <c r="I316" s="7"/>
      <c r="J316" s="218"/>
      <c r="K316" s="7">
        <f t="shared" si="40"/>
        <v>121472</v>
      </c>
      <c r="L316" s="7">
        <f t="shared" si="41"/>
        <v>60235.98</v>
      </c>
      <c r="M316" s="384">
        <f t="shared" si="32"/>
        <v>0.49588366043203375</v>
      </c>
      <c r="N316" s="549"/>
      <c r="O316" s="549"/>
      <c r="P316" s="549"/>
      <c r="Q316" s="549"/>
    </row>
    <row r="317" spans="1:17" x14ac:dyDescent="0.25">
      <c r="A317" s="940"/>
      <c r="B317" s="941"/>
      <c r="C317" s="941"/>
      <c r="D317" s="377" t="s">
        <v>407</v>
      </c>
      <c r="E317" s="37">
        <v>121472</v>
      </c>
      <c r="F317" s="37">
        <v>60235.98</v>
      </c>
      <c r="G317" s="219">
        <f t="shared" si="27"/>
        <v>0.49588366043203375</v>
      </c>
      <c r="H317" s="7"/>
      <c r="I317" s="7"/>
      <c r="J317" s="218"/>
      <c r="K317" s="7">
        <f t="shared" si="40"/>
        <v>121472</v>
      </c>
      <c r="L317" s="7">
        <f t="shared" si="41"/>
        <v>60235.98</v>
      </c>
      <c r="M317" s="384">
        <f t="shared" si="32"/>
        <v>0.49588366043203375</v>
      </c>
      <c r="N317" s="549"/>
      <c r="O317" s="549"/>
      <c r="P317" s="549"/>
      <c r="Q317" s="549"/>
    </row>
    <row r="318" spans="1:17" ht="31.5" x14ac:dyDescent="0.25">
      <c r="A318" s="940">
        <v>3118311</v>
      </c>
      <c r="B318" s="941">
        <v>8311</v>
      </c>
      <c r="C318" s="49" t="s">
        <v>546</v>
      </c>
      <c r="D318" s="378" t="s">
        <v>545</v>
      </c>
      <c r="E318" s="37">
        <f>E319</f>
        <v>25000</v>
      </c>
      <c r="F318" s="37">
        <f>F319</f>
        <v>25000</v>
      </c>
      <c r="G318" s="219">
        <f t="shared" si="27"/>
        <v>1</v>
      </c>
      <c r="H318" s="7"/>
      <c r="I318" s="7"/>
      <c r="J318" s="218"/>
      <c r="K318" s="7">
        <f t="shared" si="40"/>
        <v>25000</v>
      </c>
      <c r="L318" s="7">
        <f t="shared" si="41"/>
        <v>25000</v>
      </c>
      <c r="M318" s="384">
        <f t="shared" si="32"/>
        <v>1</v>
      </c>
      <c r="N318" s="549"/>
      <c r="O318" s="549"/>
      <c r="P318" s="549"/>
      <c r="Q318" s="549"/>
    </row>
    <row r="319" spans="1:17" ht="16.5" thickBot="1" x14ac:dyDescent="0.3">
      <c r="A319" s="940"/>
      <c r="B319" s="941"/>
      <c r="C319" s="941"/>
      <c r="D319" s="377" t="s">
        <v>407</v>
      </c>
      <c r="E319" s="37">
        <v>25000</v>
      </c>
      <c r="F319" s="37">
        <v>25000</v>
      </c>
      <c r="G319" s="219">
        <f t="shared" si="27"/>
        <v>1</v>
      </c>
      <c r="H319" s="7"/>
      <c r="I319" s="7"/>
      <c r="J319" s="218"/>
      <c r="K319" s="7">
        <f t="shared" si="40"/>
        <v>25000</v>
      </c>
      <c r="L319" s="7">
        <f t="shared" si="41"/>
        <v>25000</v>
      </c>
      <c r="M319" s="384">
        <f t="shared" si="32"/>
        <v>1</v>
      </c>
      <c r="N319" s="549"/>
      <c r="O319" s="549"/>
      <c r="P319" s="549"/>
      <c r="Q319" s="549"/>
    </row>
    <row r="320" spans="1:17" s="29" customFormat="1" ht="44.25" customHeight="1" thickBot="1" x14ac:dyDescent="0.3">
      <c r="A320" s="32" t="s">
        <v>190</v>
      </c>
      <c r="B320" s="33" t="s">
        <v>14</v>
      </c>
      <c r="C320" s="33" t="s">
        <v>14</v>
      </c>
      <c r="D320" s="34" t="s">
        <v>455</v>
      </c>
      <c r="E320" s="51">
        <f>E321</f>
        <v>66763963</v>
      </c>
      <c r="F320" s="51">
        <f>F321</f>
        <v>47286928.480000004</v>
      </c>
      <c r="G320" s="216">
        <f t="shared" si="27"/>
        <v>0.70827024573121888</v>
      </c>
      <c r="H320" s="10">
        <v>0</v>
      </c>
      <c r="I320" s="10"/>
      <c r="J320" s="216"/>
      <c r="K320" s="214">
        <f>K321</f>
        <v>66763963</v>
      </c>
      <c r="L320" s="10">
        <f>L321</f>
        <v>47286928.480000004</v>
      </c>
      <c r="M320" s="224">
        <f t="shared" si="32"/>
        <v>0.70827024573121888</v>
      </c>
      <c r="N320" s="549"/>
      <c r="O320" s="549"/>
      <c r="P320" s="549"/>
      <c r="Q320" s="549"/>
    </row>
    <row r="321" spans="1:17" s="28" customFormat="1" ht="47.25" x14ac:dyDescent="0.25">
      <c r="A321" s="45" t="s">
        <v>191</v>
      </c>
      <c r="B321" s="46" t="s">
        <v>14</v>
      </c>
      <c r="C321" s="46" t="s">
        <v>14</v>
      </c>
      <c r="D321" s="47" t="s">
        <v>455</v>
      </c>
      <c r="E321" s="39">
        <f>E322+E325+E327</f>
        <v>66763963</v>
      </c>
      <c r="F321" s="39">
        <f>F322+F325+F327</f>
        <v>47286928.480000004</v>
      </c>
      <c r="G321" s="217">
        <f t="shared" si="27"/>
        <v>0.70827024573121888</v>
      </c>
      <c r="H321" s="39">
        <f t="shared" ref="H321:L321" si="42">H322+H325+H327</f>
        <v>0</v>
      </c>
      <c r="I321" s="39">
        <f t="shared" si="42"/>
        <v>0</v>
      </c>
      <c r="J321" s="39">
        <f t="shared" si="42"/>
        <v>0</v>
      </c>
      <c r="K321" s="39">
        <f t="shared" si="42"/>
        <v>66763963</v>
      </c>
      <c r="L321" s="39">
        <f t="shared" si="42"/>
        <v>47286928.480000004</v>
      </c>
      <c r="M321" s="386">
        <f t="shared" si="32"/>
        <v>0.70827024573121888</v>
      </c>
      <c r="N321" s="549"/>
      <c r="O321" s="549"/>
      <c r="P321" s="549"/>
      <c r="Q321" s="549"/>
    </row>
    <row r="322" spans="1:17" ht="47.25" x14ac:dyDescent="0.25">
      <c r="A322" s="940" t="s">
        <v>192</v>
      </c>
      <c r="B322" s="941" t="s">
        <v>42</v>
      </c>
      <c r="C322" s="941" t="s">
        <v>16</v>
      </c>
      <c r="D322" s="24" t="s">
        <v>156</v>
      </c>
      <c r="E322" s="37">
        <f>E323</f>
        <v>6744663</v>
      </c>
      <c r="F322" s="37">
        <f>F323</f>
        <v>5272228.4800000004</v>
      </c>
      <c r="G322" s="218">
        <f t="shared" si="27"/>
        <v>0.78168894131552613</v>
      </c>
      <c r="H322" s="7">
        <v>0</v>
      </c>
      <c r="I322" s="7"/>
      <c r="J322" s="219"/>
      <c r="K322" s="201">
        <f>E322+H322</f>
        <v>6744663</v>
      </c>
      <c r="L322" s="201">
        <f>F322+I322</f>
        <v>5272228.4800000004</v>
      </c>
      <c r="M322" s="385">
        <f t="shared" si="32"/>
        <v>0.78168894131552613</v>
      </c>
      <c r="N322" s="549"/>
      <c r="O322" s="549"/>
      <c r="P322" s="549"/>
      <c r="Q322" s="549"/>
    </row>
    <row r="323" spans="1:17" x14ac:dyDescent="0.25">
      <c r="A323" s="35"/>
      <c r="B323" s="36"/>
      <c r="C323" s="36"/>
      <c r="D323" s="377" t="s">
        <v>407</v>
      </c>
      <c r="E323" s="38">
        <v>6744663</v>
      </c>
      <c r="F323" s="38">
        <v>5272228.4800000004</v>
      </c>
      <c r="G323" s="218">
        <f t="shared" si="27"/>
        <v>0.78168894131552613</v>
      </c>
      <c r="H323" s="12"/>
      <c r="I323" s="12"/>
      <c r="J323" s="219"/>
      <c r="K323" s="201">
        <f t="shared" ref="K323:K328" si="43">E323+H323</f>
        <v>6744663</v>
      </c>
      <c r="L323" s="201">
        <f t="shared" ref="L323:L328" si="44">F323+I323</f>
        <v>5272228.4800000004</v>
      </c>
      <c r="M323" s="385">
        <f t="shared" si="32"/>
        <v>0.78168894131552613</v>
      </c>
      <c r="N323" s="549"/>
      <c r="O323" s="549"/>
      <c r="P323" s="549"/>
      <c r="Q323" s="549"/>
    </row>
    <row r="324" spans="1:17" x14ac:dyDescent="0.25">
      <c r="A324" s="35"/>
      <c r="B324" s="36"/>
      <c r="C324" s="36"/>
      <c r="D324" s="378" t="s">
        <v>408</v>
      </c>
      <c r="E324" s="38">
        <v>6503042</v>
      </c>
      <c r="F324" s="38">
        <v>5096518.46</v>
      </c>
      <c r="G324" s="218">
        <f t="shared" si="27"/>
        <v>0.78371298539975598</v>
      </c>
      <c r="H324" s="12"/>
      <c r="I324" s="12"/>
      <c r="J324" s="219"/>
      <c r="K324" s="201">
        <f t="shared" si="43"/>
        <v>6503042</v>
      </c>
      <c r="L324" s="201">
        <f t="shared" si="44"/>
        <v>5096518.46</v>
      </c>
      <c r="M324" s="385">
        <f t="shared" si="32"/>
        <v>0.78371298539975598</v>
      </c>
      <c r="N324" s="549"/>
      <c r="O324" s="549"/>
      <c r="P324" s="549"/>
      <c r="Q324" s="549"/>
    </row>
    <row r="325" spans="1:17" x14ac:dyDescent="0.25">
      <c r="A325" s="35" t="s">
        <v>193</v>
      </c>
      <c r="B325" s="36" t="s">
        <v>194</v>
      </c>
      <c r="C325" s="36" t="s">
        <v>195</v>
      </c>
      <c r="D325" s="31" t="s">
        <v>196</v>
      </c>
      <c r="E325" s="38">
        <f>E326</f>
        <v>4000000</v>
      </c>
      <c r="F325" s="38">
        <f>F326</f>
        <v>0</v>
      </c>
      <c r="G325" s="219">
        <f t="shared" si="27"/>
        <v>0</v>
      </c>
      <c r="H325" s="12">
        <v>0</v>
      </c>
      <c r="I325" s="12"/>
      <c r="J325" s="219"/>
      <c r="K325" s="201">
        <f t="shared" si="43"/>
        <v>4000000</v>
      </c>
      <c r="L325" s="201">
        <f t="shared" si="44"/>
        <v>0</v>
      </c>
      <c r="M325" s="385">
        <f t="shared" si="32"/>
        <v>0</v>
      </c>
      <c r="N325" s="549"/>
      <c r="O325" s="549"/>
      <c r="P325" s="549"/>
      <c r="Q325" s="549"/>
    </row>
    <row r="326" spans="1:17" x14ac:dyDescent="0.25">
      <c r="A326" s="940"/>
      <c r="B326" s="941"/>
      <c r="C326" s="941"/>
      <c r="D326" s="377" t="s">
        <v>407</v>
      </c>
      <c r="E326" s="37">
        <v>4000000</v>
      </c>
      <c r="F326" s="37">
        <v>0</v>
      </c>
      <c r="G326" s="218">
        <f t="shared" si="27"/>
        <v>0</v>
      </c>
      <c r="H326" s="7"/>
      <c r="I326" s="7"/>
      <c r="J326" s="218"/>
      <c r="K326" s="7">
        <f t="shared" si="43"/>
        <v>4000000</v>
      </c>
      <c r="L326" s="7">
        <f t="shared" si="44"/>
        <v>0</v>
      </c>
      <c r="M326" s="384">
        <f t="shared" si="32"/>
        <v>0</v>
      </c>
      <c r="N326" s="549"/>
      <c r="O326" s="549"/>
      <c r="P326" s="549"/>
      <c r="Q326" s="549"/>
    </row>
    <row r="327" spans="1:17" x14ac:dyDescent="0.25">
      <c r="A327" s="940">
        <v>3719110</v>
      </c>
      <c r="B327" s="941">
        <v>9110</v>
      </c>
      <c r="C327" s="49" t="s">
        <v>197</v>
      </c>
      <c r="D327" s="378" t="s">
        <v>547</v>
      </c>
      <c r="E327" s="37">
        <f>E328</f>
        <v>56019300</v>
      </c>
      <c r="F327" s="37">
        <v>42014700</v>
      </c>
      <c r="G327" s="218">
        <f t="shared" si="27"/>
        <v>0.75000401647289416</v>
      </c>
      <c r="H327" s="7"/>
      <c r="I327" s="7"/>
      <c r="J327" s="218"/>
      <c r="K327" s="7">
        <f>E327+H327</f>
        <v>56019300</v>
      </c>
      <c r="L327" s="7">
        <f t="shared" si="44"/>
        <v>42014700</v>
      </c>
      <c r="M327" s="384">
        <f t="shared" si="32"/>
        <v>0.75000401647289416</v>
      </c>
      <c r="N327" s="549"/>
      <c r="O327" s="549"/>
      <c r="P327" s="549"/>
      <c r="Q327" s="549"/>
    </row>
    <row r="328" spans="1:17" ht="16.5" thickBot="1" x14ac:dyDescent="0.3">
      <c r="A328" s="35"/>
      <c r="B328" s="36"/>
      <c r="C328" s="36"/>
      <c r="D328" s="379" t="s">
        <v>407</v>
      </c>
      <c r="E328" s="38">
        <v>56019300</v>
      </c>
      <c r="F328" s="38">
        <v>28009800</v>
      </c>
      <c r="G328" s="219">
        <f t="shared" si="27"/>
        <v>0.50000267764859607</v>
      </c>
      <c r="H328" s="12"/>
      <c r="I328" s="12"/>
      <c r="J328" s="219"/>
      <c r="K328" s="12">
        <f t="shared" si="43"/>
        <v>56019300</v>
      </c>
      <c r="L328" s="12">
        <f t="shared" si="44"/>
        <v>28009800</v>
      </c>
      <c r="M328" s="385">
        <f t="shared" si="32"/>
        <v>0.50000267764859607</v>
      </c>
      <c r="N328" s="549"/>
      <c r="O328" s="549"/>
      <c r="P328" s="549"/>
      <c r="Q328" s="549"/>
    </row>
    <row r="329" spans="1:17" ht="13.5" customHeight="1" thickBot="1" x14ac:dyDescent="0.3">
      <c r="A329" s="32" t="s">
        <v>6</v>
      </c>
      <c r="B329" s="33" t="s">
        <v>6</v>
      </c>
      <c r="C329" s="33" t="s">
        <v>6</v>
      </c>
      <c r="D329" s="553" t="s">
        <v>138</v>
      </c>
      <c r="E329" s="51">
        <f>E17+E63+E135+E172+E181+E230+E259+E289+E297+E306+E320</f>
        <v>717961562</v>
      </c>
      <c r="F329" s="554">
        <f>F17+F63+F135+F172+F181+F230+F259+F289+F297+F306+F320</f>
        <v>503907401.86000013</v>
      </c>
      <c r="G329" s="555">
        <f t="shared" si="27"/>
        <v>0.70185846782142935</v>
      </c>
      <c r="H329" s="735">
        <f>H17+H63+H135+H172+H181+H230+H259+H289+H297+H306+H320</f>
        <v>110877528</v>
      </c>
      <c r="I329" s="51">
        <f>I17+I63+I135+I172+I181+I230+I259+I289+I297+I306+I320</f>
        <v>67588183.459999993</v>
      </c>
      <c r="J329" s="556">
        <f t="shared" ref="J329" si="45">I329/H329</f>
        <v>0.60957512923628665</v>
      </c>
      <c r="K329" s="51">
        <f>K17+K63+K135+K172+K181+K230+K259+K289+K297+K306+K320</f>
        <v>828839090</v>
      </c>
      <c r="L329" s="51">
        <f>L17+L63+L135+L172+L181+L230+L259+L289+L297+L306+L320</f>
        <v>571495585.32000005</v>
      </c>
      <c r="M329" s="557">
        <f>L329/K329</f>
        <v>0.68951331110601943</v>
      </c>
      <c r="N329" s="549"/>
      <c r="O329" s="549"/>
      <c r="P329" s="549"/>
      <c r="Q329" s="549"/>
    </row>
    <row r="330" spans="1:17" ht="1.5" hidden="1" customHeight="1" x14ac:dyDescent="0.25">
      <c r="A330" s="14"/>
      <c r="B330" s="14"/>
      <c r="C330" s="14"/>
      <c r="D330" s="15"/>
      <c r="E330" s="52"/>
      <c r="F330" s="52"/>
      <c r="G330" s="52"/>
      <c r="H330" s="52"/>
      <c r="I330" s="52"/>
      <c r="J330" s="52"/>
      <c r="K330" s="52"/>
      <c r="L330" s="52"/>
      <c r="M330" s="52"/>
    </row>
    <row r="331" spans="1:17" ht="16.899999999999999" customHeight="1" x14ac:dyDescent="0.25"/>
    <row r="332" spans="1:17" s="23" customFormat="1" ht="19.5" customHeight="1" x14ac:dyDescent="0.2">
      <c r="A332" s="1173" t="s">
        <v>441</v>
      </c>
      <c r="B332" s="1173"/>
      <c r="C332" s="1173"/>
      <c r="D332" s="1173"/>
      <c r="E332" s="53"/>
      <c r="F332" s="545"/>
      <c r="G332" s="53"/>
      <c r="H332" s="53" t="s">
        <v>413</v>
      </c>
      <c r="I332" s="53"/>
      <c r="J332" s="54"/>
      <c r="K332" s="55"/>
      <c r="L332" s="55"/>
      <c r="M332" s="55"/>
    </row>
    <row r="333" spans="1:17" ht="16.899999999999999" customHeight="1" x14ac:dyDescent="0.25">
      <c r="A333" s="226"/>
      <c r="B333" s="226"/>
      <c r="C333" s="226"/>
      <c r="D333" s="227"/>
      <c r="E333" s="229"/>
      <c r="F333" s="929"/>
      <c r="G333" s="229"/>
      <c r="H333" s="229"/>
      <c r="I333" s="230"/>
      <c r="J333" s="230"/>
      <c r="K333" s="229"/>
      <c r="L333" s="229"/>
      <c r="M333" s="229"/>
    </row>
    <row r="334" spans="1:17" ht="16.5" x14ac:dyDescent="0.25">
      <c r="A334" s="226"/>
      <c r="B334" s="226"/>
      <c r="C334" s="226"/>
      <c r="D334" s="227"/>
      <c r="E334" s="229"/>
      <c r="F334" s="548"/>
      <c r="G334" s="229"/>
      <c r="H334" s="739"/>
      <c r="I334" s="229"/>
      <c r="J334" s="229"/>
      <c r="K334" s="229"/>
      <c r="L334" s="229"/>
      <c r="M334" s="229"/>
    </row>
    <row r="335" spans="1:17" ht="16.5" x14ac:dyDescent="0.25">
      <c r="A335" s="226"/>
      <c r="B335" s="226"/>
      <c r="C335" s="226"/>
      <c r="D335" s="227"/>
      <c r="E335" s="229"/>
      <c r="F335" s="546"/>
      <c r="G335" s="229"/>
      <c r="H335" s="230"/>
      <c r="I335" s="230"/>
      <c r="J335" s="230"/>
      <c r="K335" s="229"/>
      <c r="L335" s="229"/>
      <c r="M335" s="229"/>
    </row>
    <row r="336" spans="1:17" ht="16.5" x14ac:dyDescent="0.25">
      <c r="A336" s="226"/>
      <c r="B336" s="226"/>
      <c r="C336" s="226"/>
      <c r="D336" s="227"/>
      <c r="E336" s="229"/>
      <c r="F336" s="929"/>
      <c r="G336" s="229"/>
      <c r="H336" s="230"/>
      <c r="I336" s="230"/>
      <c r="J336" s="230"/>
      <c r="K336" s="229"/>
      <c r="L336" s="229"/>
      <c r="M336" s="229"/>
    </row>
    <row r="337" spans="1:13" ht="16.5" x14ac:dyDescent="0.25">
      <c r="A337" s="226"/>
      <c r="B337" s="226"/>
      <c r="C337" s="226"/>
      <c r="D337" s="227"/>
      <c r="E337" s="229"/>
      <c r="F337" s="229"/>
      <c r="G337" s="229"/>
      <c r="H337" s="230"/>
      <c r="I337" s="230"/>
      <c r="J337" s="230"/>
      <c r="K337" s="229"/>
      <c r="L337" s="229"/>
      <c r="M337" s="229"/>
    </row>
    <row r="338" spans="1:13" ht="16.5" x14ac:dyDescent="0.25">
      <c r="A338" s="226"/>
      <c r="B338" s="226"/>
      <c r="C338" s="226"/>
      <c r="D338" s="227"/>
      <c r="E338" s="229"/>
      <c r="F338" s="548"/>
      <c r="G338" s="229"/>
      <c r="H338" s="230"/>
      <c r="I338" s="230"/>
      <c r="J338" s="230"/>
      <c r="K338" s="229"/>
      <c r="L338" s="229"/>
      <c r="M338" s="229"/>
    </row>
    <row r="339" spans="1:13" ht="16.5" x14ac:dyDescent="0.25">
      <c r="A339" s="226"/>
      <c r="B339" s="226"/>
      <c r="C339" s="226"/>
      <c r="D339" s="227"/>
      <c r="E339" s="229"/>
      <c r="F339" s="929"/>
      <c r="G339" s="229"/>
      <c r="H339" s="230"/>
      <c r="I339" s="230"/>
      <c r="J339" s="230"/>
      <c r="K339" s="229"/>
      <c r="L339" s="229"/>
      <c r="M339" s="229"/>
    </row>
    <row r="340" spans="1:13" ht="16.5" x14ac:dyDescent="0.25">
      <c r="A340" s="226"/>
      <c r="B340" s="226"/>
      <c r="C340" s="226"/>
      <c r="D340" s="227"/>
      <c r="E340" s="229"/>
      <c r="F340" s="229"/>
      <c r="G340" s="229"/>
      <c r="H340" s="230"/>
      <c r="I340" s="230"/>
      <c r="J340" s="230"/>
      <c r="K340" s="229"/>
      <c r="L340" s="229"/>
      <c r="M340" s="229"/>
    </row>
    <row r="341" spans="1:13" ht="16.5" x14ac:dyDescent="0.25">
      <c r="A341" s="226"/>
      <c r="B341" s="226"/>
      <c r="C341" s="226"/>
      <c r="D341" s="227"/>
      <c r="E341" s="229"/>
      <c r="F341" s="548"/>
      <c r="G341" s="229"/>
      <c r="H341" s="230"/>
      <c r="I341" s="230"/>
      <c r="J341" s="230"/>
      <c r="K341" s="229"/>
      <c r="L341" s="229"/>
      <c r="M341" s="229"/>
    </row>
    <row r="342" spans="1:13" ht="16.5" x14ac:dyDescent="0.25">
      <c r="A342" s="226"/>
      <c r="B342" s="226"/>
      <c r="C342" s="226"/>
      <c r="D342" s="227"/>
      <c r="E342" s="229"/>
      <c r="F342" s="546"/>
      <c r="G342" s="229"/>
      <c r="H342" s="230"/>
      <c r="I342" s="230"/>
      <c r="J342" s="230"/>
      <c r="K342" s="229"/>
      <c r="L342" s="229"/>
      <c r="M342" s="229"/>
    </row>
    <row r="343" spans="1:13" ht="16.5" x14ac:dyDescent="0.25">
      <c r="A343" s="226"/>
      <c r="B343" s="226"/>
      <c r="C343" s="226"/>
      <c r="D343" s="227"/>
      <c r="E343" s="229"/>
      <c r="F343" s="546"/>
      <c r="G343" s="229"/>
      <c r="H343" s="230"/>
      <c r="I343" s="230"/>
      <c r="J343" s="230"/>
      <c r="K343" s="229"/>
      <c r="L343" s="229"/>
      <c r="M343" s="229"/>
    </row>
    <row r="344" spans="1:13" ht="16.5" x14ac:dyDescent="0.25">
      <c r="A344" s="226"/>
      <c r="B344" s="226"/>
      <c r="C344" s="226"/>
      <c r="E344" s="229"/>
      <c r="F344" s="546"/>
      <c r="G344" s="229"/>
      <c r="H344" s="230"/>
      <c r="I344" s="230"/>
      <c r="J344" s="230"/>
      <c r="K344" s="229"/>
      <c r="L344" s="229"/>
      <c r="M344" s="229"/>
    </row>
    <row r="345" spans="1:13" ht="16.5" x14ac:dyDescent="0.25">
      <c r="A345" s="226"/>
      <c r="B345" s="226"/>
      <c r="C345" s="226"/>
      <c r="D345" s="227"/>
      <c r="E345" s="229"/>
      <c r="F345" s="546"/>
      <c r="G345" s="229"/>
      <c r="H345" s="230"/>
      <c r="I345" s="230"/>
      <c r="J345" s="230"/>
      <c r="K345" s="229"/>
      <c r="L345" s="229"/>
      <c r="M345" s="229"/>
    </row>
    <row r="346" spans="1:13" ht="16.5" x14ac:dyDescent="0.25">
      <c r="A346" s="226"/>
      <c r="B346" s="226"/>
      <c r="C346" s="226"/>
      <c r="D346" s="227"/>
      <c r="E346" s="229"/>
      <c r="F346" s="546"/>
      <c r="G346" s="229"/>
      <c r="H346" s="230"/>
      <c r="I346" s="230"/>
      <c r="J346" s="230"/>
      <c r="K346" s="229"/>
      <c r="L346" s="229"/>
      <c r="M346" s="229"/>
    </row>
    <row r="347" spans="1:13" ht="16.5" x14ac:dyDescent="0.25">
      <c r="A347" s="226"/>
      <c r="B347" s="226"/>
      <c r="C347" s="226"/>
      <c r="D347" s="227"/>
      <c r="E347" s="229"/>
      <c r="F347" s="546"/>
      <c r="G347" s="229"/>
      <c r="H347" s="230"/>
      <c r="I347" s="230"/>
      <c r="J347" s="230"/>
      <c r="K347" s="229"/>
      <c r="L347" s="229"/>
      <c r="M347" s="229"/>
    </row>
    <row r="348" spans="1:13" ht="16.5" x14ac:dyDescent="0.25">
      <c r="A348" s="226"/>
      <c r="B348" s="226"/>
      <c r="C348" s="226"/>
      <c r="D348" s="227"/>
      <c r="E348" s="546"/>
      <c r="G348" s="227"/>
      <c r="H348" s="230"/>
      <c r="I348" s="230"/>
      <c r="J348" s="228"/>
      <c r="K348" s="227"/>
      <c r="L348" s="227"/>
      <c r="M348" s="227"/>
    </row>
    <row r="349" spans="1:13" ht="16.5" x14ac:dyDescent="0.25">
      <c r="A349" s="226"/>
      <c r="B349" s="226"/>
      <c r="C349" s="226"/>
      <c r="D349" s="227"/>
      <c r="E349" s="227"/>
      <c r="F349" s="546"/>
      <c r="G349" s="227"/>
      <c r="H349" s="228"/>
      <c r="I349" s="228"/>
      <c r="J349" s="228"/>
      <c r="K349" s="227"/>
      <c r="L349" s="227"/>
      <c r="M349" s="227"/>
    </row>
    <row r="350" spans="1:13" ht="16.5" x14ac:dyDescent="0.25">
      <c r="A350" s="226"/>
      <c r="B350" s="226"/>
      <c r="C350" s="226"/>
      <c r="D350" s="227"/>
      <c r="E350" s="227"/>
      <c r="F350" s="546"/>
      <c r="G350" s="227"/>
      <c r="H350" s="228"/>
      <c r="I350" s="228"/>
      <c r="J350" s="228"/>
      <c r="K350" s="227"/>
      <c r="L350" s="227"/>
      <c r="M350" s="227"/>
    </row>
    <row r="351" spans="1:13" ht="16.5" x14ac:dyDescent="0.25">
      <c r="A351" s="226"/>
      <c r="B351" s="226"/>
      <c r="C351" s="226"/>
      <c r="D351" s="227"/>
      <c r="E351" s="227"/>
      <c r="F351" s="546"/>
      <c r="G351" s="227"/>
      <c r="H351" s="228"/>
      <c r="I351" s="228"/>
      <c r="J351" s="228"/>
      <c r="K351" s="227"/>
      <c r="L351" s="227"/>
      <c r="M351" s="227"/>
    </row>
    <row r="352" spans="1:13" ht="16.5" x14ac:dyDescent="0.25">
      <c r="A352" s="226"/>
      <c r="B352" s="226"/>
      <c r="C352" s="226"/>
      <c r="D352" s="227"/>
      <c r="E352" s="227"/>
      <c r="F352" s="546"/>
      <c r="G352" s="227"/>
      <c r="H352" s="228"/>
      <c r="I352" s="228"/>
      <c r="J352" s="228"/>
      <c r="K352" s="227"/>
      <c r="L352" s="227"/>
      <c r="M352" s="227"/>
    </row>
  </sheetData>
  <mergeCells count="21">
    <mergeCell ref="M13:M15"/>
    <mergeCell ref="I13:I15"/>
    <mergeCell ref="H13:H15"/>
    <mergeCell ref="J13:J15"/>
    <mergeCell ref="K13:K15"/>
    <mergeCell ref="K3:M3"/>
    <mergeCell ref="K4:L4"/>
    <mergeCell ref="A332:D332"/>
    <mergeCell ref="A8:K8"/>
    <mergeCell ref="A9:K9"/>
    <mergeCell ref="A12:A15"/>
    <mergeCell ref="B12:B15"/>
    <mergeCell ref="C12:C15"/>
    <mergeCell ref="D12:D15"/>
    <mergeCell ref="E12:G12"/>
    <mergeCell ref="E13:E15"/>
    <mergeCell ref="F13:F15"/>
    <mergeCell ref="G13:G15"/>
    <mergeCell ref="H12:J12"/>
    <mergeCell ref="K12:M12"/>
    <mergeCell ref="L13:L15"/>
  </mergeCells>
  <pageMargins left="1.1811023622047245" right="0.39370078740157483" top="0.78740157480314965" bottom="0.59055118110236227" header="0.31496062992125984" footer="0.31496062992125984"/>
  <pageSetup paperSize="9"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26"/>
  <sheetViews>
    <sheetView view="pageBreakPreview" zoomScale="80" zoomScaleNormal="40" zoomScaleSheetLayoutView="80" workbookViewId="0">
      <selection activeCell="P16" sqref="P16"/>
    </sheetView>
  </sheetViews>
  <sheetFormatPr defaultRowHeight="12.75" x14ac:dyDescent="0.2"/>
  <cols>
    <col min="1" max="1" width="18.28515625" style="247" customWidth="1"/>
    <col min="2" max="2" width="11.7109375" style="247" customWidth="1"/>
    <col min="3" max="3" width="13.140625" style="247" customWidth="1"/>
    <col min="4" max="4" width="69.7109375" style="247" customWidth="1"/>
    <col min="5" max="5" width="13" style="247" customWidth="1"/>
    <col min="6" max="7" width="8.85546875" style="247"/>
    <col min="8" max="8" width="13.7109375" style="247" customWidth="1"/>
    <col min="9" max="9" width="14.140625" style="247" customWidth="1"/>
    <col min="10" max="11" width="8.85546875" style="247"/>
    <col min="12" max="12" width="13.28515625" style="247" customWidth="1"/>
    <col min="13" max="256" width="8.85546875" style="247"/>
    <col min="257" max="257" width="18.28515625" style="247" customWidth="1"/>
    <col min="258" max="258" width="11.7109375" style="247" customWidth="1"/>
    <col min="259" max="259" width="13.140625" style="247" customWidth="1"/>
    <col min="260" max="260" width="69.7109375" style="247" customWidth="1"/>
    <col min="261" max="261" width="13" style="247" customWidth="1"/>
    <col min="262" max="263" width="8.85546875" style="247"/>
    <col min="264" max="264" width="13.7109375" style="247" customWidth="1"/>
    <col min="265" max="265" width="14.140625" style="247" customWidth="1"/>
    <col min="266" max="267" width="8.85546875" style="247"/>
    <col min="268" max="268" width="13.28515625" style="247" customWidth="1"/>
    <col min="269" max="512" width="8.85546875" style="247"/>
    <col min="513" max="513" width="18.28515625" style="247" customWidth="1"/>
    <col min="514" max="514" width="11.7109375" style="247" customWidth="1"/>
    <col min="515" max="515" width="13.140625" style="247" customWidth="1"/>
    <col min="516" max="516" width="69.7109375" style="247" customWidth="1"/>
    <col min="517" max="517" width="13" style="247" customWidth="1"/>
    <col min="518" max="519" width="8.85546875" style="247"/>
    <col min="520" max="520" width="13.7109375" style="247" customWidth="1"/>
    <col min="521" max="521" width="14.140625" style="247" customWidth="1"/>
    <col min="522" max="523" width="8.85546875" style="247"/>
    <col min="524" max="524" width="13.28515625" style="247" customWidth="1"/>
    <col min="525" max="768" width="8.85546875" style="247"/>
    <col min="769" max="769" width="18.28515625" style="247" customWidth="1"/>
    <col min="770" max="770" width="11.7109375" style="247" customWidth="1"/>
    <col min="771" max="771" width="13.140625" style="247" customWidth="1"/>
    <col min="772" max="772" width="69.7109375" style="247" customWidth="1"/>
    <col min="773" max="773" width="13" style="247" customWidth="1"/>
    <col min="774" max="775" width="8.85546875" style="247"/>
    <col min="776" max="776" width="13.7109375" style="247" customWidth="1"/>
    <col min="777" max="777" width="14.140625" style="247" customWidth="1"/>
    <col min="778" max="779" width="8.85546875" style="247"/>
    <col min="780" max="780" width="13.28515625" style="247" customWidth="1"/>
    <col min="781" max="1024" width="8.85546875" style="247"/>
    <col min="1025" max="1025" width="18.28515625" style="247" customWidth="1"/>
    <col min="1026" max="1026" width="11.7109375" style="247" customWidth="1"/>
    <col min="1027" max="1027" width="13.140625" style="247" customWidth="1"/>
    <col min="1028" max="1028" width="69.7109375" style="247" customWidth="1"/>
    <col min="1029" max="1029" width="13" style="247" customWidth="1"/>
    <col min="1030" max="1031" width="8.85546875" style="247"/>
    <col min="1032" max="1032" width="13.7109375" style="247" customWidth="1"/>
    <col min="1033" max="1033" width="14.140625" style="247" customWidth="1"/>
    <col min="1034" max="1035" width="8.85546875" style="247"/>
    <col min="1036" max="1036" width="13.28515625" style="247" customWidth="1"/>
    <col min="1037" max="1280" width="8.85546875" style="247"/>
    <col min="1281" max="1281" width="18.28515625" style="247" customWidth="1"/>
    <col min="1282" max="1282" width="11.7109375" style="247" customWidth="1"/>
    <col min="1283" max="1283" width="13.140625" style="247" customWidth="1"/>
    <col min="1284" max="1284" width="69.7109375" style="247" customWidth="1"/>
    <col min="1285" max="1285" width="13" style="247" customWidth="1"/>
    <col min="1286" max="1287" width="8.85546875" style="247"/>
    <col min="1288" max="1288" width="13.7109375" style="247" customWidth="1"/>
    <col min="1289" max="1289" width="14.140625" style="247" customWidth="1"/>
    <col min="1290" max="1291" width="8.85546875" style="247"/>
    <col min="1292" max="1292" width="13.28515625" style="247" customWidth="1"/>
    <col min="1293" max="1536" width="8.85546875" style="247"/>
    <col min="1537" max="1537" width="18.28515625" style="247" customWidth="1"/>
    <col min="1538" max="1538" width="11.7109375" style="247" customWidth="1"/>
    <col min="1539" max="1539" width="13.140625" style="247" customWidth="1"/>
    <col min="1540" max="1540" width="69.7109375" style="247" customWidth="1"/>
    <col min="1541" max="1541" width="13" style="247" customWidth="1"/>
    <col min="1542" max="1543" width="8.85546875" style="247"/>
    <col min="1544" max="1544" width="13.7109375" style="247" customWidth="1"/>
    <col min="1545" max="1545" width="14.140625" style="247" customWidth="1"/>
    <col min="1546" max="1547" width="8.85546875" style="247"/>
    <col min="1548" max="1548" width="13.28515625" style="247" customWidth="1"/>
    <col min="1549" max="1792" width="8.85546875" style="247"/>
    <col min="1793" max="1793" width="18.28515625" style="247" customWidth="1"/>
    <col min="1794" max="1794" width="11.7109375" style="247" customWidth="1"/>
    <col min="1795" max="1795" width="13.140625" style="247" customWidth="1"/>
    <col min="1796" max="1796" width="69.7109375" style="247" customWidth="1"/>
    <col min="1797" max="1797" width="13" style="247" customWidth="1"/>
    <col min="1798" max="1799" width="8.85546875" style="247"/>
    <col min="1800" max="1800" width="13.7109375" style="247" customWidth="1"/>
    <col min="1801" max="1801" width="14.140625" style="247" customWidth="1"/>
    <col min="1802" max="1803" width="8.85546875" style="247"/>
    <col min="1804" max="1804" width="13.28515625" style="247" customWidth="1"/>
    <col min="1805" max="2048" width="8.85546875" style="247"/>
    <col min="2049" max="2049" width="18.28515625" style="247" customWidth="1"/>
    <col min="2050" max="2050" width="11.7109375" style="247" customWidth="1"/>
    <col min="2051" max="2051" width="13.140625" style="247" customWidth="1"/>
    <col min="2052" max="2052" width="69.7109375" style="247" customWidth="1"/>
    <col min="2053" max="2053" width="13" style="247" customWidth="1"/>
    <col min="2054" max="2055" width="8.85546875" style="247"/>
    <col min="2056" max="2056" width="13.7109375" style="247" customWidth="1"/>
    <col min="2057" max="2057" width="14.140625" style="247" customWidth="1"/>
    <col min="2058" max="2059" width="8.85546875" style="247"/>
    <col min="2060" max="2060" width="13.28515625" style="247" customWidth="1"/>
    <col min="2061" max="2304" width="8.85546875" style="247"/>
    <col min="2305" max="2305" width="18.28515625" style="247" customWidth="1"/>
    <col min="2306" max="2306" width="11.7109375" style="247" customWidth="1"/>
    <col min="2307" max="2307" width="13.140625" style="247" customWidth="1"/>
    <col min="2308" max="2308" width="69.7109375" style="247" customWidth="1"/>
    <col min="2309" max="2309" width="13" style="247" customWidth="1"/>
    <col min="2310" max="2311" width="8.85546875" style="247"/>
    <col min="2312" max="2312" width="13.7109375" style="247" customWidth="1"/>
    <col min="2313" max="2313" width="14.140625" style="247" customWidth="1"/>
    <col min="2314" max="2315" width="8.85546875" style="247"/>
    <col min="2316" max="2316" width="13.28515625" style="247" customWidth="1"/>
    <col min="2317" max="2560" width="8.85546875" style="247"/>
    <col min="2561" max="2561" width="18.28515625" style="247" customWidth="1"/>
    <col min="2562" max="2562" width="11.7109375" style="247" customWidth="1"/>
    <col min="2563" max="2563" width="13.140625" style="247" customWidth="1"/>
    <col min="2564" max="2564" width="69.7109375" style="247" customWidth="1"/>
    <col min="2565" max="2565" width="13" style="247" customWidth="1"/>
    <col min="2566" max="2567" width="8.85546875" style="247"/>
    <col min="2568" max="2568" width="13.7109375" style="247" customWidth="1"/>
    <col min="2569" max="2569" width="14.140625" style="247" customWidth="1"/>
    <col min="2570" max="2571" width="8.85546875" style="247"/>
    <col min="2572" max="2572" width="13.28515625" style="247" customWidth="1"/>
    <col min="2573" max="2816" width="8.85546875" style="247"/>
    <col min="2817" max="2817" width="18.28515625" style="247" customWidth="1"/>
    <col min="2818" max="2818" width="11.7109375" style="247" customWidth="1"/>
    <col min="2819" max="2819" width="13.140625" style="247" customWidth="1"/>
    <col min="2820" max="2820" width="69.7109375" style="247" customWidth="1"/>
    <col min="2821" max="2821" width="13" style="247" customWidth="1"/>
    <col min="2822" max="2823" width="8.85546875" style="247"/>
    <col min="2824" max="2824" width="13.7109375" style="247" customWidth="1"/>
    <col min="2825" max="2825" width="14.140625" style="247" customWidth="1"/>
    <col min="2826" max="2827" width="8.85546875" style="247"/>
    <col min="2828" max="2828" width="13.28515625" style="247" customWidth="1"/>
    <col min="2829" max="3072" width="8.85546875" style="247"/>
    <col min="3073" max="3073" width="18.28515625" style="247" customWidth="1"/>
    <col min="3074" max="3074" width="11.7109375" style="247" customWidth="1"/>
    <col min="3075" max="3075" width="13.140625" style="247" customWidth="1"/>
    <col min="3076" max="3076" width="69.7109375" style="247" customWidth="1"/>
    <col min="3077" max="3077" width="13" style="247" customWidth="1"/>
    <col min="3078" max="3079" width="8.85546875" style="247"/>
    <col min="3080" max="3080" width="13.7109375" style="247" customWidth="1"/>
    <col min="3081" max="3081" width="14.140625" style="247" customWidth="1"/>
    <col min="3082" max="3083" width="8.85546875" style="247"/>
    <col min="3084" max="3084" width="13.28515625" style="247" customWidth="1"/>
    <col min="3085" max="3328" width="8.85546875" style="247"/>
    <col min="3329" max="3329" width="18.28515625" style="247" customWidth="1"/>
    <col min="3330" max="3330" width="11.7109375" style="247" customWidth="1"/>
    <col min="3331" max="3331" width="13.140625" style="247" customWidth="1"/>
    <col min="3332" max="3332" width="69.7109375" style="247" customWidth="1"/>
    <col min="3333" max="3333" width="13" style="247" customWidth="1"/>
    <col min="3334" max="3335" width="8.85546875" style="247"/>
    <col min="3336" max="3336" width="13.7109375" style="247" customWidth="1"/>
    <col min="3337" max="3337" width="14.140625" style="247" customWidth="1"/>
    <col min="3338" max="3339" width="8.85546875" style="247"/>
    <col min="3340" max="3340" width="13.28515625" style="247" customWidth="1"/>
    <col min="3341" max="3584" width="8.85546875" style="247"/>
    <col min="3585" max="3585" width="18.28515625" style="247" customWidth="1"/>
    <col min="3586" max="3586" width="11.7109375" style="247" customWidth="1"/>
    <col min="3587" max="3587" width="13.140625" style="247" customWidth="1"/>
    <col min="3588" max="3588" width="69.7109375" style="247" customWidth="1"/>
    <col min="3589" max="3589" width="13" style="247" customWidth="1"/>
    <col min="3590" max="3591" width="8.85546875" style="247"/>
    <col min="3592" max="3592" width="13.7109375" style="247" customWidth="1"/>
    <col min="3593" max="3593" width="14.140625" style="247" customWidth="1"/>
    <col min="3594" max="3595" width="8.85546875" style="247"/>
    <col min="3596" max="3596" width="13.28515625" style="247" customWidth="1"/>
    <col min="3597" max="3840" width="8.85546875" style="247"/>
    <col min="3841" max="3841" width="18.28515625" style="247" customWidth="1"/>
    <col min="3842" max="3842" width="11.7109375" style="247" customWidth="1"/>
    <col min="3843" max="3843" width="13.140625" style="247" customWidth="1"/>
    <col min="3844" max="3844" width="69.7109375" style="247" customWidth="1"/>
    <col min="3845" max="3845" width="13" style="247" customWidth="1"/>
    <col min="3846" max="3847" width="8.85546875" style="247"/>
    <col min="3848" max="3848" width="13.7109375" style="247" customWidth="1"/>
    <col min="3849" max="3849" width="14.140625" style="247" customWidth="1"/>
    <col min="3850" max="3851" width="8.85546875" style="247"/>
    <col min="3852" max="3852" width="13.28515625" style="247" customWidth="1"/>
    <col min="3853" max="4096" width="8.85546875" style="247"/>
    <col min="4097" max="4097" width="18.28515625" style="247" customWidth="1"/>
    <col min="4098" max="4098" width="11.7109375" style="247" customWidth="1"/>
    <col min="4099" max="4099" width="13.140625" style="247" customWidth="1"/>
    <col min="4100" max="4100" width="69.7109375" style="247" customWidth="1"/>
    <col min="4101" max="4101" width="13" style="247" customWidth="1"/>
    <col min="4102" max="4103" width="8.85546875" style="247"/>
    <col min="4104" max="4104" width="13.7109375" style="247" customWidth="1"/>
    <col min="4105" max="4105" width="14.140625" style="247" customWidth="1"/>
    <col min="4106" max="4107" width="8.85546875" style="247"/>
    <col min="4108" max="4108" width="13.28515625" style="247" customWidth="1"/>
    <col min="4109" max="4352" width="8.85546875" style="247"/>
    <col min="4353" max="4353" width="18.28515625" style="247" customWidth="1"/>
    <col min="4354" max="4354" width="11.7109375" style="247" customWidth="1"/>
    <col min="4355" max="4355" width="13.140625" style="247" customWidth="1"/>
    <col min="4356" max="4356" width="69.7109375" style="247" customWidth="1"/>
    <col min="4357" max="4357" width="13" style="247" customWidth="1"/>
    <col min="4358" max="4359" width="8.85546875" style="247"/>
    <col min="4360" max="4360" width="13.7109375" style="247" customWidth="1"/>
    <col min="4361" max="4361" width="14.140625" style="247" customWidth="1"/>
    <col min="4362" max="4363" width="8.85546875" style="247"/>
    <col min="4364" max="4364" width="13.28515625" style="247" customWidth="1"/>
    <col min="4365" max="4608" width="8.85546875" style="247"/>
    <col min="4609" max="4609" width="18.28515625" style="247" customWidth="1"/>
    <col min="4610" max="4610" width="11.7109375" style="247" customWidth="1"/>
    <col min="4611" max="4611" width="13.140625" style="247" customWidth="1"/>
    <col min="4612" max="4612" width="69.7109375" style="247" customWidth="1"/>
    <col min="4613" max="4613" width="13" style="247" customWidth="1"/>
    <col min="4614" max="4615" width="8.85546875" style="247"/>
    <col min="4616" max="4616" width="13.7109375" style="247" customWidth="1"/>
    <col min="4617" max="4617" width="14.140625" style="247" customWidth="1"/>
    <col min="4618" max="4619" width="8.85546875" style="247"/>
    <col min="4620" max="4620" width="13.28515625" style="247" customWidth="1"/>
    <col min="4621" max="4864" width="8.85546875" style="247"/>
    <col min="4865" max="4865" width="18.28515625" style="247" customWidth="1"/>
    <col min="4866" max="4866" width="11.7109375" style="247" customWidth="1"/>
    <col min="4867" max="4867" width="13.140625" style="247" customWidth="1"/>
    <col min="4868" max="4868" width="69.7109375" style="247" customWidth="1"/>
    <col min="4869" max="4869" width="13" style="247" customWidth="1"/>
    <col min="4870" max="4871" width="8.85546875" style="247"/>
    <col min="4872" max="4872" width="13.7109375" style="247" customWidth="1"/>
    <col min="4873" max="4873" width="14.140625" style="247" customWidth="1"/>
    <col min="4874" max="4875" width="8.85546875" style="247"/>
    <col min="4876" max="4876" width="13.28515625" style="247" customWidth="1"/>
    <col min="4877" max="5120" width="8.85546875" style="247"/>
    <col min="5121" max="5121" width="18.28515625" style="247" customWidth="1"/>
    <col min="5122" max="5122" width="11.7109375" style="247" customWidth="1"/>
    <col min="5123" max="5123" width="13.140625" style="247" customWidth="1"/>
    <col min="5124" max="5124" width="69.7109375" style="247" customWidth="1"/>
    <col min="5125" max="5125" width="13" style="247" customWidth="1"/>
    <col min="5126" max="5127" width="8.85546875" style="247"/>
    <col min="5128" max="5128" width="13.7109375" style="247" customWidth="1"/>
    <col min="5129" max="5129" width="14.140625" style="247" customWidth="1"/>
    <col min="5130" max="5131" width="8.85546875" style="247"/>
    <col min="5132" max="5132" width="13.28515625" style="247" customWidth="1"/>
    <col min="5133" max="5376" width="8.85546875" style="247"/>
    <col min="5377" max="5377" width="18.28515625" style="247" customWidth="1"/>
    <col min="5378" max="5378" width="11.7109375" style="247" customWidth="1"/>
    <col min="5379" max="5379" width="13.140625" style="247" customWidth="1"/>
    <col min="5380" max="5380" width="69.7109375" style="247" customWidth="1"/>
    <col min="5381" max="5381" width="13" style="247" customWidth="1"/>
    <col min="5382" max="5383" width="8.85546875" style="247"/>
    <col min="5384" max="5384" width="13.7109375" style="247" customWidth="1"/>
    <col min="5385" max="5385" width="14.140625" style="247" customWidth="1"/>
    <col min="5386" max="5387" width="8.85546875" style="247"/>
    <col min="5388" max="5388" width="13.28515625" style="247" customWidth="1"/>
    <col min="5389" max="5632" width="8.85546875" style="247"/>
    <col min="5633" max="5633" width="18.28515625" style="247" customWidth="1"/>
    <col min="5634" max="5634" width="11.7109375" style="247" customWidth="1"/>
    <col min="5635" max="5635" width="13.140625" style="247" customWidth="1"/>
    <col min="5636" max="5636" width="69.7109375" style="247" customWidth="1"/>
    <col min="5637" max="5637" width="13" style="247" customWidth="1"/>
    <col min="5638" max="5639" width="8.85546875" style="247"/>
    <col min="5640" max="5640" width="13.7109375" style="247" customWidth="1"/>
    <col min="5641" max="5641" width="14.140625" style="247" customWidth="1"/>
    <col min="5642" max="5643" width="8.85546875" style="247"/>
    <col min="5644" max="5644" width="13.28515625" style="247" customWidth="1"/>
    <col min="5645" max="5888" width="8.85546875" style="247"/>
    <col min="5889" max="5889" width="18.28515625" style="247" customWidth="1"/>
    <col min="5890" max="5890" width="11.7109375" style="247" customWidth="1"/>
    <col min="5891" max="5891" width="13.140625" style="247" customWidth="1"/>
    <col min="5892" max="5892" width="69.7109375" style="247" customWidth="1"/>
    <col min="5893" max="5893" width="13" style="247" customWidth="1"/>
    <col min="5894" max="5895" width="8.85546875" style="247"/>
    <col min="5896" max="5896" width="13.7109375" style="247" customWidth="1"/>
    <col min="5897" max="5897" width="14.140625" style="247" customWidth="1"/>
    <col min="5898" max="5899" width="8.85546875" style="247"/>
    <col min="5900" max="5900" width="13.28515625" style="247" customWidth="1"/>
    <col min="5901" max="6144" width="8.85546875" style="247"/>
    <col min="6145" max="6145" width="18.28515625" style="247" customWidth="1"/>
    <col min="6146" max="6146" width="11.7109375" style="247" customWidth="1"/>
    <col min="6147" max="6147" width="13.140625" style="247" customWidth="1"/>
    <col min="6148" max="6148" width="69.7109375" style="247" customWidth="1"/>
    <col min="6149" max="6149" width="13" style="247" customWidth="1"/>
    <col min="6150" max="6151" width="8.85546875" style="247"/>
    <col min="6152" max="6152" width="13.7109375" style="247" customWidth="1"/>
    <col min="6153" max="6153" width="14.140625" style="247" customWidth="1"/>
    <col min="6154" max="6155" width="8.85546875" style="247"/>
    <col min="6156" max="6156" width="13.28515625" style="247" customWidth="1"/>
    <col min="6157" max="6400" width="8.85546875" style="247"/>
    <col min="6401" max="6401" width="18.28515625" style="247" customWidth="1"/>
    <col min="6402" max="6402" width="11.7109375" style="247" customWidth="1"/>
    <col min="6403" max="6403" width="13.140625" style="247" customWidth="1"/>
    <col min="6404" max="6404" width="69.7109375" style="247" customWidth="1"/>
    <col min="6405" max="6405" width="13" style="247" customWidth="1"/>
    <col min="6406" max="6407" width="8.85546875" style="247"/>
    <col min="6408" max="6408" width="13.7109375" style="247" customWidth="1"/>
    <col min="6409" max="6409" width="14.140625" style="247" customWidth="1"/>
    <col min="6410" max="6411" width="8.85546875" style="247"/>
    <col min="6412" max="6412" width="13.28515625" style="247" customWidth="1"/>
    <col min="6413" max="6656" width="8.85546875" style="247"/>
    <col min="6657" max="6657" width="18.28515625" style="247" customWidth="1"/>
    <col min="6658" max="6658" width="11.7109375" style="247" customWidth="1"/>
    <col min="6659" max="6659" width="13.140625" style="247" customWidth="1"/>
    <col min="6660" max="6660" width="69.7109375" style="247" customWidth="1"/>
    <col min="6661" max="6661" width="13" style="247" customWidth="1"/>
    <col min="6662" max="6663" width="8.85546875" style="247"/>
    <col min="6664" max="6664" width="13.7109375" style="247" customWidth="1"/>
    <col min="6665" max="6665" width="14.140625" style="247" customWidth="1"/>
    <col min="6666" max="6667" width="8.85546875" style="247"/>
    <col min="6668" max="6668" width="13.28515625" style="247" customWidth="1"/>
    <col min="6669" max="6912" width="8.85546875" style="247"/>
    <col min="6913" max="6913" width="18.28515625" style="247" customWidth="1"/>
    <col min="6914" max="6914" width="11.7109375" style="247" customWidth="1"/>
    <col min="6915" max="6915" width="13.140625" style="247" customWidth="1"/>
    <col min="6916" max="6916" width="69.7109375" style="247" customWidth="1"/>
    <col min="6917" max="6917" width="13" style="247" customWidth="1"/>
    <col min="6918" max="6919" width="8.85546875" style="247"/>
    <col min="6920" max="6920" width="13.7109375" style="247" customWidth="1"/>
    <col min="6921" max="6921" width="14.140625" style="247" customWidth="1"/>
    <col min="6922" max="6923" width="8.85546875" style="247"/>
    <col min="6924" max="6924" width="13.28515625" style="247" customWidth="1"/>
    <col min="6925" max="7168" width="8.85546875" style="247"/>
    <col min="7169" max="7169" width="18.28515625" style="247" customWidth="1"/>
    <col min="7170" max="7170" width="11.7109375" style="247" customWidth="1"/>
    <col min="7171" max="7171" width="13.140625" style="247" customWidth="1"/>
    <col min="7172" max="7172" width="69.7109375" style="247" customWidth="1"/>
    <col min="7173" max="7173" width="13" style="247" customWidth="1"/>
    <col min="7174" max="7175" width="8.85546875" style="247"/>
    <col min="7176" max="7176" width="13.7109375" style="247" customWidth="1"/>
    <col min="7177" max="7177" width="14.140625" style="247" customWidth="1"/>
    <col min="7178" max="7179" width="8.85546875" style="247"/>
    <col min="7180" max="7180" width="13.28515625" style="247" customWidth="1"/>
    <col min="7181" max="7424" width="8.85546875" style="247"/>
    <col min="7425" max="7425" width="18.28515625" style="247" customWidth="1"/>
    <col min="7426" max="7426" width="11.7109375" style="247" customWidth="1"/>
    <col min="7427" max="7427" width="13.140625" style="247" customWidth="1"/>
    <col min="7428" max="7428" width="69.7109375" style="247" customWidth="1"/>
    <col min="7429" max="7429" width="13" style="247" customWidth="1"/>
    <col min="7430" max="7431" width="8.85546875" style="247"/>
    <col min="7432" max="7432" width="13.7109375" style="247" customWidth="1"/>
    <col min="7433" max="7433" width="14.140625" style="247" customWidth="1"/>
    <col min="7434" max="7435" width="8.85546875" style="247"/>
    <col min="7436" max="7436" width="13.28515625" style="247" customWidth="1"/>
    <col min="7437" max="7680" width="8.85546875" style="247"/>
    <col min="7681" max="7681" width="18.28515625" style="247" customWidth="1"/>
    <col min="7682" max="7682" width="11.7109375" style="247" customWidth="1"/>
    <col min="7683" max="7683" width="13.140625" style="247" customWidth="1"/>
    <col min="7684" max="7684" width="69.7109375" style="247" customWidth="1"/>
    <col min="7685" max="7685" width="13" style="247" customWidth="1"/>
    <col min="7686" max="7687" width="8.85546875" style="247"/>
    <col min="7688" max="7688" width="13.7109375" style="247" customWidth="1"/>
    <col min="7689" max="7689" width="14.140625" style="247" customWidth="1"/>
    <col min="7690" max="7691" width="8.85546875" style="247"/>
    <col min="7692" max="7692" width="13.28515625" style="247" customWidth="1"/>
    <col min="7693" max="7936" width="8.85546875" style="247"/>
    <col min="7937" max="7937" width="18.28515625" style="247" customWidth="1"/>
    <col min="7938" max="7938" width="11.7109375" style="247" customWidth="1"/>
    <col min="7939" max="7939" width="13.140625" style="247" customWidth="1"/>
    <col min="7940" max="7940" width="69.7109375" style="247" customWidth="1"/>
    <col min="7941" max="7941" width="13" style="247" customWidth="1"/>
    <col min="7942" max="7943" width="8.85546875" style="247"/>
    <col min="7944" max="7944" width="13.7109375" style="247" customWidth="1"/>
    <col min="7945" max="7945" width="14.140625" style="247" customWidth="1"/>
    <col min="7946" max="7947" width="8.85546875" style="247"/>
    <col min="7948" max="7948" width="13.28515625" style="247" customWidth="1"/>
    <col min="7949" max="8192" width="8.85546875" style="247"/>
    <col min="8193" max="8193" width="18.28515625" style="247" customWidth="1"/>
    <col min="8194" max="8194" width="11.7109375" style="247" customWidth="1"/>
    <col min="8195" max="8195" width="13.140625" style="247" customWidth="1"/>
    <col min="8196" max="8196" width="69.7109375" style="247" customWidth="1"/>
    <col min="8197" max="8197" width="13" style="247" customWidth="1"/>
    <col min="8198" max="8199" width="8.85546875" style="247"/>
    <col min="8200" max="8200" width="13.7109375" style="247" customWidth="1"/>
    <col min="8201" max="8201" width="14.140625" style="247" customWidth="1"/>
    <col min="8202" max="8203" width="8.85546875" style="247"/>
    <col min="8204" max="8204" width="13.28515625" style="247" customWidth="1"/>
    <col min="8205" max="8448" width="8.85546875" style="247"/>
    <col min="8449" max="8449" width="18.28515625" style="247" customWidth="1"/>
    <col min="8450" max="8450" width="11.7109375" style="247" customWidth="1"/>
    <col min="8451" max="8451" width="13.140625" style="247" customWidth="1"/>
    <col min="8452" max="8452" width="69.7109375" style="247" customWidth="1"/>
    <col min="8453" max="8453" width="13" style="247" customWidth="1"/>
    <col min="8454" max="8455" width="8.85546875" style="247"/>
    <col min="8456" max="8456" width="13.7109375" style="247" customWidth="1"/>
    <col min="8457" max="8457" width="14.140625" style="247" customWidth="1"/>
    <col min="8458" max="8459" width="8.85546875" style="247"/>
    <col min="8460" max="8460" width="13.28515625" style="247" customWidth="1"/>
    <col min="8461" max="8704" width="8.85546875" style="247"/>
    <col min="8705" max="8705" width="18.28515625" style="247" customWidth="1"/>
    <col min="8706" max="8706" width="11.7109375" style="247" customWidth="1"/>
    <col min="8707" max="8707" width="13.140625" style="247" customWidth="1"/>
    <col min="8708" max="8708" width="69.7109375" style="247" customWidth="1"/>
    <col min="8709" max="8709" width="13" style="247" customWidth="1"/>
    <col min="8710" max="8711" width="8.85546875" style="247"/>
    <col min="8712" max="8712" width="13.7109375" style="247" customWidth="1"/>
    <col min="8713" max="8713" width="14.140625" style="247" customWidth="1"/>
    <col min="8714" max="8715" width="8.85546875" style="247"/>
    <col min="8716" max="8716" width="13.28515625" style="247" customWidth="1"/>
    <col min="8717" max="8960" width="8.85546875" style="247"/>
    <col min="8961" max="8961" width="18.28515625" style="247" customWidth="1"/>
    <col min="8962" max="8962" width="11.7109375" style="247" customWidth="1"/>
    <col min="8963" max="8963" width="13.140625" style="247" customWidth="1"/>
    <col min="8964" max="8964" width="69.7109375" style="247" customWidth="1"/>
    <col min="8965" max="8965" width="13" style="247" customWidth="1"/>
    <col min="8966" max="8967" width="8.85546875" style="247"/>
    <col min="8968" max="8968" width="13.7109375" style="247" customWidth="1"/>
    <col min="8969" max="8969" width="14.140625" style="247" customWidth="1"/>
    <col min="8970" max="8971" width="8.85546875" style="247"/>
    <col min="8972" max="8972" width="13.28515625" style="247" customWidth="1"/>
    <col min="8973" max="9216" width="8.85546875" style="247"/>
    <col min="9217" max="9217" width="18.28515625" style="247" customWidth="1"/>
    <col min="9218" max="9218" width="11.7109375" style="247" customWidth="1"/>
    <col min="9219" max="9219" width="13.140625" style="247" customWidth="1"/>
    <col min="9220" max="9220" width="69.7109375" style="247" customWidth="1"/>
    <col min="9221" max="9221" width="13" style="247" customWidth="1"/>
    <col min="9222" max="9223" width="8.85546875" style="247"/>
    <col min="9224" max="9224" width="13.7109375" style="247" customWidth="1"/>
    <col min="9225" max="9225" width="14.140625" style="247" customWidth="1"/>
    <col min="9226" max="9227" width="8.85546875" style="247"/>
    <col min="9228" max="9228" width="13.28515625" style="247" customWidth="1"/>
    <col min="9229" max="9472" width="8.85546875" style="247"/>
    <col min="9473" max="9473" width="18.28515625" style="247" customWidth="1"/>
    <col min="9474" max="9474" width="11.7109375" style="247" customWidth="1"/>
    <col min="9475" max="9475" width="13.140625" style="247" customWidth="1"/>
    <col min="9476" max="9476" width="69.7109375" style="247" customWidth="1"/>
    <col min="9477" max="9477" width="13" style="247" customWidth="1"/>
    <col min="9478" max="9479" width="8.85546875" style="247"/>
    <col min="9480" max="9480" width="13.7109375" style="247" customWidth="1"/>
    <col min="9481" max="9481" width="14.140625" style="247" customWidth="1"/>
    <col min="9482" max="9483" width="8.85546875" style="247"/>
    <col min="9484" max="9484" width="13.28515625" style="247" customWidth="1"/>
    <col min="9485" max="9728" width="8.85546875" style="247"/>
    <col min="9729" max="9729" width="18.28515625" style="247" customWidth="1"/>
    <col min="9730" max="9730" width="11.7109375" style="247" customWidth="1"/>
    <col min="9731" max="9731" width="13.140625" style="247" customWidth="1"/>
    <col min="9732" max="9732" width="69.7109375" style="247" customWidth="1"/>
    <col min="9733" max="9733" width="13" style="247" customWidth="1"/>
    <col min="9734" max="9735" width="8.85546875" style="247"/>
    <col min="9736" max="9736" width="13.7109375" style="247" customWidth="1"/>
    <col min="9737" max="9737" width="14.140625" style="247" customWidth="1"/>
    <col min="9738" max="9739" width="8.85546875" style="247"/>
    <col min="9740" max="9740" width="13.28515625" style="247" customWidth="1"/>
    <col min="9741" max="9984" width="8.85546875" style="247"/>
    <col min="9985" max="9985" width="18.28515625" style="247" customWidth="1"/>
    <col min="9986" max="9986" width="11.7109375" style="247" customWidth="1"/>
    <col min="9987" max="9987" width="13.140625" style="247" customWidth="1"/>
    <col min="9988" max="9988" width="69.7109375" style="247" customWidth="1"/>
    <col min="9989" max="9989" width="13" style="247" customWidth="1"/>
    <col min="9990" max="9991" width="8.85546875" style="247"/>
    <col min="9992" max="9992" width="13.7109375" style="247" customWidth="1"/>
    <col min="9993" max="9993" width="14.140625" style="247" customWidth="1"/>
    <col min="9994" max="9995" width="8.85546875" style="247"/>
    <col min="9996" max="9996" width="13.28515625" style="247" customWidth="1"/>
    <col min="9997" max="10240" width="8.85546875" style="247"/>
    <col min="10241" max="10241" width="18.28515625" style="247" customWidth="1"/>
    <col min="10242" max="10242" width="11.7109375" style="247" customWidth="1"/>
    <col min="10243" max="10243" width="13.140625" style="247" customWidth="1"/>
    <col min="10244" max="10244" width="69.7109375" style="247" customWidth="1"/>
    <col min="10245" max="10245" width="13" style="247" customWidth="1"/>
    <col min="10246" max="10247" width="8.85546875" style="247"/>
    <col min="10248" max="10248" width="13.7109375" style="247" customWidth="1"/>
    <col min="10249" max="10249" width="14.140625" style="247" customWidth="1"/>
    <col min="10250" max="10251" width="8.85546875" style="247"/>
    <col min="10252" max="10252" width="13.28515625" style="247" customWidth="1"/>
    <col min="10253" max="10496" width="8.85546875" style="247"/>
    <col min="10497" max="10497" width="18.28515625" style="247" customWidth="1"/>
    <col min="10498" max="10498" width="11.7109375" style="247" customWidth="1"/>
    <col min="10499" max="10499" width="13.140625" style="247" customWidth="1"/>
    <col min="10500" max="10500" width="69.7109375" style="247" customWidth="1"/>
    <col min="10501" max="10501" width="13" style="247" customWidth="1"/>
    <col min="10502" max="10503" width="8.85546875" style="247"/>
    <col min="10504" max="10504" width="13.7109375" style="247" customWidth="1"/>
    <col min="10505" max="10505" width="14.140625" style="247" customWidth="1"/>
    <col min="10506" max="10507" width="8.85546875" style="247"/>
    <col min="10508" max="10508" width="13.28515625" style="247" customWidth="1"/>
    <col min="10509" max="10752" width="8.85546875" style="247"/>
    <col min="10753" max="10753" width="18.28515625" style="247" customWidth="1"/>
    <col min="10754" max="10754" width="11.7109375" style="247" customWidth="1"/>
    <col min="10755" max="10755" width="13.140625" style="247" customWidth="1"/>
    <col min="10756" max="10756" width="69.7109375" style="247" customWidth="1"/>
    <col min="10757" max="10757" width="13" style="247" customWidth="1"/>
    <col min="10758" max="10759" width="8.85546875" style="247"/>
    <col min="10760" max="10760" width="13.7109375" style="247" customWidth="1"/>
    <col min="10761" max="10761" width="14.140625" style="247" customWidth="1"/>
    <col min="10762" max="10763" width="8.85546875" style="247"/>
    <col min="10764" max="10764" width="13.28515625" style="247" customWidth="1"/>
    <col min="10765" max="11008" width="8.85546875" style="247"/>
    <col min="11009" max="11009" width="18.28515625" style="247" customWidth="1"/>
    <col min="11010" max="11010" width="11.7109375" style="247" customWidth="1"/>
    <col min="11011" max="11011" width="13.140625" style="247" customWidth="1"/>
    <col min="11012" max="11012" width="69.7109375" style="247" customWidth="1"/>
    <col min="11013" max="11013" width="13" style="247" customWidth="1"/>
    <col min="11014" max="11015" width="8.85546875" style="247"/>
    <col min="11016" max="11016" width="13.7109375" style="247" customWidth="1"/>
    <col min="11017" max="11017" width="14.140625" style="247" customWidth="1"/>
    <col min="11018" max="11019" width="8.85546875" style="247"/>
    <col min="11020" max="11020" width="13.28515625" style="247" customWidth="1"/>
    <col min="11021" max="11264" width="8.85546875" style="247"/>
    <col min="11265" max="11265" width="18.28515625" style="247" customWidth="1"/>
    <col min="11266" max="11266" width="11.7109375" style="247" customWidth="1"/>
    <col min="11267" max="11267" width="13.140625" style="247" customWidth="1"/>
    <col min="11268" max="11268" width="69.7109375" style="247" customWidth="1"/>
    <col min="11269" max="11269" width="13" style="247" customWidth="1"/>
    <col min="11270" max="11271" width="8.85546875" style="247"/>
    <col min="11272" max="11272" width="13.7109375" style="247" customWidth="1"/>
    <col min="11273" max="11273" width="14.140625" style="247" customWidth="1"/>
    <col min="11274" max="11275" width="8.85546875" style="247"/>
    <col min="11276" max="11276" width="13.28515625" style="247" customWidth="1"/>
    <col min="11277" max="11520" width="8.85546875" style="247"/>
    <col min="11521" max="11521" width="18.28515625" style="247" customWidth="1"/>
    <col min="11522" max="11522" width="11.7109375" style="247" customWidth="1"/>
    <col min="11523" max="11523" width="13.140625" style="247" customWidth="1"/>
    <col min="11524" max="11524" width="69.7109375" style="247" customWidth="1"/>
    <col min="11525" max="11525" width="13" style="247" customWidth="1"/>
    <col min="11526" max="11527" width="8.85546875" style="247"/>
    <col min="11528" max="11528" width="13.7109375" style="247" customWidth="1"/>
    <col min="11529" max="11529" width="14.140625" style="247" customWidth="1"/>
    <col min="11530" max="11531" width="8.85546875" style="247"/>
    <col min="11532" max="11532" width="13.28515625" style="247" customWidth="1"/>
    <col min="11533" max="11776" width="8.85546875" style="247"/>
    <col min="11777" max="11777" width="18.28515625" style="247" customWidth="1"/>
    <col min="11778" max="11778" width="11.7109375" style="247" customWidth="1"/>
    <col min="11779" max="11779" width="13.140625" style="247" customWidth="1"/>
    <col min="11780" max="11780" width="69.7109375" style="247" customWidth="1"/>
    <col min="11781" max="11781" width="13" style="247" customWidth="1"/>
    <col min="11782" max="11783" width="8.85546875" style="247"/>
    <col min="11784" max="11784" width="13.7109375" style="247" customWidth="1"/>
    <col min="11785" max="11785" width="14.140625" style="247" customWidth="1"/>
    <col min="11786" max="11787" width="8.85546875" style="247"/>
    <col min="11788" max="11788" width="13.28515625" style="247" customWidth="1"/>
    <col min="11789" max="12032" width="8.85546875" style="247"/>
    <col min="12033" max="12033" width="18.28515625" style="247" customWidth="1"/>
    <col min="12034" max="12034" width="11.7109375" style="247" customWidth="1"/>
    <col min="12035" max="12035" width="13.140625" style="247" customWidth="1"/>
    <col min="12036" max="12036" width="69.7109375" style="247" customWidth="1"/>
    <col min="12037" max="12037" width="13" style="247" customWidth="1"/>
    <col min="12038" max="12039" width="8.85546875" style="247"/>
    <col min="12040" max="12040" width="13.7109375" style="247" customWidth="1"/>
    <col min="12041" max="12041" width="14.140625" style="247" customWidth="1"/>
    <col min="12042" max="12043" width="8.85546875" style="247"/>
    <col min="12044" max="12044" width="13.28515625" style="247" customWidth="1"/>
    <col min="12045" max="12288" width="8.85546875" style="247"/>
    <col min="12289" max="12289" width="18.28515625" style="247" customWidth="1"/>
    <col min="12290" max="12290" width="11.7109375" style="247" customWidth="1"/>
    <col min="12291" max="12291" width="13.140625" style="247" customWidth="1"/>
    <col min="12292" max="12292" width="69.7109375" style="247" customWidth="1"/>
    <col min="12293" max="12293" width="13" style="247" customWidth="1"/>
    <col min="12294" max="12295" width="8.85546875" style="247"/>
    <col min="12296" max="12296" width="13.7109375" style="247" customWidth="1"/>
    <col min="12297" max="12297" width="14.140625" style="247" customWidth="1"/>
    <col min="12298" max="12299" width="8.85546875" style="247"/>
    <col min="12300" max="12300" width="13.28515625" style="247" customWidth="1"/>
    <col min="12301" max="12544" width="8.85546875" style="247"/>
    <col min="12545" max="12545" width="18.28515625" style="247" customWidth="1"/>
    <col min="12546" max="12546" width="11.7109375" style="247" customWidth="1"/>
    <col min="12547" max="12547" width="13.140625" style="247" customWidth="1"/>
    <col min="12548" max="12548" width="69.7109375" style="247" customWidth="1"/>
    <col min="12549" max="12549" width="13" style="247" customWidth="1"/>
    <col min="12550" max="12551" width="8.85546875" style="247"/>
    <col min="12552" max="12552" width="13.7109375" style="247" customWidth="1"/>
    <col min="12553" max="12553" width="14.140625" style="247" customWidth="1"/>
    <col min="12554" max="12555" width="8.85546875" style="247"/>
    <col min="12556" max="12556" width="13.28515625" style="247" customWidth="1"/>
    <col min="12557" max="12800" width="8.85546875" style="247"/>
    <col min="12801" max="12801" width="18.28515625" style="247" customWidth="1"/>
    <col min="12802" max="12802" width="11.7109375" style="247" customWidth="1"/>
    <col min="12803" max="12803" width="13.140625" style="247" customWidth="1"/>
    <col min="12804" max="12804" width="69.7109375" style="247" customWidth="1"/>
    <col min="12805" max="12805" width="13" style="247" customWidth="1"/>
    <col min="12806" max="12807" width="8.85546875" style="247"/>
    <col min="12808" max="12808" width="13.7109375" style="247" customWidth="1"/>
    <col min="12809" max="12809" width="14.140625" style="247" customWidth="1"/>
    <col min="12810" max="12811" width="8.85546875" style="247"/>
    <col min="12812" max="12812" width="13.28515625" style="247" customWidth="1"/>
    <col min="12813" max="13056" width="8.85546875" style="247"/>
    <col min="13057" max="13057" width="18.28515625" style="247" customWidth="1"/>
    <col min="13058" max="13058" width="11.7109375" style="247" customWidth="1"/>
    <col min="13059" max="13059" width="13.140625" style="247" customWidth="1"/>
    <col min="13060" max="13060" width="69.7109375" style="247" customWidth="1"/>
    <col min="13061" max="13061" width="13" style="247" customWidth="1"/>
    <col min="13062" max="13063" width="8.85546875" style="247"/>
    <col min="13064" max="13064" width="13.7109375" style="247" customWidth="1"/>
    <col min="13065" max="13065" width="14.140625" style="247" customWidth="1"/>
    <col min="13066" max="13067" width="8.85546875" style="247"/>
    <col min="13068" max="13068" width="13.28515625" style="247" customWidth="1"/>
    <col min="13069" max="13312" width="8.85546875" style="247"/>
    <col min="13313" max="13313" width="18.28515625" style="247" customWidth="1"/>
    <col min="13314" max="13314" width="11.7109375" style="247" customWidth="1"/>
    <col min="13315" max="13315" width="13.140625" style="247" customWidth="1"/>
    <col min="13316" max="13316" width="69.7109375" style="247" customWidth="1"/>
    <col min="13317" max="13317" width="13" style="247" customWidth="1"/>
    <col min="13318" max="13319" width="8.85546875" style="247"/>
    <col min="13320" max="13320" width="13.7109375" style="247" customWidth="1"/>
    <col min="13321" max="13321" width="14.140625" style="247" customWidth="1"/>
    <col min="13322" max="13323" width="8.85546875" style="247"/>
    <col min="13324" max="13324" width="13.28515625" style="247" customWidth="1"/>
    <col min="13325" max="13568" width="8.85546875" style="247"/>
    <col min="13569" max="13569" width="18.28515625" style="247" customWidth="1"/>
    <col min="13570" max="13570" width="11.7109375" style="247" customWidth="1"/>
    <col min="13571" max="13571" width="13.140625" style="247" customWidth="1"/>
    <col min="13572" max="13572" width="69.7109375" style="247" customWidth="1"/>
    <col min="13573" max="13573" width="13" style="247" customWidth="1"/>
    <col min="13574" max="13575" width="8.85546875" style="247"/>
    <col min="13576" max="13576" width="13.7109375" style="247" customWidth="1"/>
    <col min="13577" max="13577" width="14.140625" style="247" customWidth="1"/>
    <col min="13578" max="13579" width="8.85546875" style="247"/>
    <col min="13580" max="13580" width="13.28515625" style="247" customWidth="1"/>
    <col min="13581" max="13824" width="8.85546875" style="247"/>
    <col min="13825" max="13825" width="18.28515625" style="247" customWidth="1"/>
    <col min="13826" max="13826" width="11.7109375" style="247" customWidth="1"/>
    <col min="13827" max="13827" width="13.140625" style="247" customWidth="1"/>
    <col min="13828" max="13828" width="69.7109375" style="247" customWidth="1"/>
    <col min="13829" max="13829" width="13" style="247" customWidth="1"/>
    <col min="13830" max="13831" width="8.85546875" style="247"/>
    <col min="13832" max="13832" width="13.7109375" style="247" customWidth="1"/>
    <col min="13833" max="13833" width="14.140625" style="247" customWidth="1"/>
    <col min="13834" max="13835" width="8.85546875" style="247"/>
    <col min="13836" max="13836" width="13.28515625" style="247" customWidth="1"/>
    <col min="13837" max="14080" width="8.85546875" style="247"/>
    <col min="14081" max="14081" width="18.28515625" style="247" customWidth="1"/>
    <col min="14082" max="14082" width="11.7109375" style="247" customWidth="1"/>
    <col min="14083" max="14083" width="13.140625" style="247" customWidth="1"/>
    <col min="14084" max="14084" width="69.7109375" style="247" customWidth="1"/>
    <col min="14085" max="14085" width="13" style="247" customWidth="1"/>
    <col min="14086" max="14087" width="8.85546875" style="247"/>
    <col min="14088" max="14088" width="13.7109375" style="247" customWidth="1"/>
    <col min="14089" max="14089" width="14.140625" style="247" customWidth="1"/>
    <col min="14090" max="14091" width="8.85546875" style="247"/>
    <col min="14092" max="14092" width="13.28515625" style="247" customWidth="1"/>
    <col min="14093" max="14336" width="8.85546875" style="247"/>
    <col min="14337" max="14337" width="18.28515625" style="247" customWidth="1"/>
    <col min="14338" max="14338" width="11.7109375" style="247" customWidth="1"/>
    <col min="14339" max="14339" width="13.140625" style="247" customWidth="1"/>
    <col min="14340" max="14340" width="69.7109375" style="247" customWidth="1"/>
    <col min="14341" max="14341" width="13" style="247" customWidth="1"/>
    <col min="14342" max="14343" width="8.85546875" style="247"/>
    <col min="14344" max="14344" width="13.7109375" style="247" customWidth="1"/>
    <col min="14345" max="14345" width="14.140625" style="247" customWidth="1"/>
    <col min="14346" max="14347" width="8.85546875" style="247"/>
    <col min="14348" max="14348" width="13.28515625" style="247" customWidth="1"/>
    <col min="14349" max="14592" width="8.85546875" style="247"/>
    <col min="14593" max="14593" width="18.28515625" style="247" customWidth="1"/>
    <col min="14594" max="14594" width="11.7109375" style="247" customWidth="1"/>
    <col min="14595" max="14595" width="13.140625" style="247" customWidth="1"/>
    <col min="14596" max="14596" width="69.7109375" style="247" customWidth="1"/>
    <col min="14597" max="14597" width="13" style="247" customWidth="1"/>
    <col min="14598" max="14599" width="8.85546875" style="247"/>
    <col min="14600" max="14600" width="13.7109375" style="247" customWidth="1"/>
    <col min="14601" max="14601" width="14.140625" style="247" customWidth="1"/>
    <col min="14602" max="14603" width="8.85546875" style="247"/>
    <col min="14604" max="14604" width="13.28515625" style="247" customWidth="1"/>
    <col min="14605" max="14848" width="8.85546875" style="247"/>
    <col min="14849" max="14849" width="18.28515625" style="247" customWidth="1"/>
    <col min="14850" max="14850" width="11.7109375" style="247" customWidth="1"/>
    <col min="14851" max="14851" width="13.140625" style="247" customWidth="1"/>
    <col min="14852" max="14852" width="69.7109375" style="247" customWidth="1"/>
    <col min="14853" max="14853" width="13" style="247" customWidth="1"/>
    <col min="14854" max="14855" width="8.85546875" style="247"/>
    <col min="14856" max="14856" width="13.7109375" style="247" customWidth="1"/>
    <col min="14857" max="14857" width="14.140625" style="247" customWidth="1"/>
    <col min="14858" max="14859" width="8.85546875" style="247"/>
    <col min="14860" max="14860" width="13.28515625" style="247" customWidth="1"/>
    <col min="14861" max="15104" width="8.85546875" style="247"/>
    <col min="15105" max="15105" width="18.28515625" style="247" customWidth="1"/>
    <col min="15106" max="15106" width="11.7109375" style="247" customWidth="1"/>
    <col min="15107" max="15107" width="13.140625" style="247" customWidth="1"/>
    <col min="15108" max="15108" width="69.7109375" style="247" customWidth="1"/>
    <col min="15109" max="15109" width="13" style="247" customWidth="1"/>
    <col min="15110" max="15111" width="8.85546875" style="247"/>
    <col min="15112" max="15112" width="13.7109375" style="247" customWidth="1"/>
    <col min="15113" max="15113" width="14.140625" style="247" customWidth="1"/>
    <col min="15114" max="15115" width="8.85546875" style="247"/>
    <col min="15116" max="15116" width="13.28515625" style="247" customWidth="1"/>
    <col min="15117" max="15360" width="8.85546875" style="247"/>
    <col min="15361" max="15361" width="18.28515625" style="247" customWidth="1"/>
    <col min="15362" max="15362" width="11.7109375" style="247" customWidth="1"/>
    <col min="15363" max="15363" width="13.140625" style="247" customWidth="1"/>
    <col min="15364" max="15364" width="69.7109375" style="247" customWidth="1"/>
    <col min="15365" max="15365" width="13" style="247" customWidth="1"/>
    <col min="15366" max="15367" width="8.85546875" style="247"/>
    <col min="15368" max="15368" width="13.7109375" style="247" customWidth="1"/>
    <col min="15369" max="15369" width="14.140625" style="247" customWidth="1"/>
    <col min="15370" max="15371" width="8.85546875" style="247"/>
    <col min="15372" max="15372" width="13.28515625" style="247" customWidth="1"/>
    <col min="15373" max="15616" width="8.85546875" style="247"/>
    <col min="15617" max="15617" width="18.28515625" style="247" customWidth="1"/>
    <col min="15618" max="15618" width="11.7109375" style="247" customWidth="1"/>
    <col min="15619" max="15619" width="13.140625" style="247" customWidth="1"/>
    <col min="15620" max="15620" width="69.7109375" style="247" customWidth="1"/>
    <col min="15621" max="15621" width="13" style="247" customWidth="1"/>
    <col min="15622" max="15623" width="8.85546875" style="247"/>
    <col min="15624" max="15624" width="13.7109375" style="247" customWidth="1"/>
    <col min="15625" max="15625" width="14.140625" style="247" customWidth="1"/>
    <col min="15626" max="15627" width="8.85546875" style="247"/>
    <col min="15628" max="15628" width="13.28515625" style="247" customWidth="1"/>
    <col min="15629" max="15872" width="8.85546875" style="247"/>
    <col min="15873" max="15873" width="18.28515625" style="247" customWidth="1"/>
    <col min="15874" max="15874" width="11.7109375" style="247" customWidth="1"/>
    <col min="15875" max="15875" width="13.140625" style="247" customWidth="1"/>
    <col min="15876" max="15876" width="69.7109375" style="247" customWidth="1"/>
    <col min="15877" max="15877" width="13" style="247" customWidth="1"/>
    <col min="15878" max="15879" width="8.85546875" style="247"/>
    <col min="15880" max="15880" width="13.7109375" style="247" customWidth="1"/>
    <col min="15881" max="15881" width="14.140625" style="247" customWidth="1"/>
    <col min="15882" max="15883" width="8.85546875" style="247"/>
    <col min="15884" max="15884" width="13.28515625" style="247" customWidth="1"/>
    <col min="15885" max="16128" width="8.85546875" style="247"/>
    <col min="16129" max="16129" width="18.28515625" style="247" customWidth="1"/>
    <col min="16130" max="16130" width="11.7109375" style="247" customWidth="1"/>
    <col min="16131" max="16131" width="13.140625" style="247" customWidth="1"/>
    <col min="16132" max="16132" width="69.7109375" style="247" customWidth="1"/>
    <col min="16133" max="16133" width="13" style="247" customWidth="1"/>
    <col min="16134" max="16135" width="8.85546875" style="247"/>
    <col min="16136" max="16136" width="13.7109375" style="247" customWidth="1"/>
    <col min="16137" max="16137" width="14.140625" style="247" customWidth="1"/>
    <col min="16138" max="16139" width="8.85546875" style="247"/>
    <col min="16140" max="16140" width="13.28515625" style="247" customWidth="1"/>
    <col min="16141" max="16384" width="8.85546875" style="247"/>
  </cols>
  <sheetData>
    <row r="1" spans="1:12" ht="15.75" x14ac:dyDescent="0.2">
      <c r="G1" s="248" t="s">
        <v>427</v>
      </c>
      <c r="H1" s="249"/>
      <c r="I1" s="250"/>
    </row>
    <row r="2" spans="1:12" ht="15.75" x14ac:dyDescent="0.25">
      <c r="G2" s="251" t="s">
        <v>459</v>
      </c>
      <c r="H2" s="252"/>
      <c r="I2" s="249"/>
    </row>
    <row r="3" spans="1:12" ht="15.75" x14ac:dyDescent="0.25">
      <c r="G3" s="1197" t="s">
        <v>653</v>
      </c>
      <c r="H3" s="1197"/>
      <c r="I3" s="1197"/>
      <c r="J3" s="1197"/>
    </row>
    <row r="4" spans="1:12" ht="15.75" x14ac:dyDescent="0.2">
      <c r="G4" s="1199" t="s">
        <v>738</v>
      </c>
      <c r="H4" s="1199"/>
      <c r="I4" s="1199"/>
    </row>
    <row r="5" spans="1:12" ht="15.75" x14ac:dyDescent="0.25">
      <c r="G5" s="1198" t="s">
        <v>719</v>
      </c>
      <c r="H5" s="1198"/>
      <c r="I5" s="254"/>
    </row>
    <row r="8" spans="1:12" ht="17.25" x14ac:dyDescent="0.2">
      <c r="C8" s="1207" t="s">
        <v>378</v>
      </c>
      <c r="D8" s="1207"/>
      <c r="E8" s="1207"/>
      <c r="F8" s="1207"/>
      <c r="G8" s="1207"/>
      <c r="H8" s="255"/>
      <c r="I8" s="255"/>
    </row>
    <row r="9" spans="1:12" ht="13.9" customHeight="1" x14ac:dyDescent="0.2">
      <c r="B9" s="1207" t="s">
        <v>557</v>
      </c>
      <c r="C9" s="1207"/>
      <c r="D9" s="1207"/>
      <c r="E9" s="1207"/>
      <c r="F9" s="1207"/>
      <c r="G9" s="1207"/>
      <c r="H9" s="1207"/>
      <c r="I9" s="255"/>
    </row>
    <row r="10" spans="1:12" ht="13.9" customHeight="1" x14ac:dyDescent="0.2">
      <c r="B10" s="256"/>
      <c r="C10" s="256"/>
      <c r="D10" s="256"/>
      <c r="E10" s="256"/>
      <c r="F10" s="256"/>
      <c r="G10" s="256"/>
      <c r="H10" s="256"/>
      <c r="I10" s="256"/>
    </row>
    <row r="11" spans="1:12" s="257" customFormat="1" ht="15.75" x14ac:dyDescent="0.25">
      <c r="A11" s="1208">
        <v>1559100000</v>
      </c>
      <c r="B11" s="1208"/>
    </row>
    <row r="12" spans="1:12" s="257" customFormat="1" ht="15.75" x14ac:dyDescent="0.25">
      <c r="A12" s="258" t="s">
        <v>0</v>
      </c>
      <c r="B12" s="258"/>
    </row>
    <row r="13" spans="1:12" ht="16.5" thickBot="1" x14ac:dyDescent="0.25">
      <c r="I13" s="250" t="s">
        <v>235</v>
      </c>
    </row>
    <row r="14" spans="1:12" ht="15.75" x14ac:dyDescent="0.2">
      <c r="A14" s="1209" t="s">
        <v>8</v>
      </c>
      <c r="B14" s="1212" t="s">
        <v>9</v>
      </c>
      <c r="C14" s="1212" t="s">
        <v>10</v>
      </c>
      <c r="D14" s="1215" t="s">
        <v>379</v>
      </c>
      <c r="E14" s="1218" t="s">
        <v>380</v>
      </c>
      <c r="F14" s="1219"/>
      <c r="G14" s="1219"/>
      <c r="H14" s="1219"/>
      <c r="I14" s="1219"/>
      <c r="J14" s="1219"/>
      <c r="K14" s="1219"/>
      <c r="L14" s="1220"/>
    </row>
    <row r="15" spans="1:12" ht="62.45" customHeight="1" x14ac:dyDescent="0.25">
      <c r="A15" s="1210"/>
      <c r="B15" s="1213"/>
      <c r="C15" s="1213"/>
      <c r="D15" s="1216"/>
      <c r="E15" s="1221" t="s">
        <v>558</v>
      </c>
      <c r="F15" s="1221"/>
      <c r="G15" s="1221"/>
      <c r="H15" s="1221"/>
      <c r="I15" s="1222" t="s">
        <v>658</v>
      </c>
      <c r="J15" s="1223"/>
      <c r="K15" s="1223"/>
      <c r="L15" s="1224"/>
    </row>
    <row r="16" spans="1:12" ht="31.15" customHeight="1" x14ac:dyDescent="0.2">
      <c r="A16" s="1210"/>
      <c r="B16" s="1213"/>
      <c r="C16" s="1213"/>
      <c r="D16" s="1216"/>
      <c r="E16" s="1201" t="s">
        <v>381</v>
      </c>
      <c r="F16" s="1203" t="s">
        <v>382</v>
      </c>
      <c r="G16" s="1204"/>
      <c r="H16" s="1201" t="s">
        <v>383</v>
      </c>
      <c r="I16" s="1201" t="s">
        <v>381</v>
      </c>
      <c r="J16" s="1203" t="s">
        <v>382</v>
      </c>
      <c r="K16" s="1204"/>
      <c r="L16" s="1205" t="s">
        <v>383</v>
      </c>
    </row>
    <row r="17" spans="1:12" ht="96.6" customHeight="1" thickBot="1" x14ac:dyDescent="0.25">
      <c r="A17" s="1211"/>
      <c r="B17" s="1214"/>
      <c r="C17" s="1214"/>
      <c r="D17" s="1217"/>
      <c r="E17" s="1202"/>
      <c r="F17" s="368" t="s">
        <v>4</v>
      </c>
      <c r="G17" s="368" t="s">
        <v>5</v>
      </c>
      <c r="H17" s="1202"/>
      <c r="I17" s="1202"/>
      <c r="J17" s="368" t="s">
        <v>4</v>
      </c>
      <c r="K17" s="368" t="s">
        <v>5</v>
      </c>
      <c r="L17" s="1206"/>
    </row>
    <row r="18" spans="1:12" ht="16.5" thickBot="1" x14ac:dyDescent="0.25">
      <c r="A18" s="259">
        <v>1</v>
      </c>
      <c r="B18" s="260">
        <v>2</v>
      </c>
      <c r="C18" s="260">
        <v>3</v>
      </c>
      <c r="D18" s="260">
        <v>4</v>
      </c>
      <c r="E18" s="260">
        <v>5</v>
      </c>
      <c r="F18" s="260">
        <v>6</v>
      </c>
      <c r="G18" s="260">
        <v>7</v>
      </c>
      <c r="H18" s="260">
        <v>8</v>
      </c>
      <c r="I18" s="261">
        <v>9</v>
      </c>
      <c r="J18" s="261">
        <v>10</v>
      </c>
      <c r="K18" s="261">
        <v>11</v>
      </c>
      <c r="L18" s="262">
        <v>12</v>
      </c>
    </row>
    <row r="19" spans="1:12" s="268" customFormat="1" ht="44.25" customHeight="1" thickBot="1" x14ac:dyDescent="0.25">
      <c r="A19" s="263"/>
      <c r="B19" s="264"/>
      <c r="C19" s="264"/>
      <c r="D19" s="265"/>
      <c r="E19" s="266"/>
      <c r="F19" s="266"/>
      <c r="G19" s="266"/>
      <c r="H19" s="266"/>
      <c r="I19" s="267"/>
      <c r="J19" s="267"/>
      <c r="K19" s="267"/>
      <c r="L19" s="387"/>
    </row>
    <row r="20" spans="1:12" s="274" customFormat="1" ht="15.75" x14ac:dyDescent="0.2">
      <c r="A20" s="269"/>
      <c r="B20" s="270"/>
      <c r="C20" s="270"/>
      <c r="D20" s="271"/>
      <c r="E20" s="272"/>
      <c r="F20" s="272"/>
      <c r="G20" s="272"/>
      <c r="H20" s="272"/>
      <c r="I20" s="273"/>
      <c r="J20" s="273"/>
      <c r="K20" s="273"/>
      <c r="L20" s="388"/>
    </row>
    <row r="21" spans="1:12" ht="15.75" x14ac:dyDescent="0.2">
      <c r="A21" s="275"/>
      <c r="B21" s="276"/>
      <c r="C21" s="276"/>
      <c r="D21" s="277"/>
      <c r="E21" s="278"/>
      <c r="F21" s="279"/>
      <c r="G21" s="279"/>
      <c r="H21" s="278"/>
      <c r="I21" s="280"/>
      <c r="J21" s="280"/>
      <c r="K21" s="280"/>
      <c r="L21" s="389"/>
    </row>
    <row r="22" spans="1:12" s="274" customFormat="1" ht="16.5" thickBot="1" x14ac:dyDescent="0.25">
      <c r="A22" s="281"/>
      <c r="B22" s="282"/>
      <c r="C22" s="283"/>
      <c r="D22" s="284"/>
      <c r="E22" s="285"/>
      <c r="F22" s="286"/>
      <c r="G22" s="286"/>
      <c r="H22" s="285"/>
      <c r="I22" s="287"/>
      <c r="J22" s="287"/>
      <c r="K22" s="287"/>
      <c r="L22" s="390"/>
    </row>
    <row r="23" spans="1:12" s="289" customFormat="1" ht="16.5" thickBot="1" x14ac:dyDescent="0.25">
      <c r="A23" s="263" t="s">
        <v>257</v>
      </c>
      <c r="B23" s="264" t="s">
        <v>257</v>
      </c>
      <c r="C23" s="264" t="s">
        <v>257</v>
      </c>
      <c r="D23" s="288" t="s">
        <v>138</v>
      </c>
      <c r="E23" s="266">
        <f t="shared" ref="E23:K23" si="0">E19</f>
        <v>0</v>
      </c>
      <c r="F23" s="266">
        <f t="shared" si="0"/>
        <v>0</v>
      </c>
      <c r="G23" s="266">
        <f t="shared" si="0"/>
        <v>0</v>
      </c>
      <c r="H23" s="266">
        <f t="shared" si="0"/>
        <v>0</v>
      </c>
      <c r="I23" s="267">
        <f t="shared" si="0"/>
        <v>0</v>
      </c>
      <c r="J23" s="267">
        <f t="shared" si="0"/>
        <v>0</v>
      </c>
      <c r="K23" s="267">
        <f t="shared" si="0"/>
        <v>0</v>
      </c>
      <c r="L23" s="387">
        <f>I23</f>
        <v>0</v>
      </c>
    </row>
    <row r="24" spans="1:12" ht="15.75" x14ac:dyDescent="0.2">
      <c r="A24" s="290"/>
      <c r="B24" s="290"/>
      <c r="C24" s="290"/>
      <c r="D24" s="291"/>
      <c r="E24" s="290"/>
      <c r="F24" s="290"/>
      <c r="G24" s="290"/>
      <c r="H24" s="290"/>
      <c r="I24" s="290"/>
    </row>
    <row r="26" spans="1:12" s="293" customFormat="1" ht="28.9" customHeight="1" x14ac:dyDescent="0.2">
      <c r="A26" s="1200" t="s">
        <v>441</v>
      </c>
      <c r="B26" s="1200"/>
      <c r="C26" s="1200"/>
      <c r="D26" s="1200"/>
      <c r="E26" s="292"/>
      <c r="F26" s="292"/>
      <c r="G26" s="292" t="s">
        <v>413</v>
      </c>
      <c r="H26" s="292"/>
      <c r="I26" s="292"/>
    </row>
  </sheetData>
  <mergeCells count="20">
    <mergeCell ref="L16:L17"/>
    <mergeCell ref="C8:G8"/>
    <mergeCell ref="B9:H9"/>
    <mergeCell ref="A11:B11"/>
    <mergeCell ref="A14:A17"/>
    <mergeCell ref="B14:B17"/>
    <mergeCell ref="C14:C17"/>
    <mergeCell ref="D14:D17"/>
    <mergeCell ref="E14:L14"/>
    <mergeCell ref="E15:H15"/>
    <mergeCell ref="I15:L15"/>
    <mergeCell ref="G3:J3"/>
    <mergeCell ref="G5:H5"/>
    <mergeCell ref="G4:I4"/>
    <mergeCell ref="A26:D26"/>
    <mergeCell ref="E16:E17"/>
    <mergeCell ref="F16:G16"/>
    <mergeCell ref="H16:H17"/>
    <mergeCell ref="I16:I17"/>
    <mergeCell ref="J16:K16"/>
  </mergeCells>
  <pageMargins left="1.1811023622047245" right="0.39370078740157483" top="0.78740157480314965" bottom="0.78740157480314965" header="0.31496062992125984" footer="0.31496062992125984"/>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P74"/>
  <sheetViews>
    <sheetView view="pageBreakPreview" topLeftCell="A8" zoomScale="120" zoomScaleNormal="100" zoomScaleSheetLayoutView="120" workbookViewId="0">
      <selection activeCell="E20" sqref="E20"/>
    </sheetView>
  </sheetViews>
  <sheetFormatPr defaultRowHeight="12.75" x14ac:dyDescent="0.2"/>
  <cols>
    <col min="1" max="1" width="16" customWidth="1"/>
    <col min="2" max="2" width="20.7109375" customWidth="1"/>
    <col min="3" max="3" width="52.140625" customWidth="1"/>
    <col min="4" max="4" width="16.28515625" customWidth="1"/>
    <col min="5" max="5" width="15.5703125" customWidth="1"/>
    <col min="6" max="6" width="13.5703125" customWidth="1"/>
  </cols>
  <sheetData>
    <row r="1" spans="1:6" x14ac:dyDescent="0.2">
      <c r="C1" s="363"/>
    </row>
    <row r="2" spans="1:6" ht="15.75" x14ac:dyDescent="0.25">
      <c r="C2" s="363"/>
      <c r="D2" s="251" t="s">
        <v>440</v>
      </c>
    </row>
    <row r="3" spans="1:6" ht="15.75" x14ac:dyDescent="0.25">
      <c r="A3" s="5"/>
      <c r="B3" s="5"/>
      <c r="C3" s="5"/>
      <c r="D3" s="251" t="s">
        <v>459</v>
      </c>
      <c r="E3" s="5"/>
    </row>
    <row r="4" spans="1:6" ht="15.75" x14ac:dyDescent="0.25">
      <c r="A4" s="5"/>
      <c r="B4" s="5"/>
      <c r="C4" s="5"/>
      <c r="D4" s="1197" t="s">
        <v>653</v>
      </c>
      <c r="E4" s="1197"/>
      <c r="F4" s="1197"/>
    </row>
    <row r="5" spans="1:6" ht="15.75" x14ac:dyDescent="0.2">
      <c r="A5" s="5"/>
      <c r="B5" s="5"/>
      <c r="C5" s="5"/>
      <c r="D5" s="1199" t="s">
        <v>739</v>
      </c>
      <c r="E5" s="1199"/>
      <c r="F5" s="361"/>
    </row>
    <row r="6" spans="1:6" ht="15.75" x14ac:dyDescent="0.25">
      <c r="A6" s="5"/>
      <c r="B6" s="5"/>
      <c r="C6" s="5"/>
      <c r="D6" s="1198" t="s">
        <v>656</v>
      </c>
      <c r="E6" s="1198"/>
      <c r="F6" s="362"/>
    </row>
    <row r="7" spans="1:6" ht="15.75" x14ac:dyDescent="0.2">
      <c r="A7" s="5"/>
      <c r="B7" s="5"/>
      <c r="C7" s="121"/>
      <c r="D7" s="5"/>
      <c r="E7" s="5"/>
    </row>
    <row r="8" spans="1:6" ht="19.149999999999999" customHeight="1" x14ac:dyDescent="0.2">
      <c r="A8" s="5"/>
      <c r="B8" s="5"/>
      <c r="C8" s="5"/>
      <c r="D8" s="5"/>
      <c r="E8" s="5"/>
    </row>
    <row r="9" spans="1:6" ht="15.6" customHeight="1" x14ac:dyDescent="0.2">
      <c r="A9" s="5"/>
      <c r="B9" s="5"/>
      <c r="C9" s="5"/>
      <c r="D9" s="5"/>
      <c r="E9" s="5"/>
    </row>
    <row r="10" spans="1:6" ht="20.25" x14ac:dyDescent="0.3">
      <c r="A10" s="1159" t="s">
        <v>731</v>
      </c>
      <c r="B10" s="1160"/>
      <c r="C10" s="1160"/>
      <c r="D10" s="1160"/>
    </row>
    <row r="11" spans="1:6" ht="15.75" x14ac:dyDescent="0.25">
      <c r="A11" s="1143" t="s">
        <v>143</v>
      </c>
      <c r="B11" s="1227"/>
      <c r="C11" s="1227"/>
      <c r="D11" s="1227"/>
    </row>
    <row r="12" spans="1:6" ht="15.75" x14ac:dyDescent="0.25">
      <c r="A12" s="1227" t="s">
        <v>0</v>
      </c>
      <c r="B12" s="1227"/>
      <c r="C12" s="1227"/>
      <c r="D12" s="1227"/>
    </row>
    <row r="13" spans="1:6" ht="21.95" customHeight="1" x14ac:dyDescent="0.25">
      <c r="B13" s="1"/>
      <c r="C13" s="1"/>
      <c r="D13" s="1"/>
    </row>
    <row r="14" spans="1:6" ht="16.5" thickBot="1" x14ac:dyDescent="0.3">
      <c r="A14" s="567" t="s">
        <v>384</v>
      </c>
      <c r="B14" s="1"/>
      <c r="C14" s="1"/>
      <c r="D14" s="2" t="s">
        <v>235</v>
      </c>
    </row>
    <row r="15" spans="1:6" ht="61.15" customHeight="1" thickBot="1" x14ac:dyDescent="0.25">
      <c r="A15" s="343" t="s">
        <v>385</v>
      </c>
      <c r="B15" s="1228" t="s">
        <v>386</v>
      </c>
      <c r="C15" s="1229"/>
      <c r="D15" s="340" t="s">
        <v>615</v>
      </c>
      <c r="E15" s="341" t="s">
        <v>658</v>
      </c>
      <c r="F15" s="342" t="s">
        <v>405</v>
      </c>
    </row>
    <row r="16" spans="1:6" ht="15" x14ac:dyDescent="0.25">
      <c r="A16" s="676">
        <v>1</v>
      </c>
      <c r="B16" s="1230">
        <v>2</v>
      </c>
      <c r="C16" s="1231"/>
      <c r="D16" s="677">
        <v>3</v>
      </c>
      <c r="E16" s="678">
        <v>4</v>
      </c>
      <c r="F16" s="679">
        <v>5</v>
      </c>
    </row>
    <row r="17" spans="1:6" ht="15.75" x14ac:dyDescent="0.25">
      <c r="A17" s="1232" t="s">
        <v>437</v>
      </c>
      <c r="B17" s="1233"/>
      <c r="C17" s="1233"/>
      <c r="D17" s="1234"/>
      <c r="E17" s="337"/>
      <c r="F17" s="339"/>
    </row>
    <row r="18" spans="1:6" ht="76.900000000000006" hidden="1" customHeight="1" x14ac:dyDescent="0.25">
      <c r="A18" s="338">
        <v>41021400</v>
      </c>
      <c r="B18" s="1235" t="s">
        <v>346</v>
      </c>
      <c r="C18" s="1236"/>
      <c r="D18" s="345">
        <f>D19</f>
        <v>0</v>
      </c>
      <c r="E18" s="350">
        <f>E19</f>
        <v>0</v>
      </c>
      <c r="F18" s="354" t="e">
        <f>E18/D18*100</f>
        <v>#DIV/0!</v>
      </c>
    </row>
    <row r="19" spans="1:6" ht="22.9" hidden="1" customHeight="1" x14ac:dyDescent="0.25">
      <c r="A19" s="154" t="s">
        <v>387</v>
      </c>
      <c r="B19" s="1225" t="s">
        <v>388</v>
      </c>
      <c r="C19" s="1226"/>
      <c r="D19" s="333"/>
      <c r="E19" s="344"/>
      <c r="F19" s="354" t="e">
        <f t="shared" ref="F19:F41" si="0">E19/D19*100</f>
        <v>#DIV/0!</v>
      </c>
    </row>
    <row r="20" spans="1:6" ht="21.75" customHeight="1" x14ac:dyDescent="0.25">
      <c r="A20" s="152" t="s">
        <v>349</v>
      </c>
      <c r="B20" s="1237" t="s">
        <v>350</v>
      </c>
      <c r="C20" s="1238"/>
      <c r="D20" s="334">
        <f>D21</f>
        <v>77435200</v>
      </c>
      <c r="E20" s="350">
        <f>E21</f>
        <v>57678823.840000004</v>
      </c>
      <c r="F20" s="680">
        <f t="shared" si="0"/>
        <v>74.486569208835263</v>
      </c>
    </row>
    <row r="21" spans="1:6" ht="22.15" customHeight="1" x14ac:dyDescent="0.25">
      <c r="A21" s="154" t="s">
        <v>387</v>
      </c>
      <c r="B21" s="1225" t="s">
        <v>388</v>
      </c>
      <c r="C21" s="1226"/>
      <c r="D21" s="346">
        <v>77435200</v>
      </c>
      <c r="E21" s="344">
        <v>57678823.840000004</v>
      </c>
      <c r="F21" s="354">
        <f t="shared" si="0"/>
        <v>74.486569208835263</v>
      </c>
    </row>
    <row r="22" spans="1:6" ht="37.5" customHeight="1" x14ac:dyDescent="0.25">
      <c r="A22" s="152">
        <v>41035400</v>
      </c>
      <c r="B22" s="1237" t="s">
        <v>607</v>
      </c>
      <c r="C22" s="1238"/>
      <c r="D22" s="334">
        <f>D23</f>
        <v>480600</v>
      </c>
      <c r="E22" s="350">
        <f>E23</f>
        <v>279141.21999999997</v>
      </c>
      <c r="F22" s="680">
        <f>F23</f>
        <v>58.081818560133158</v>
      </c>
    </row>
    <row r="23" spans="1:6" ht="18.75" customHeight="1" x14ac:dyDescent="0.25">
      <c r="A23" s="154" t="s">
        <v>387</v>
      </c>
      <c r="B23" s="1225" t="s">
        <v>388</v>
      </c>
      <c r="C23" s="1226"/>
      <c r="D23" s="346">
        <v>480600</v>
      </c>
      <c r="E23" s="344">
        <v>279141.21999999997</v>
      </c>
      <c r="F23" s="354">
        <f t="shared" ref="F23" si="1">E23/D23*100</f>
        <v>58.081818560133158</v>
      </c>
    </row>
    <row r="24" spans="1:6" ht="51.75" customHeight="1" x14ac:dyDescent="0.25">
      <c r="A24" s="152">
        <v>41036000</v>
      </c>
      <c r="B24" s="1237" t="s">
        <v>608</v>
      </c>
      <c r="C24" s="1238"/>
      <c r="D24" s="334">
        <f>D25</f>
        <v>1352500</v>
      </c>
      <c r="E24" s="350">
        <f>E25</f>
        <v>0</v>
      </c>
      <c r="F24" s="680">
        <f>F25</f>
        <v>0</v>
      </c>
    </row>
    <row r="25" spans="1:6" ht="15.75" x14ac:dyDescent="0.25">
      <c r="A25" s="154" t="s">
        <v>387</v>
      </c>
      <c r="B25" s="1225" t="s">
        <v>388</v>
      </c>
      <c r="C25" s="1226"/>
      <c r="D25" s="346">
        <v>1352500</v>
      </c>
      <c r="E25" s="344">
        <v>0</v>
      </c>
      <c r="F25" s="354">
        <f t="shared" si="0"/>
        <v>0</v>
      </c>
    </row>
    <row r="26" spans="1:6" ht="46.5" customHeight="1" x14ac:dyDescent="0.25">
      <c r="A26" s="152">
        <v>41036300</v>
      </c>
      <c r="B26" s="1237" t="s">
        <v>609</v>
      </c>
      <c r="C26" s="1238"/>
      <c r="D26" s="334">
        <f>D27</f>
        <v>4055400</v>
      </c>
      <c r="E26" s="350">
        <f>E27</f>
        <v>4003328.35</v>
      </c>
      <c r="F26" s="680">
        <f>F27</f>
        <v>98.715992257237261</v>
      </c>
    </row>
    <row r="27" spans="1:6" ht="15.75" x14ac:dyDescent="0.25">
      <c r="A27" s="154" t="s">
        <v>387</v>
      </c>
      <c r="B27" s="1225" t="s">
        <v>388</v>
      </c>
      <c r="C27" s="1226"/>
      <c r="D27" s="346">
        <v>4055400</v>
      </c>
      <c r="E27" s="344">
        <v>4003328.35</v>
      </c>
      <c r="F27" s="354">
        <f t="shared" si="0"/>
        <v>98.715992257237261</v>
      </c>
    </row>
    <row r="28" spans="1:6" ht="33" hidden="1" customHeight="1" x14ac:dyDescent="0.25">
      <c r="A28" s="152">
        <v>41040400</v>
      </c>
      <c r="B28" s="1237" t="s">
        <v>611</v>
      </c>
      <c r="C28" s="1238"/>
      <c r="D28" s="334">
        <v>0</v>
      </c>
      <c r="E28" s="350">
        <f>E29</f>
        <v>0</v>
      </c>
      <c r="F28" s="680" t="str">
        <f>F29</f>
        <v>х</v>
      </c>
    </row>
    <row r="29" spans="1:6" ht="19.5" hidden="1" customHeight="1" x14ac:dyDescent="0.25">
      <c r="A29" s="157" t="s">
        <v>390</v>
      </c>
      <c r="B29" s="1241" t="s">
        <v>389</v>
      </c>
      <c r="C29" s="1242"/>
      <c r="D29" s="346">
        <v>0</v>
      </c>
      <c r="E29" s="344">
        <v>0</v>
      </c>
      <c r="F29" s="354" t="s">
        <v>257</v>
      </c>
    </row>
    <row r="30" spans="1:6" ht="39.6" customHeight="1" x14ac:dyDescent="0.25">
      <c r="A30" s="152" t="s">
        <v>351</v>
      </c>
      <c r="B30" s="1237" t="s">
        <v>352</v>
      </c>
      <c r="C30" s="1238"/>
      <c r="D30" s="334">
        <f>D31</f>
        <v>1773410</v>
      </c>
      <c r="E30" s="350">
        <f>E31</f>
        <v>1236843.8700000001</v>
      </c>
      <c r="F30" s="680">
        <f t="shared" si="0"/>
        <v>69.74381953411789</v>
      </c>
    </row>
    <row r="31" spans="1:6" ht="25.15" customHeight="1" x14ac:dyDescent="0.25">
      <c r="A31" s="154">
        <v>15100000000</v>
      </c>
      <c r="B31" s="1225" t="s">
        <v>389</v>
      </c>
      <c r="C31" s="1226"/>
      <c r="D31" s="346">
        <v>1773410</v>
      </c>
      <c r="E31" s="344">
        <v>1236843.8700000001</v>
      </c>
      <c r="F31" s="354">
        <f t="shared" si="0"/>
        <v>69.74381953411789</v>
      </c>
    </row>
    <row r="32" spans="1:6" s="156" customFormat="1" ht="52.5" customHeight="1" x14ac:dyDescent="0.25">
      <c r="A32" s="155">
        <v>41053900</v>
      </c>
      <c r="B32" s="1239" t="s">
        <v>353</v>
      </c>
      <c r="C32" s="1240"/>
      <c r="D32" s="347">
        <f>D33</f>
        <v>57773</v>
      </c>
      <c r="E32" s="350">
        <f>E33</f>
        <v>38341.85</v>
      </c>
      <c r="F32" s="1095">
        <f t="shared" si="0"/>
        <v>66.366382220068203</v>
      </c>
    </row>
    <row r="33" spans="1:6" s="156" customFormat="1" ht="15.75" x14ac:dyDescent="0.25">
      <c r="A33" s="157" t="s">
        <v>390</v>
      </c>
      <c r="B33" s="1243" t="s">
        <v>389</v>
      </c>
      <c r="C33" s="1244"/>
      <c r="D33" s="348">
        <v>57773</v>
      </c>
      <c r="E33" s="344">
        <v>38341.85</v>
      </c>
      <c r="F33" s="1096">
        <f t="shared" si="0"/>
        <v>66.366382220068203</v>
      </c>
    </row>
    <row r="34" spans="1:6" s="156" customFormat="1" ht="35.450000000000003" customHeight="1" x14ac:dyDescent="0.25">
      <c r="A34" s="155">
        <v>41053900</v>
      </c>
      <c r="B34" s="1239" t="s">
        <v>354</v>
      </c>
      <c r="C34" s="1240"/>
      <c r="D34" s="349">
        <f>D35</f>
        <v>164690</v>
      </c>
      <c r="E34" s="350">
        <f>E35</f>
        <v>36075</v>
      </c>
      <c r="F34" s="1095">
        <f t="shared" si="0"/>
        <v>21.904790819114702</v>
      </c>
    </row>
    <row r="35" spans="1:6" s="156" customFormat="1" ht="18.600000000000001" customHeight="1" x14ac:dyDescent="0.25">
      <c r="A35" s="157" t="s">
        <v>390</v>
      </c>
      <c r="B35" s="1241" t="s">
        <v>389</v>
      </c>
      <c r="C35" s="1242"/>
      <c r="D35" s="348">
        <v>164690</v>
      </c>
      <c r="E35" s="344">
        <v>36075</v>
      </c>
      <c r="F35" s="1096">
        <f t="shared" si="0"/>
        <v>21.904790819114702</v>
      </c>
    </row>
    <row r="36" spans="1:6" s="156" customFormat="1" ht="52.9" customHeight="1" x14ac:dyDescent="0.25">
      <c r="A36" s="155">
        <v>41053900</v>
      </c>
      <c r="B36" s="1239" t="s">
        <v>355</v>
      </c>
      <c r="C36" s="1240"/>
      <c r="D36" s="349">
        <f>D37</f>
        <v>17623</v>
      </c>
      <c r="E36" s="350">
        <f>E37</f>
        <v>6705.3</v>
      </c>
      <c r="F36" s="1095">
        <f t="shared" si="0"/>
        <v>38.048572887703571</v>
      </c>
    </row>
    <row r="37" spans="1:6" s="156" customFormat="1" ht="15.75" x14ac:dyDescent="0.25">
      <c r="A37" s="157" t="s">
        <v>390</v>
      </c>
      <c r="B37" s="1243" t="s">
        <v>389</v>
      </c>
      <c r="C37" s="1244"/>
      <c r="D37" s="681">
        <v>17623</v>
      </c>
      <c r="E37" s="344">
        <v>6705.3</v>
      </c>
      <c r="F37" s="1095">
        <f t="shared" si="0"/>
        <v>38.048572887703571</v>
      </c>
    </row>
    <row r="38" spans="1:6" s="156" customFormat="1" ht="84" customHeight="1" x14ac:dyDescent="0.25">
      <c r="A38" s="682" t="s">
        <v>616</v>
      </c>
      <c r="B38" s="1245" t="s">
        <v>617</v>
      </c>
      <c r="C38" s="1246"/>
      <c r="D38" s="683">
        <f>D39</f>
        <v>295047</v>
      </c>
      <c r="E38" s="350">
        <f>E39</f>
        <v>0</v>
      </c>
      <c r="F38" s="684">
        <f t="shared" si="0"/>
        <v>0</v>
      </c>
    </row>
    <row r="39" spans="1:6" s="156" customFormat="1" ht="15.75" x14ac:dyDescent="0.25">
      <c r="A39" s="157" t="s">
        <v>390</v>
      </c>
      <c r="B39" s="1243" t="s">
        <v>389</v>
      </c>
      <c r="C39" s="1244"/>
      <c r="D39" s="1093">
        <v>295047</v>
      </c>
      <c r="E39" s="1366">
        <v>0</v>
      </c>
      <c r="F39" s="1094">
        <f t="shared" si="0"/>
        <v>0</v>
      </c>
    </row>
    <row r="40" spans="1:6" s="156" customFormat="1" ht="59.25" customHeight="1" x14ac:dyDescent="0.25">
      <c r="A40" s="1118" t="s">
        <v>732</v>
      </c>
      <c r="B40" s="1259" t="s">
        <v>623</v>
      </c>
      <c r="C40" s="1260"/>
      <c r="D40" s="1097">
        <f>D41</f>
        <v>79056</v>
      </c>
      <c r="E40" s="350">
        <f>E41</f>
        <v>11712</v>
      </c>
      <c r="F40" s="1109">
        <f t="shared" si="0"/>
        <v>14.814814814814813</v>
      </c>
    </row>
    <row r="41" spans="1:6" s="156" customFormat="1" ht="15.75" x14ac:dyDescent="0.25">
      <c r="A41" s="157" t="s">
        <v>390</v>
      </c>
      <c r="B41" s="1243" t="s">
        <v>389</v>
      </c>
      <c r="C41" s="1244"/>
      <c r="D41" s="681">
        <v>79056</v>
      </c>
      <c r="E41" s="344">
        <v>11712</v>
      </c>
      <c r="F41" s="1110">
        <f t="shared" si="0"/>
        <v>14.814814814814813</v>
      </c>
    </row>
    <row r="42" spans="1:6" s="156" customFormat="1" ht="62.25" customHeight="1" x14ac:dyDescent="0.25">
      <c r="A42" s="1118" t="s">
        <v>733</v>
      </c>
      <c r="B42" s="1259" t="s">
        <v>624</v>
      </c>
      <c r="C42" s="1260"/>
      <c r="D42" s="1097">
        <f>D43</f>
        <v>1250000</v>
      </c>
      <c r="E42" s="350">
        <f>E43</f>
        <v>0</v>
      </c>
      <c r="F42" s="1109">
        <f t="shared" ref="F42:F43" si="2">E42/D42*100</f>
        <v>0</v>
      </c>
    </row>
    <row r="43" spans="1:6" s="156" customFormat="1" ht="16.5" customHeight="1" x14ac:dyDescent="0.25">
      <c r="A43" s="157" t="s">
        <v>390</v>
      </c>
      <c r="B43" s="1243" t="s">
        <v>389</v>
      </c>
      <c r="C43" s="1244"/>
      <c r="D43" s="681">
        <v>1250000</v>
      </c>
      <c r="E43" s="344">
        <v>0</v>
      </c>
      <c r="F43" s="1110">
        <f t="shared" si="2"/>
        <v>0</v>
      </c>
    </row>
    <row r="44" spans="1:6" ht="16.5" thickBot="1" x14ac:dyDescent="0.25">
      <c r="A44" s="1251"/>
      <c r="B44" s="1252"/>
      <c r="C44" s="1252"/>
      <c r="D44" s="1252"/>
      <c r="E44" s="1252"/>
      <c r="F44" s="1253"/>
    </row>
    <row r="45" spans="1:6" ht="16.5" thickBot="1" x14ac:dyDescent="0.3">
      <c r="A45" s="1254" t="s">
        <v>438</v>
      </c>
      <c r="B45" s="1255"/>
      <c r="C45" s="1255"/>
      <c r="D45" s="1256"/>
      <c r="E45" s="1116"/>
      <c r="F45" s="1117"/>
    </row>
    <row r="46" spans="1:6" s="158" customFormat="1" ht="28.5" customHeight="1" x14ac:dyDescent="0.25">
      <c r="A46" s="1113">
        <v>41033900</v>
      </c>
      <c r="B46" s="1257" t="s">
        <v>350</v>
      </c>
      <c r="C46" s="1258"/>
      <c r="D46" s="1114">
        <f>D47</f>
        <v>2511700</v>
      </c>
      <c r="E46" s="1123">
        <f>E47</f>
        <v>374211.47</v>
      </c>
      <c r="F46" s="1115">
        <f t="shared" ref="F46:F49" si="3">E46/D46*100</f>
        <v>14.898732730819763</v>
      </c>
    </row>
    <row r="47" spans="1:6" s="158" customFormat="1" ht="18.75" customHeight="1" x14ac:dyDescent="0.25">
      <c r="A47" s="157" t="s">
        <v>390</v>
      </c>
      <c r="B47" s="1243" t="s">
        <v>389</v>
      </c>
      <c r="C47" s="1244"/>
      <c r="D47" s="1119">
        <v>2511700</v>
      </c>
      <c r="E47" s="344">
        <v>374211.47</v>
      </c>
      <c r="F47" s="354">
        <f t="shared" si="3"/>
        <v>14.898732730819763</v>
      </c>
    </row>
    <row r="48" spans="1:6" s="158" customFormat="1" ht="57.75" customHeight="1" x14ac:dyDescent="0.25">
      <c r="A48" s="1113">
        <v>41037400</v>
      </c>
      <c r="B48" s="1257" t="s">
        <v>730</v>
      </c>
      <c r="C48" s="1258"/>
      <c r="D48" s="1114">
        <f>D49</f>
        <v>690400</v>
      </c>
      <c r="E48" s="1123">
        <f>E49</f>
        <v>146276.60999999999</v>
      </c>
      <c r="F48" s="1115">
        <f t="shared" si="3"/>
        <v>21.187226245654692</v>
      </c>
    </row>
    <row r="49" spans="1:15" s="158" customFormat="1" ht="18.75" customHeight="1" x14ac:dyDescent="0.25">
      <c r="A49" s="157" t="s">
        <v>390</v>
      </c>
      <c r="B49" s="1243" t="s">
        <v>389</v>
      </c>
      <c r="C49" s="1244"/>
      <c r="D49" s="1119">
        <v>690400</v>
      </c>
      <c r="E49" s="344">
        <v>146276.60999999999</v>
      </c>
      <c r="F49" s="354">
        <f t="shared" si="3"/>
        <v>21.187226245654692</v>
      </c>
    </row>
    <row r="50" spans="1:15" ht="15.75" x14ac:dyDescent="0.25">
      <c r="A50" s="1120" t="s">
        <v>6</v>
      </c>
      <c r="B50" s="1121" t="s">
        <v>391</v>
      </c>
      <c r="C50" s="1122"/>
      <c r="D50" s="1123">
        <f>D51+D52</f>
        <v>90163399</v>
      </c>
      <c r="E50" s="1123">
        <f>E51+E52</f>
        <v>63811459.509999998</v>
      </c>
      <c r="F50" s="1124">
        <f t="shared" ref="F50:F52" si="4">E50/D50*100</f>
        <v>70.773129914944761</v>
      </c>
    </row>
    <row r="51" spans="1:15" ht="15.75" x14ac:dyDescent="0.25">
      <c r="A51" s="332" t="s">
        <v>6</v>
      </c>
      <c r="B51" s="159" t="s">
        <v>381</v>
      </c>
      <c r="C51" s="153"/>
      <c r="D51" s="350">
        <f>D18+D20+D30+D32+D34+D36+D38+D28+D26+D24+D22+D40+D42</f>
        <v>86961299</v>
      </c>
      <c r="E51" s="350">
        <f>E18+E20+E30+E32+E34+E36+E38+E28+E26+E24+E22+E40+E42</f>
        <v>63290971.43</v>
      </c>
      <c r="F51" s="354">
        <f t="shared" si="4"/>
        <v>72.780618686480295</v>
      </c>
    </row>
    <row r="52" spans="1:15" ht="16.5" thickBot="1" x14ac:dyDescent="0.3">
      <c r="A52" s="351" t="s">
        <v>6</v>
      </c>
      <c r="B52" s="168" t="s">
        <v>382</v>
      </c>
      <c r="C52" s="352"/>
      <c r="D52" s="1099">
        <f>D46+D48</f>
        <v>3202100</v>
      </c>
      <c r="E52" s="353">
        <f>E46+E48</f>
        <v>520488.07999999996</v>
      </c>
      <c r="F52" s="354">
        <f t="shared" si="4"/>
        <v>16.254585428312669</v>
      </c>
      <c r="J52" s="690"/>
      <c r="K52" s="690"/>
      <c r="L52" s="690"/>
      <c r="M52" s="690"/>
      <c r="N52" s="690"/>
      <c r="O52" s="690"/>
    </row>
    <row r="53" spans="1:15" ht="21.95" customHeight="1" thickBot="1" x14ac:dyDescent="0.3">
      <c r="A53" s="160" t="s">
        <v>392</v>
      </c>
      <c r="B53" s="1111"/>
      <c r="C53" s="1111"/>
      <c r="D53" s="1112" t="s">
        <v>235</v>
      </c>
      <c r="E53" s="933"/>
      <c r="F53" s="934"/>
      <c r="J53" s="690"/>
      <c r="K53" s="690"/>
      <c r="L53" s="690"/>
      <c r="M53" s="690"/>
      <c r="N53" s="690"/>
      <c r="O53" s="690"/>
    </row>
    <row r="54" spans="1:15" ht="126.75" thickBot="1" x14ac:dyDescent="0.25">
      <c r="A54" s="952" t="s">
        <v>393</v>
      </c>
      <c r="B54" s="953" t="s">
        <v>394</v>
      </c>
      <c r="C54" s="954" t="s">
        <v>395</v>
      </c>
      <c r="D54" s="340" t="s">
        <v>615</v>
      </c>
      <c r="E54" s="341" t="s">
        <v>658</v>
      </c>
      <c r="F54" s="342" t="s">
        <v>405</v>
      </c>
      <c r="J54" s="691"/>
      <c r="K54" s="691"/>
      <c r="L54" s="692"/>
      <c r="M54" s="693"/>
      <c r="N54" s="690"/>
      <c r="O54" s="690"/>
    </row>
    <row r="55" spans="1:15" ht="15.75" x14ac:dyDescent="0.2">
      <c r="A55" s="947">
        <v>1</v>
      </c>
      <c r="B55" s="948">
        <v>2</v>
      </c>
      <c r="C55" s="948">
        <v>3</v>
      </c>
      <c r="D55" s="949">
        <v>4</v>
      </c>
      <c r="E55" s="950"/>
      <c r="F55" s="951"/>
      <c r="J55" s="694"/>
      <c r="K55" s="694"/>
      <c r="L55" s="695"/>
      <c r="M55" s="696"/>
      <c r="N55" s="690"/>
      <c r="O55" s="690"/>
    </row>
    <row r="56" spans="1:15" ht="15.75" customHeight="1" x14ac:dyDescent="0.25">
      <c r="A56" s="1247" t="s">
        <v>396</v>
      </c>
      <c r="B56" s="1248"/>
      <c r="C56" s="1249"/>
      <c r="D56" s="350"/>
      <c r="E56" s="337"/>
      <c r="F56" s="339"/>
      <c r="J56" s="690"/>
      <c r="K56" s="690"/>
      <c r="L56" s="690"/>
      <c r="M56" s="690"/>
      <c r="N56" s="690"/>
      <c r="O56" s="690"/>
    </row>
    <row r="57" spans="1:15" ht="15.75" x14ac:dyDescent="0.25">
      <c r="A57" s="685" t="s">
        <v>527</v>
      </c>
      <c r="B57" s="161">
        <v>9770</v>
      </c>
      <c r="C57" s="162" t="s">
        <v>397</v>
      </c>
      <c r="D57" s="350">
        <f>D58</f>
        <v>30000000</v>
      </c>
      <c r="E57" s="350">
        <f>E58</f>
        <v>30000000</v>
      </c>
      <c r="F57" s="1102">
        <f t="shared" ref="F57:F70" si="5">E57/D57*100</f>
        <v>100</v>
      </c>
      <c r="J57" s="690"/>
      <c r="K57" s="690"/>
      <c r="L57" s="690"/>
      <c r="M57" s="690"/>
      <c r="N57" s="690"/>
      <c r="O57" s="690"/>
    </row>
    <row r="58" spans="1:15" ht="19.899999999999999" customHeight="1" x14ac:dyDescent="0.25">
      <c r="A58" s="157" t="s">
        <v>390</v>
      </c>
      <c r="B58" s="331">
        <v>9770</v>
      </c>
      <c r="C58" s="163" t="s">
        <v>389</v>
      </c>
      <c r="D58" s="701">
        <f>0+30000000</f>
        <v>30000000</v>
      </c>
      <c r="E58" s="701">
        <f>30000000</f>
        <v>30000000</v>
      </c>
      <c r="F58" s="1103">
        <f t="shared" si="5"/>
        <v>100</v>
      </c>
      <c r="J58" s="690"/>
      <c r="K58" s="690"/>
      <c r="L58" s="690"/>
      <c r="M58" s="690"/>
      <c r="N58" s="690"/>
      <c r="O58" s="690"/>
    </row>
    <row r="59" spans="1:15" ht="19.899999999999999" customHeight="1" x14ac:dyDescent="0.25">
      <c r="A59" s="685" t="s">
        <v>645</v>
      </c>
      <c r="B59" s="161">
        <v>9770</v>
      </c>
      <c r="C59" s="162" t="s">
        <v>397</v>
      </c>
      <c r="D59" s="700">
        <f>D60</f>
        <v>21363</v>
      </c>
      <c r="E59" s="700">
        <f>E60</f>
        <v>21363</v>
      </c>
      <c r="F59" s="1104">
        <f t="shared" si="5"/>
        <v>100</v>
      </c>
      <c r="J59" s="690"/>
      <c r="K59" s="690"/>
      <c r="L59" s="690"/>
      <c r="M59" s="690"/>
      <c r="N59" s="690"/>
      <c r="O59" s="690"/>
    </row>
    <row r="60" spans="1:15" ht="19.899999999999999" customHeight="1" x14ac:dyDescent="0.25">
      <c r="A60" s="157" t="s">
        <v>390</v>
      </c>
      <c r="B60" s="331">
        <v>9770</v>
      </c>
      <c r="C60" s="163" t="s">
        <v>389</v>
      </c>
      <c r="D60" s="701">
        <v>21363</v>
      </c>
      <c r="E60" s="701">
        <v>21363</v>
      </c>
      <c r="F60" s="1103">
        <f t="shared" si="5"/>
        <v>100</v>
      </c>
      <c r="J60" s="690"/>
      <c r="K60" s="690"/>
      <c r="L60" s="690"/>
      <c r="M60" s="690"/>
      <c r="N60" s="690"/>
      <c r="O60" s="690"/>
    </row>
    <row r="61" spans="1:15" ht="19.899999999999999" customHeight="1" x14ac:dyDescent="0.2">
      <c r="A61" s="935" t="s">
        <v>618</v>
      </c>
      <c r="B61" s="686" t="s">
        <v>619</v>
      </c>
      <c r="C61" s="687" t="s">
        <v>547</v>
      </c>
      <c r="D61" s="700">
        <f>D62</f>
        <v>56019300</v>
      </c>
      <c r="E61" s="700">
        <f>E62</f>
        <v>42014700</v>
      </c>
      <c r="F61" s="1104">
        <f t="shared" si="5"/>
        <v>75.000401647289422</v>
      </c>
      <c r="J61" s="690"/>
      <c r="K61" s="690"/>
      <c r="L61" s="690"/>
      <c r="M61" s="690"/>
      <c r="N61" s="690"/>
      <c r="O61" s="690"/>
    </row>
    <row r="62" spans="1:15" ht="19.899999999999999" customHeight="1" x14ac:dyDescent="0.2">
      <c r="A62" s="936" t="s">
        <v>387</v>
      </c>
      <c r="B62" s="688" t="s">
        <v>619</v>
      </c>
      <c r="C62" s="689" t="s">
        <v>388</v>
      </c>
      <c r="D62" s="701">
        <v>56019300</v>
      </c>
      <c r="E62" s="701">
        <v>42014700</v>
      </c>
      <c r="F62" s="1103">
        <f t="shared" si="5"/>
        <v>75.000401647289422</v>
      </c>
      <c r="J62" s="690"/>
      <c r="K62" s="690"/>
      <c r="L62" s="690"/>
      <c r="M62" s="690"/>
      <c r="N62" s="690"/>
      <c r="O62" s="690"/>
    </row>
    <row r="63" spans="1:15" ht="20.100000000000001" customHeight="1" x14ac:dyDescent="0.25">
      <c r="A63" s="1247" t="s">
        <v>398</v>
      </c>
      <c r="B63" s="1248"/>
      <c r="C63" s="1248"/>
      <c r="D63" s="1249"/>
      <c r="E63" s="337"/>
      <c r="F63" s="339"/>
    </row>
    <row r="64" spans="1:15" ht="53.25" customHeight="1" x14ac:dyDescent="0.25">
      <c r="A64" s="937" t="s">
        <v>629</v>
      </c>
      <c r="B64" s="165">
        <v>9800</v>
      </c>
      <c r="C64" s="687" t="s">
        <v>622</v>
      </c>
      <c r="D64" s="350">
        <f>D65</f>
        <v>17756280</v>
      </c>
      <c r="E64" s="350">
        <f>E65</f>
        <v>12756280</v>
      </c>
      <c r="F64" s="699">
        <f t="shared" si="5"/>
        <v>71.84094866717578</v>
      </c>
    </row>
    <row r="65" spans="1:16" ht="20.100000000000001" customHeight="1" x14ac:dyDescent="0.25">
      <c r="A65" s="938">
        <v>99000000000</v>
      </c>
      <c r="B65" s="930">
        <v>9800</v>
      </c>
      <c r="C65" s="931" t="s">
        <v>388</v>
      </c>
      <c r="D65" s="344">
        <v>17756280</v>
      </c>
      <c r="E65" s="344">
        <v>12756280</v>
      </c>
      <c r="F65" s="1098">
        <f t="shared" si="5"/>
        <v>71.84094866717578</v>
      </c>
    </row>
    <row r="66" spans="1:16" ht="45" customHeight="1" x14ac:dyDescent="0.25">
      <c r="A66" s="937" t="s">
        <v>625</v>
      </c>
      <c r="B66" s="165">
        <v>9750</v>
      </c>
      <c r="C66" s="687" t="s">
        <v>626</v>
      </c>
      <c r="D66" s="350">
        <f>D67</f>
        <v>2000000</v>
      </c>
      <c r="E66" s="350">
        <f>E67</f>
        <v>2000000</v>
      </c>
      <c r="F66" s="699">
        <f t="shared" si="5"/>
        <v>100</v>
      </c>
    </row>
    <row r="67" spans="1:16" ht="27.75" customHeight="1" x14ac:dyDescent="0.25">
      <c r="A67" s="157" t="s">
        <v>390</v>
      </c>
      <c r="B67" s="331">
        <v>9750</v>
      </c>
      <c r="C67" s="932" t="s">
        <v>389</v>
      </c>
      <c r="D67" s="346">
        <v>2000000</v>
      </c>
      <c r="E67" s="344">
        <v>2000000</v>
      </c>
      <c r="F67" s="1098">
        <f t="shared" si="5"/>
        <v>100</v>
      </c>
    </row>
    <row r="68" spans="1:16" ht="15.75" x14ac:dyDescent="0.25">
      <c r="A68" s="164" t="s">
        <v>6</v>
      </c>
      <c r="B68" s="165" t="s">
        <v>6</v>
      </c>
      <c r="C68" s="159" t="s">
        <v>391</v>
      </c>
      <c r="D68" s="335">
        <f>D69+D70</f>
        <v>105796943</v>
      </c>
      <c r="E68" s="698">
        <f>E69+E70</f>
        <v>86792343</v>
      </c>
      <c r="F68" s="699">
        <f t="shared" si="5"/>
        <v>82.036721042119325</v>
      </c>
    </row>
    <row r="69" spans="1:16" ht="15.75" x14ac:dyDescent="0.25">
      <c r="A69" s="164" t="s">
        <v>6</v>
      </c>
      <c r="B69" s="165" t="s">
        <v>6</v>
      </c>
      <c r="C69" s="159" t="s">
        <v>381</v>
      </c>
      <c r="D69" s="336">
        <f>D57+D59+D61</f>
        <v>86040663</v>
      </c>
      <c r="E69" s="336">
        <f>E57+E59+E61</f>
        <v>72036063</v>
      </c>
      <c r="F69" s="699">
        <f t="shared" si="5"/>
        <v>83.72327744615356</v>
      </c>
    </row>
    <row r="70" spans="1:16" ht="16.5" thickBot="1" x14ac:dyDescent="0.3">
      <c r="A70" s="166" t="s">
        <v>6</v>
      </c>
      <c r="B70" s="167" t="s">
        <v>6</v>
      </c>
      <c r="C70" s="168" t="s">
        <v>382</v>
      </c>
      <c r="D70" s="697">
        <f>D64+D66</f>
        <v>19756280</v>
      </c>
      <c r="E70" s="697">
        <f>E64+E66</f>
        <v>14756280</v>
      </c>
      <c r="F70" s="939">
        <f t="shared" si="5"/>
        <v>74.691591736905934</v>
      </c>
    </row>
    <row r="71" spans="1:16" ht="15.75" x14ac:dyDescent="0.25">
      <c r="A71" s="1"/>
      <c r="B71" s="1"/>
      <c r="C71" s="1"/>
      <c r="D71" s="1"/>
    </row>
    <row r="72" spans="1:16" s="73" customFormat="1" ht="42.6" customHeight="1" x14ac:dyDescent="0.25">
      <c r="A72" s="1250" t="s">
        <v>442</v>
      </c>
      <c r="B72" s="1250"/>
      <c r="C72" s="1250"/>
      <c r="D72" s="1250"/>
      <c r="E72" s="1250"/>
      <c r="F72" s="1250"/>
      <c r="G72" s="169"/>
      <c r="H72" s="169"/>
      <c r="I72" s="169"/>
      <c r="K72" s="169"/>
      <c r="L72" s="170"/>
      <c r="M72" s="169"/>
      <c r="N72" s="171"/>
      <c r="O72" s="172"/>
      <c r="P72" s="173"/>
    </row>
    <row r="73" spans="1:16" s="176" customFormat="1" ht="20.45" customHeight="1" x14ac:dyDescent="0.3">
      <c r="A73" s="174"/>
      <c r="B73" s="175"/>
      <c r="C73" s="1"/>
      <c r="D73" s="175"/>
    </row>
    <row r="74" spans="1:16" ht="15.75" x14ac:dyDescent="0.25">
      <c r="A74" s="1"/>
      <c r="B74" s="1"/>
      <c r="D74" s="1"/>
    </row>
  </sheetData>
  <mergeCells count="44">
    <mergeCell ref="A56:C56"/>
    <mergeCell ref="A63:D63"/>
    <mergeCell ref="A72:F72"/>
    <mergeCell ref="B39:C39"/>
    <mergeCell ref="A44:F44"/>
    <mergeCell ref="A45:D45"/>
    <mergeCell ref="B46:C46"/>
    <mergeCell ref="B47:C47"/>
    <mergeCell ref="B40:C40"/>
    <mergeCell ref="B41:C41"/>
    <mergeCell ref="B42:C42"/>
    <mergeCell ref="B43:C43"/>
    <mergeCell ref="B48:C48"/>
    <mergeCell ref="B49:C49"/>
    <mergeCell ref="B38:C38"/>
    <mergeCell ref="B33:C33"/>
    <mergeCell ref="B32:C32"/>
    <mergeCell ref="B26:C26"/>
    <mergeCell ref="B27:C27"/>
    <mergeCell ref="B28:C28"/>
    <mergeCell ref="B29:C29"/>
    <mergeCell ref="B30:C30"/>
    <mergeCell ref="B31:C31"/>
    <mergeCell ref="B22:C22"/>
    <mergeCell ref="B34:C34"/>
    <mergeCell ref="B35:C35"/>
    <mergeCell ref="B36:C36"/>
    <mergeCell ref="B37:C37"/>
    <mergeCell ref="D4:F4"/>
    <mergeCell ref="D6:E6"/>
    <mergeCell ref="D5:E5"/>
    <mergeCell ref="B25:C25"/>
    <mergeCell ref="A10:D10"/>
    <mergeCell ref="A11:D11"/>
    <mergeCell ref="A12:D12"/>
    <mergeCell ref="B15:C15"/>
    <mergeCell ref="B16:C16"/>
    <mergeCell ref="A17:D17"/>
    <mergeCell ref="B18:C18"/>
    <mergeCell ref="B19:C19"/>
    <mergeCell ref="B23:C23"/>
    <mergeCell ref="B24:C24"/>
    <mergeCell ref="B20:C20"/>
    <mergeCell ref="B21:C21"/>
  </mergeCells>
  <pageMargins left="1.1811023622047245" right="0.39370078740157483" top="0.78740157480314965" bottom="0.78740157480314965"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U30"/>
  <sheetViews>
    <sheetView view="pageBreakPreview" zoomScale="60" zoomScaleNormal="50" workbookViewId="0">
      <selection activeCell="O19" sqref="O19"/>
    </sheetView>
  </sheetViews>
  <sheetFormatPr defaultColWidth="9.28515625" defaultRowHeight="15" x14ac:dyDescent="0.25"/>
  <cols>
    <col min="1" max="1" width="14.5703125" style="62" customWidth="1"/>
    <col min="2" max="2" width="17" style="63" customWidth="1"/>
    <col min="3" max="3" width="16.5703125" style="64" customWidth="1"/>
    <col min="4" max="4" width="44" style="65" customWidth="1"/>
    <col min="5" max="5" width="33.28515625" style="66" customWidth="1"/>
    <col min="6" max="6" width="22.28515625" style="64" customWidth="1"/>
    <col min="7" max="7" width="20.140625" style="120" customWidth="1"/>
    <col min="8" max="8" width="22.28515625" style="120" customWidth="1"/>
    <col min="9" max="9" width="21.85546875" style="120" customWidth="1"/>
    <col min="10" max="10" width="20.7109375" style="120" customWidth="1"/>
    <col min="11" max="11" width="22" style="68" customWidth="1"/>
    <col min="12" max="12" width="9.28515625" style="62"/>
    <col min="13" max="13" width="16.85546875" style="62" bestFit="1" customWidth="1"/>
    <col min="14" max="14" width="9.28515625" style="62"/>
    <col min="15" max="15" width="13.7109375" style="62" bestFit="1" customWidth="1"/>
    <col min="16" max="256" width="9.28515625" style="62"/>
    <col min="257" max="257" width="15" style="62" customWidth="1"/>
    <col min="258" max="258" width="12.7109375" style="62" customWidth="1"/>
    <col min="259" max="259" width="11.7109375" style="62" customWidth="1"/>
    <col min="260" max="260" width="44.85546875" style="62" customWidth="1"/>
    <col min="261" max="261" width="54.7109375" style="62" customWidth="1"/>
    <col min="262" max="262" width="15.28515625" style="62" customWidth="1"/>
    <col min="263" max="264" width="19.28515625" style="62" customWidth="1"/>
    <col min="265" max="265" width="13.85546875" style="62" customWidth="1"/>
    <col min="266" max="266" width="25.28515625" style="62" customWidth="1"/>
    <col min="267" max="267" width="16.28515625" style="62" customWidth="1"/>
    <col min="268" max="512" width="9.28515625" style="62"/>
    <col min="513" max="513" width="15" style="62" customWidth="1"/>
    <col min="514" max="514" width="12.7109375" style="62" customWidth="1"/>
    <col min="515" max="515" width="11.7109375" style="62" customWidth="1"/>
    <col min="516" max="516" width="44.85546875" style="62" customWidth="1"/>
    <col min="517" max="517" width="54.7109375" style="62" customWidth="1"/>
    <col min="518" max="518" width="15.28515625" style="62" customWidth="1"/>
    <col min="519" max="520" width="19.28515625" style="62" customWidth="1"/>
    <col min="521" max="521" width="13.85546875" style="62" customWidth="1"/>
    <col min="522" max="522" width="25.28515625" style="62" customWidth="1"/>
    <col min="523" max="523" width="16.28515625" style="62" customWidth="1"/>
    <col min="524" max="768" width="9.28515625" style="62"/>
    <col min="769" max="769" width="15" style="62" customWidth="1"/>
    <col min="770" max="770" width="12.7109375" style="62" customWidth="1"/>
    <col min="771" max="771" width="11.7109375" style="62" customWidth="1"/>
    <col min="772" max="772" width="44.85546875" style="62" customWidth="1"/>
    <col min="773" max="773" width="54.7109375" style="62" customWidth="1"/>
    <col min="774" max="774" width="15.28515625" style="62" customWidth="1"/>
    <col min="775" max="776" width="19.28515625" style="62" customWidth="1"/>
    <col min="777" max="777" width="13.85546875" style="62" customWidth="1"/>
    <col min="778" max="778" width="25.28515625" style="62" customWidth="1"/>
    <col min="779" max="779" width="16.28515625" style="62" customWidth="1"/>
    <col min="780" max="1024" width="9.28515625" style="62"/>
    <col min="1025" max="1025" width="15" style="62" customWidth="1"/>
    <col min="1026" max="1026" width="12.7109375" style="62" customWidth="1"/>
    <col min="1027" max="1027" width="11.7109375" style="62" customWidth="1"/>
    <col min="1028" max="1028" width="44.85546875" style="62" customWidth="1"/>
    <col min="1029" max="1029" width="54.7109375" style="62" customWidth="1"/>
    <col min="1030" max="1030" width="15.28515625" style="62" customWidth="1"/>
    <col min="1031" max="1032" width="19.28515625" style="62" customWidth="1"/>
    <col min="1033" max="1033" width="13.85546875" style="62" customWidth="1"/>
    <col min="1034" max="1034" width="25.28515625" style="62" customWidth="1"/>
    <col min="1035" max="1035" width="16.28515625" style="62" customWidth="1"/>
    <col min="1036" max="1280" width="9.28515625" style="62"/>
    <col min="1281" max="1281" width="15" style="62" customWidth="1"/>
    <col min="1282" max="1282" width="12.7109375" style="62" customWidth="1"/>
    <col min="1283" max="1283" width="11.7109375" style="62" customWidth="1"/>
    <col min="1284" max="1284" width="44.85546875" style="62" customWidth="1"/>
    <col min="1285" max="1285" width="54.7109375" style="62" customWidth="1"/>
    <col min="1286" max="1286" width="15.28515625" style="62" customWidth="1"/>
    <col min="1287" max="1288" width="19.28515625" style="62" customWidth="1"/>
    <col min="1289" max="1289" width="13.85546875" style="62" customWidth="1"/>
    <col min="1290" max="1290" width="25.28515625" style="62" customWidth="1"/>
    <col min="1291" max="1291" width="16.28515625" style="62" customWidth="1"/>
    <col min="1292" max="1536" width="9.28515625" style="62"/>
    <col min="1537" max="1537" width="15" style="62" customWidth="1"/>
    <col min="1538" max="1538" width="12.7109375" style="62" customWidth="1"/>
    <col min="1539" max="1539" width="11.7109375" style="62" customWidth="1"/>
    <col min="1540" max="1540" width="44.85546875" style="62" customWidth="1"/>
    <col min="1541" max="1541" width="54.7109375" style="62" customWidth="1"/>
    <col min="1542" max="1542" width="15.28515625" style="62" customWidth="1"/>
    <col min="1543" max="1544" width="19.28515625" style="62" customWidth="1"/>
    <col min="1545" max="1545" width="13.85546875" style="62" customWidth="1"/>
    <col min="1546" max="1546" width="25.28515625" style="62" customWidth="1"/>
    <col min="1547" max="1547" width="16.28515625" style="62" customWidth="1"/>
    <col min="1548" max="1792" width="9.28515625" style="62"/>
    <col min="1793" max="1793" width="15" style="62" customWidth="1"/>
    <col min="1794" max="1794" width="12.7109375" style="62" customWidth="1"/>
    <col min="1795" max="1795" width="11.7109375" style="62" customWidth="1"/>
    <col min="1796" max="1796" width="44.85546875" style="62" customWidth="1"/>
    <col min="1797" max="1797" width="54.7109375" style="62" customWidth="1"/>
    <col min="1798" max="1798" width="15.28515625" style="62" customWidth="1"/>
    <col min="1799" max="1800" width="19.28515625" style="62" customWidth="1"/>
    <col min="1801" max="1801" width="13.85546875" style="62" customWidth="1"/>
    <col min="1802" max="1802" width="25.28515625" style="62" customWidth="1"/>
    <col min="1803" max="1803" width="16.28515625" style="62" customWidth="1"/>
    <col min="1804" max="2048" width="9.28515625" style="62"/>
    <col min="2049" max="2049" width="15" style="62" customWidth="1"/>
    <col min="2050" max="2050" width="12.7109375" style="62" customWidth="1"/>
    <col min="2051" max="2051" width="11.7109375" style="62" customWidth="1"/>
    <col min="2052" max="2052" width="44.85546875" style="62" customWidth="1"/>
    <col min="2053" max="2053" width="54.7109375" style="62" customWidth="1"/>
    <col min="2054" max="2054" width="15.28515625" style="62" customWidth="1"/>
    <col min="2055" max="2056" width="19.28515625" style="62" customWidth="1"/>
    <col min="2057" max="2057" width="13.85546875" style="62" customWidth="1"/>
    <col min="2058" max="2058" width="25.28515625" style="62" customWidth="1"/>
    <col min="2059" max="2059" width="16.28515625" style="62" customWidth="1"/>
    <col min="2060" max="2304" width="9.28515625" style="62"/>
    <col min="2305" max="2305" width="15" style="62" customWidth="1"/>
    <col min="2306" max="2306" width="12.7109375" style="62" customWidth="1"/>
    <col min="2307" max="2307" width="11.7109375" style="62" customWidth="1"/>
    <col min="2308" max="2308" width="44.85546875" style="62" customWidth="1"/>
    <col min="2309" max="2309" width="54.7109375" style="62" customWidth="1"/>
    <col min="2310" max="2310" width="15.28515625" style="62" customWidth="1"/>
    <col min="2311" max="2312" width="19.28515625" style="62" customWidth="1"/>
    <col min="2313" max="2313" width="13.85546875" style="62" customWidth="1"/>
    <col min="2314" max="2314" width="25.28515625" style="62" customWidth="1"/>
    <col min="2315" max="2315" width="16.28515625" style="62" customWidth="1"/>
    <col min="2316" max="2560" width="9.28515625" style="62"/>
    <col min="2561" max="2561" width="15" style="62" customWidth="1"/>
    <col min="2562" max="2562" width="12.7109375" style="62" customWidth="1"/>
    <col min="2563" max="2563" width="11.7109375" style="62" customWidth="1"/>
    <col min="2564" max="2564" width="44.85546875" style="62" customWidth="1"/>
    <col min="2565" max="2565" width="54.7109375" style="62" customWidth="1"/>
    <col min="2566" max="2566" width="15.28515625" style="62" customWidth="1"/>
    <col min="2567" max="2568" width="19.28515625" style="62" customWidth="1"/>
    <col min="2569" max="2569" width="13.85546875" style="62" customWidth="1"/>
    <col min="2570" max="2570" width="25.28515625" style="62" customWidth="1"/>
    <col min="2571" max="2571" width="16.28515625" style="62" customWidth="1"/>
    <col min="2572" max="2816" width="9.28515625" style="62"/>
    <col min="2817" max="2817" width="15" style="62" customWidth="1"/>
    <col min="2818" max="2818" width="12.7109375" style="62" customWidth="1"/>
    <col min="2819" max="2819" width="11.7109375" style="62" customWidth="1"/>
    <col min="2820" max="2820" width="44.85546875" style="62" customWidth="1"/>
    <col min="2821" max="2821" width="54.7109375" style="62" customWidth="1"/>
    <col min="2822" max="2822" width="15.28515625" style="62" customWidth="1"/>
    <col min="2823" max="2824" width="19.28515625" style="62" customWidth="1"/>
    <col min="2825" max="2825" width="13.85546875" style="62" customWidth="1"/>
    <col min="2826" max="2826" width="25.28515625" style="62" customWidth="1"/>
    <col min="2827" max="2827" width="16.28515625" style="62" customWidth="1"/>
    <col min="2828" max="3072" width="9.28515625" style="62"/>
    <col min="3073" max="3073" width="15" style="62" customWidth="1"/>
    <col min="3074" max="3074" width="12.7109375" style="62" customWidth="1"/>
    <col min="3075" max="3075" width="11.7109375" style="62" customWidth="1"/>
    <col min="3076" max="3076" width="44.85546875" style="62" customWidth="1"/>
    <col min="3077" max="3077" width="54.7109375" style="62" customWidth="1"/>
    <col min="3078" max="3078" width="15.28515625" style="62" customWidth="1"/>
    <col min="3079" max="3080" width="19.28515625" style="62" customWidth="1"/>
    <col min="3081" max="3081" width="13.85546875" style="62" customWidth="1"/>
    <col min="3082" max="3082" width="25.28515625" style="62" customWidth="1"/>
    <col min="3083" max="3083" width="16.28515625" style="62" customWidth="1"/>
    <col min="3084" max="3328" width="9.28515625" style="62"/>
    <col min="3329" max="3329" width="15" style="62" customWidth="1"/>
    <col min="3330" max="3330" width="12.7109375" style="62" customWidth="1"/>
    <col min="3331" max="3331" width="11.7109375" style="62" customWidth="1"/>
    <col min="3332" max="3332" width="44.85546875" style="62" customWidth="1"/>
    <col min="3333" max="3333" width="54.7109375" style="62" customWidth="1"/>
    <col min="3334" max="3334" width="15.28515625" style="62" customWidth="1"/>
    <col min="3335" max="3336" width="19.28515625" style="62" customWidth="1"/>
    <col min="3337" max="3337" width="13.85546875" style="62" customWidth="1"/>
    <col min="3338" max="3338" width="25.28515625" style="62" customWidth="1"/>
    <col min="3339" max="3339" width="16.28515625" style="62" customWidth="1"/>
    <col min="3340" max="3584" width="9.28515625" style="62"/>
    <col min="3585" max="3585" width="15" style="62" customWidth="1"/>
    <col min="3586" max="3586" width="12.7109375" style="62" customWidth="1"/>
    <col min="3587" max="3587" width="11.7109375" style="62" customWidth="1"/>
    <col min="3588" max="3588" width="44.85546875" style="62" customWidth="1"/>
    <col min="3589" max="3589" width="54.7109375" style="62" customWidth="1"/>
    <col min="3590" max="3590" width="15.28515625" style="62" customWidth="1"/>
    <col min="3591" max="3592" width="19.28515625" style="62" customWidth="1"/>
    <col min="3593" max="3593" width="13.85546875" style="62" customWidth="1"/>
    <col min="3594" max="3594" width="25.28515625" style="62" customWidth="1"/>
    <col min="3595" max="3595" width="16.28515625" style="62" customWidth="1"/>
    <col min="3596" max="3840" width="9.28515625" style="62"/>
    <col min="3841" max="3841" width="15" style="62" customWidth="1"/>
    <col min="3842" max="3842" width="12.7109375" style="62" customWidth="1"/>
    <col min="3843" max="3843" width="11.7109375" style="62" customWidth="1"/>
    <col min="3844" max="3844" width="44.85546875" style="62" customWidth="1"/>
    <col min="3845" max="3845" width="54.7109375" style="62" customWidth="1"/>
    <col min="3846" max="3846" width="15.28515625" style="62" customWidth="1"/>
    <col min="3847" max="3848" width="19.28515625" style="62" customWidth="1"/>
    <col min="3849" max="3849" width="13.85546875" style="62" customWidth="1"/>
    <col min="3850" max="3850" width="25.28515625" style="62" customWidth="1"/>
    <col min="3851" max="3851" width="16.28515625" style="62" customWidth="1"/>
    <col min="3852" max="4096" width="9.28515625" style="62"/>
    <col min="4097" max="4097" width="15" style="62" customWidth="1"/>
    <col min="4098" max="4098" width="12.7109375" style="62" customWidth="1"/>
    <col min="4099" max="4099" width="11.7109375" style="62" customWidth="1"/>
    <col min="4100" max="4100" width="44.85546875" style="62" customWidth="1"/>
    <col min="4101" max="4101" width="54.7109375" style="62" customWidth="1"/>
    <col min="4102" max="4102" width="15.28515625" style="62" customWidth="1"/>
    <col min="4103" max="4104" width="19.28515625" style="62" customWidth="1"/>
    <col min="4105" max="4105" width="13.85546875" style="62" customWidth="1"/>
    <col min="4106" max="4106" width="25.28515625" style="62" customWidth="1"/>
    <col min="4107" max="4107" width="16.28515625" style="62" customWidth="1"/>
    <col min="4108" max="4352" width="9.28515625" style="62"/>
    <col min="4353" max="4353" width="15" style="62" customWidth="1"/>
    <col min="4354" max="4354" width="12.7109375" style="62" customWidth="1"/>
    <col min="4355" max="4355" width="11.7109375" style="62" customWidth="1"/>
    <col min="4356" max="4356" width="44.85546875" style="62" customWidth="1"/>
    <col min="4357" max="4357" width="54.7109375" style="62" customWidth="1"/>
    <col min="4358" max="4358" width="15.28515625" style="62" customWidth="1"/>
    <col min="4359" max="4360" width="19.28515625" style="62" customWidth="1"/>
    <col min="4361" max="4361" width="13.85546875" style="62" customWidth="1"/>
    <col min="4362" max="4362" width="25.28515625" style="62" customWidth="1"/>
    <col min="4363" max="4363" width="16.28515625" style="62" customWidth="1"/>
    <col min="4364" max="4608" width="9.28515625" style="62"/>
    <col min="4609" max="4609" width="15" style="62" customWidth="1"/>
    <col min="4610" max="4610" width="12.7109375" style="62" customWidth="1"/>
    <col min="4611" max="4611" width="11.7109375" style="62" customWidth="1"/>
    <col min="4612" max="4612" width="44.85546875" style="62" customWidth="1"/>
    <col min="4613" max="4613" width="54.7109375" style="62" customWidth="1"/>
    <col min="4614" max="4614" width="15.28515625" style="62" customWidth="1"/>
    <col min="4615" max="4616" width="19.28515625" style="62" customWidth="1"/>
    <col min="4617" max="4617" width="13.85546875" style="62" customWidth="1"/>
    <col min="4618" max="4618" width="25.28515625" style="62" customWidth="1"/>
    <col min="4619" max="4619" width="16.28515625" style="62" customWidth="1"/>
    <col min="4620" max="4864" width="9.28515625" style="62"/>
    <col min="4865" max="4865" width="15" style="62" customWidth="1"/>
    <col min="4866" max="4866" width="12.7109375" style="62" customWidth="1"/>
    <col min="4867" max="4867" width="11.7109375" style="62" customWidth="1"/>
    <col min="4868" max="4868" width="44.85546875" style="62" customWidth="1"/>
    <col min="4869" max="4869" width="54.7109375" style="62" customWidth="1"/>
    <col min="4870" max="4870" width="15.28515625" style="62" customWidth="1"/>
    <col min="4871" max="4872" width="19.28515625" style="62" customWidth="1"/>
    <col min="4873" max="4873" width="13.85546875" style="62" customWidth="1"/>
    <col min="4874" max="4874" width="25.28515625" style="62" customWidth="1"/>
    <col min="4875" max="4875" width="16.28515625" style="62" customWidth="1"/>
    <col min="4876" max="5120" width="9.28515625" style="62"/>
    <col min="5121" max="5121" width="15" style="62" customWidth="1"/>
    <col min="5122" max="5122" width="12.7109375" style="62" customWidth="1"/>
    <col min="5123" max="5123" width="11.7109375" style="62" customWidth="1"/>
    <col min="5124" max="5124" width="44.85546875" style="62" customWidth="1"/>
    <col min="5125" max="5125" width="54.7109375" style="62" customWidth="1"/>
    <col min="5126" max="5126" width="15.28515625" style="62" customWidth="1"/>
    <col min="5127" max="5128" width="19.28515625" style="62" customWidth="1"/>
    <col min="5129" max="5129" width="13.85546875" style="62" customWidth="1"/>
    <col min="5130" max="5130" width="25.28515625" style="62" customWidth="1"/>
    <col min="5131" max="5131" width="16.28515625" style="62" customWidth="1"/>
    <col min="5132" max="5376" width="9.28515625" style="62"/>
    <col min="5377" max="5377" width="15" style="62" customWidth="1"/>
    <col min="5378" max="5378" width="12.7109375" style="62" customWidth="1"/>
    <col min="5379" max="5379" width="11.7109375" style="62" customWidth="1"/>
    <col min="5380" max="5380" width="44.85546875" style="62" customWidth="1"/>
    <col min="5381" max="5381" width="54.7109375" style="62" customWidth="1"/>
    <col min="5382" max="5382" width="15.28515625" style="62" customWidth="1"/>
    <col min="5383" max="5384" width="19.28515625" style="62" customWidth="1"/>
    <col min="5385" max="5385" width="13.85546875" style="62" customWidth="1"/>
    <col min="5386" max="5386" width="25.28515625" style="62" customWidth="1"/>
    <col min="5387" max="5387" width="16.28515625" style="62" customWidth="1"/>
    <col min="5388" max="5632" width="9.28515625" style="62"/>
    <col min="5633" max="5633" width="15" style="62" customWidth="1"/>
    <col min="5634" max="5634" width="12.7109375" style="62" customWidth="1"/>
    <col min="5635" max="5635" width="11.7109375" style="62" customWidth="1"/>
    <col min="5636" max="5636" width="44.85546875" style="62" customWidth="1"/>
    <col min="5637" max="5637" width="54.7109375" style="62" customWidth="1"/>
    <col min="5638" max="5638" width="15.28515625" style="62" customWidth="1"/>
    <col min="5639" max="5640" width="19.28515625" style="62" customWidth="1"/>
    <col min="5641" max="5641" width="13.85546875" style="62" customWidth="1"/>
    <col min="5642" max="5642" width="25.28515625" style="62" customWidth="1"/>
    <col min="5643" max="5643" width="16.28515625" style="62" customWidth="1"/>
    <col min="5644" max="5888" width="9.28515625" style="62"/>
    <col min="5889" max="5889" width="15" style="62" customWidth="1"/>
    <col min="5890" max="5890" width="12.7109375" style="62" customWidth="1"/>
    <col min="5891" max="5891" width="11.7109375" style="62" customWidth="1"/>
    <col min="5892" max="5892" width="44.85546875" style="62" customWidth="1"/>
    <col min="5893" max="5893" width="54.7109375" style="62" customWidth="1"/>
    <col min="5894" max="5894" width="15.28515625" style="62" customWidth="1"/>
    <col min="5895" max="5896" width="19.28515625" style="62" customWidth="1"/>
    <col min="5897" max="5897" width="13.85546875" style="62" customWidth="1"/>
    <col min="5898" max="5898" width="25.28515625" style="62" customWidth="1"/>
    <col min="5899" max="5899" width="16.28515625" style="62" customWidth="1"/>
    <col min="5900" max="6144" width="9.28515625" style="62"/>
    <col min="6145" max="6145" width="15" style="62" customWidth="1"/>
    <col min="6146" max="6146" width="12.7109375" style="62" customWidth="1"/>
    <col min="6147" max="6147" width="11.7109375" style="62" customWidth="1"/>
    <col min="6148" max="6148" width="44.85546875" style="62" customWidth="1"/>
    <col min="6149" max="6149" width="54.7109375" style="62" customWidth="1"/>
    <col min="6150" max="6150" width="15.28515625" style="62" customWidth="1"/>
    <col min="6151" max="6152" width="19.28515625" style="62" customWidth="1"/>
    <col min="6153" max="6153" width="13.85546875" style="62" customWidth="1"/>
    <col min="6154" max="6154" width="25.28515625" style="62" customWidth="1"/>
    <col min="6155" max="6155" width="16.28515625" style="62" customWidth="1"/>
    <col min="6156" max="6400" width="9.28515625" style="62"/>
    <col min="6401" max="6401" width="15" style="62" customWidth="1"/>
    <col min="6402" max="6402" width="12.7109375" style="62" customWidth="1"/>
    <col min="6403" max="6403" width="11.7109375" style="62" customWidth="1"/>
    <col min="6404" max="6404" width="44.85546875" style="62" customWidth="1"/>
    <col min="6405" max="6405" width="54.7109375" style="62" customWidth="1"/>
    <col min="6406" max="6406" width="15.28515625" style="62" customWidth="1"/>
    <col min="6407" max="6408" width="19.28515625" style="62" customWidth="1"/>
    <col min="6409" max="6409" width="13.85546875" style="62" customWidth="1"/>
    <col min="6410" max="6410" width="25.28515625" style="62" customWidth="1"/>
    <col min="6411" max="6411" width="16.28515625" style="62" customWidth="1"/>
    <col min="6412" max="6656" width="9.28515625" style="62"/>
    <col min="6657" max="6657" width="15" style="62" customWidth="1"/>
    <col min="6658" max="6658" width="12.7109375" style="62" customWidth="1"/>
    <col min="6659" max="6659" width="11.7109375" style="62" customWidth="1"/>
    <col min="6660" max="6660" width="44.85546875" style="62" customWidth="1"/>
    <col min="6661" max="6661" width="54.7109375" style="62" customWidth="1"/>
    <col min="6662" max="6662" width="15.28515625" style="62" customWidth="1"/>
    <col min="6663" max="6664" width="19.28515625" style="62" customWidth="1"/>
    <col min="6665" max="6665" width="13.85546875" style="62" customWidth="1"/>
    <col min="6666" max="6666" width="25.28515625" style="62" customWidth="1"/>
    <col min="6667" max="6667" width="16.28515625" style="62" customWidth="1"/>
    <col min="6668" max="6912" width="9.28515625" style="62"/>
    <col min="6913" max="6913" width="15" style="62" customWidth="1"/>
    <col min="6914" max="6914" width="12.7109375" style="62" customWidth="1"/>
    <col min="6915" max="6915" width="11.7109375" style="62" customWidth="1"/>
    <col min="6916" max="6916" width="44.85546875" style="62" customWidth="1"/>
    <col min="6917" max="6917" width="54.7109375" style="62" customWidth="1"/>
    <col min="6918" max="6918" width="15.28515625" style="62" customWidth="1"/>
    <col min="6919" max="6920" width="19.28515625" style="62" customWidth="1"/>
    <col min="6921" max="6921" width="13.85546875" style="62" customWidth="1"/>
    <col min="6922" max="6922" width="25.28515625" style="62" customWidth="1"/>
    <col min="6923" max="6923" width="16.28515625" style="62" customWidth="1"/>
    <col min="6924" max="7168" width="9.28515625" style="62"/>
    <col min="7169" max="7169" width="15" style="62" customWidth="1"/>
    <col min="7170" max="7170" width="12.7109375" style="62" customWidth="1"/>
    <col min="7171" max="7171" width="11.7109375" style="62" customWidth="1"/>
    <col min="7172" max="7172" width="44.85546875" style="62" customWidth="1"/>
    <col min="7173" max="7173" width="54.7109375" style="62" customWidth="1"/>
    <col min="7174" max="7174" width="15.28515625" style="62" customWidth="1"/>
    <col min="7175" max="7176" width="19.28515625" style="62" customWidth="1"/>
    <col min="7177" max="7177" width="13.85546875" style="62" customWidth="1"/>
    <col min="7178" max="7178" width="25.28515625" style="62" customWidth="1"/>
    <col min="7179" max="7179" width="16.28515625" style="62" customWidth="1"/>
    <col min="7180" max="7424" width="9.28515625" style="62"/>
    <col min="7425" max="7425" width="15" style="62" customWidth="1"/>
    <col min="7426" max="7426" width="12.7109375" style="62" customWidth="1"/>
    <col min="7427" max="7427" width="11.7109375" style="62" customWidth="1"/>
    <col min="7428" max="7428" width="44.85546875" style="62" customWidth="1"/>
    <col min="7429" max="7429" width="54.7109375" style="62" customWidth="1"/>
    <col min="7430" max="7430" width="15.28515625" style="62" customWidth="1"/>
    <col min="7431" max="7432" width="19.28515625" style="62" customWidth="1"/>
    <col min="7433" max="7433" width="13.85546875" style="62" customWidth="1"/>
    <col min="7434" max="7434" width="25.28515625" style="62" customWidth="1"/>
    <col min="7435" max="7435" width="16.28515625" style="62" customWidth="1"/>
    <col min="7436" max="7680" width="9.28515625" style="62"/>
    <col min="7681" max="7681" width="15" style="62" customWidth="1"/>
    <col min="7682" max="7682" width="12.7109375" style="62" customWidth="1"/>
    <col min="7683" max="7683" width="11.7109375" style="62" customWidth="1"/>
    <col min="7684" max="7684" width="44.85546875" style="62" customWidth="1"/>
    <col min="7685" max="7685" width="54.7109375" style="62" customWidth="1"/>
    <col min="7686" max="7686" width="15.28515625" style="62" customWidth="1"/>
    <col min="7687" max="7688" width="19.28515625" style="62" customWidth="1"/>
    <col min="7689" max="7689" width="13.85546875" style="62" customWidth="1"/>
    <col min="7690" max="7690" width="25.28515625" style="62" customWidth="1"/>
    <col min="7691" max="7691" width="16.28515625" style="62" customWidth="1"/>
    <col min="7692" max="7936" width="9.28515625" style="62"/>
    <col min="7937" max="7937" width="15" style="62" customWidth="1"/>
    <col min="7938" max="7938" width="12.7109375" style="62" customWidth="1"/>
    <col min="7939" max="7939" width="11.7109375" style="62" customWidth="1"/>
    <col min="7940" max="7940" width="44.85546875" style="62" customWidth="1"/>
    <col min="7941" max="7941" width="54.7109375" style="62" customWidth="1"/>
    <col min="7942" max="7942" width="15.28515625" style="62" customWidth="1"/>
    <col min="7943" max="7944" width="19.28515625" style="62" customWidth="1"/>
    <col min="7945" max="7945" width="13.85546875" style="62" customWidth="1"/>
    <col min="7946" max="7946" width="25.28515625" style="62" customWidth="1"/>
    <col min="7947" max="7947" width="16.28515625" style="62" customWidth="1"/>
    <col min="7948" max="8192" width="9.28515625" style="62"/>
    <col min="8193" max="8193" width="15" style="62" customWidth="1"/>
    <col min="8194" max="8194" width="12.7109375" style="62" customWidth="1"/>
    <col min="8195" max="8195" width="11.7109375" style="62" customWidth="1"/>
    <col min="8196" max="8196" width="44.85546875" style="62" customWidth="1"/>
    <col min="8197" max="8197" width="54.7109375" style="62" customWidth="1"/>
    <col min="8198" max="8198" width="15.28515625" style="62" customWidth="1"/>
    <col min="8199" max="8200" width="19.28515625" style="62" customWidth="1"/>
    <col min="8201" max="8201" width="13.85546875" style="62" customWidth="1"/>
    <col min="8202" max="8202" width="25.28515625" style="62" customWidth="1"/>
    <col min="8203" max="8203" width="16.28515625" style="62" customWidth="1"/>
    <col min="8204" max="8448" width="9.28515625" style="62"/>
    <col min="8449" max="8449" width="15" style="62" customWidth="1"/>
    <col min="8450" max="8450" width="12.7109375" style="62" customWidth="1"/>
    <col min="8451" max="8451" width="11.7109375" style="62" customWidth="1"/>
    <col min="8452" max="8452" width="44.85546875" style="62" customWidth="1"/>
    <col min="8453" max="8453" width="54.7109375" style="62" customWidth="1"/>
    <col min="8454" max="8454" width="15.28515625" style="62" customWidth="1"/>
    <col min="8455" max="8456" width="19.28515625" style="62" customWidth="1"/>
    <col min="8457" max="8457" width="13.85546875" style="62" customWidth="1"/>
    <col min="8458" max="8458" width="25.28515625" style="62" customWidth="1"/>
    <col min="8459" max="8459" width="16.28515625" style="62" customWidth="1"/>
    <col min="8460" max="8704" width="9.28515625" style="62"/>
    <col min="8705" max="8705" width="15" style="62" customWidth="1"/>
    <col min="8706" max="8706" width="12.7109375" style="62" customWidth="1"/>
    <col min="8707" max="8707" width="11.7109375" style="62" customWidth="1"/>
    <col min="8708" max="8708" width="44.85546875" style="62" customWidth="1"/>
    <col min="8709" max="8709" width="54.7109375" style="62" customWidth="1"/>
    <col min="8710" max="8710" width="15.28515625" style="62" customWidth="1"/>
    <col min="8711" max="8712" width="19.28515625" style="62" customWidth="1"/>
    <col min="8713" max="8713" width="13.85546875" style="62" customWidth="1"/>
    <col min="8714" max="8714" width="25.28515625" style="62" customWidth="1"/>
    <col min="8715" max="8715" width="16.28515625" style="62" customWidth="1"/>
    <col min="8716" max="8960" width="9.28515625" style="62"/>
    <col min="8961" max="8961" width="15" style="62" customWidth="1"/>
    <col min="8962" max="8962" width="12.7109375" style="62" customWidth="1"/>
    <col min="8963" max="8963" width="11.7109375" style="62" customWidth="1"/>
    <col min="8964" max="8964" width="44.85546875" style="62" customWidth="1"/>
    <col min="8965" max="8965" width="54.7109375" style="62" customWidth="1"/>
    <col min="8966" max="8966" width="15.28515625" style="62" customWidth="1"/>
    <col min="8967" max="8968" width="19.28515625" style="62" customWidth="1"/>
    <col min="8969" max="8969" width="13.85546875" style="62" customWidth="1"/>
    <col min="8970" max="8970" width="25.28515625" style="62" customWidth="1"/>
    <col min="8971" max="8971" width="16.28515625" style="62" customWidth="1"/>
    <col min="8972" max="9216" width="9.28515625" style="62"/>
    <col min="9217" max="9217" width="15" style="62" customWidth="1"/>
    <col min="9218" max="9218" width="12.7109375" style="62" customWidth="1"/>
    <col min="9219" max="9219" width="11.7109375" style="62" customWidth="1"/>
    <col min="9220" max="9220" width="44.85546875" style="62" customWidth="1"/>
    <col min="9221" max="9221" width="54.7109375" style="62" customWidth="1"/>
    <col min="9222" max="9222" width="15.28515625" style="62" customWidth="1"/>
    <col min="9223" max="9224" width="19.28515625" style="62" customWidth="1"/>
    <col min="9225" max="9225" width="13.85546875" style="62" customWidth="1"/>
    <col min="9226" max="9226" width="25.28515625" style="62" customWidth="1"/>
    <col min="9227" max="9227" width="16.28515625" style="62" customWidth="1"/>
    <col min="9228" max="9472" width="9.28515625" style="62"/>
    <col min="9473" max="9473" width="15" style="62" customWidth="1"/>
    <col min="9474" max="9474" width="12.7109375" style="62" customWidth="1"/>
    <col min="9475" max="9475" width="11.7109375" style="62" customWidth="1"/>
    <col min="9476" max="9476" width="44.85546875" style="62" customWidth="1"/>
    <col min="9477" max="9477" width="54.7109375" style="62" customWidth="1"/>
    <col min="9478" max="9478" width="15.28515625" style="62" customWidth="1"/>
    <col min="9479" max="9480" width="19.28515625" style="62" customWidth="1"/>
    <col min="9481" max="9481" width="13.85546875" style="62" customWidth="1"/>
    <col min="9482" max="9482" width="25.28515625" style="62" customWidth="1"/>
    <col min="9483" max="9483" width="16.28515625" style="62" customWidth="1"/>
    <col min="9484" max="9728" width="9.28515625" style="62"/>
    <col min="9729" max="9729" width="15" style="62" customWidth="1"/>
    <col min="9730" max="9730" width="12.7109375" style="62" customWidth="1"/>
    <col min="9731" max="9731" width="11.7109375" style="62" customWidth="1"/>
    <col min="9732" max="9732" width="44.85546875" style="62" customWidth="1"/>
    <col min="9733" max="9733" width="54.7109375" style="62" customWidth="1"/>
    <col min="9734" max="9734" width="15.28515625" style="62" customWidth="1"/>
    <col min="9735" max="9736" width="19.28515625" style="62" customWidth="1"/>
    <col min="9737" max="9737" width="13.85546875" style="62" customWidth="1"/>
    <col min="9738" max="9738" width="25.28515625" style="62" customWidth="1"/>
    <col min="9739" max="9739" width="16.28515625" style="62" customWidth="1"/>
    <col min="9740" max="9984" width="9.28515625" style="62"/>
    <col min="9985" max="9985" width="15" style="62" customWidth="1"/>
    <col min="9986" max="9986" width="12.7109375" style="62" customWidth="1"/>
    <col min="9987" max="9987" width="11.7109375" style="62" customWidth="1"/>
    <col min="9988" max="9988" width="44.85546875" style="62" customWidth="1"/>
    <col min="9989" max="9989" width="54.7109375" style="62" customWidth="1"/>
    <col min="9990" max="9990" width="15.28515625" style="62" customWidth="1"/>
    <col min="9991" max="9992" width="19.28515625" style="62" customWidth="1"/>
    <col min="9993" max="9993" width="13.85546875" style="62" customWidth="1"/>
    <col min="9994" max="9994" width="25.28515625" style="62" customWidth="1"/>
    <col min="9995" max="9995" width="16.28515625" style="62" customWidth="1"/>
    <col min="9996" max="10240" width="9.28515625" style="62"/>
    <col min="10241" max="10241" width="15" style="62" customWidth="1"/>
    <col min="10242" max="10242" width="12.7109375" style="62" customWidth="1"/>
    <col min="10243" max="10243" width="11.7109375" style="62" customWidth="1"/>
    <col min="10244" max="10244" width="44.85546875" style="62" customWidth="1"/>
    <col min="10245" max="10245" width="54.7109375" style="62" customWidth="1"/>
    <col min="10246" max="10246" width="15.28515625" style="62" customWidth="1"/>
    <col min="10247" max="10248" width="19.28515625" style="62" customWidth="1"/>
    <col min="10249" max="10249" width="13.85546875" style="62" customWidth="1"/>
    <col min="10250" max="10250" width="25.28515625" style="62" customWidth="1"/>
    <col min="10251" max="10251" width="16.28515625" style="62" customWidth="1"/>
    <col min="10252" max="10496" width="9.28515625" style="62"/>
    <col min="10497" max="10497" width="15" style="62" customWidth="1"/>
    <col min="10498" max="10498" width="12.7109375" style="62" customWidth="1"/>
    <col min="10499" max="10499" width="11.7109375" style="62" customWidth="1"/>
    <col min="10500" max="10500" width="44.85546875" style="62" customWidth="1"/>
    <col min="10501" max="10501" width="54.7109375" style="62" customWidth="1"/>
    <col min="10502" max="10502" width="15.28515625" style="62" customWidth="1"/>
    <col min="10503" max="10504" width="19.28515625" style="62" customWidth="1"/>
    <col min="10505" max="10505" width="13.85546875" style="62" customWidth="1"/>
    <col min="10506" max="10506" width="25.28515625" style="62" customWidth="1"/>
    <col min="10507" max="10507" width="16.28515625" style="62" customWidth="1"/>
    <col min="10508" max="10752" width="9.28515625" style="62"/>
    <col min="10753" max="10753" width="15" style="62" customWidth="1"/>
    <col min="10754" max="10754" width="12.7109375" style="62" customWidth="1"/>
    <col min="10755" max="10755" width="11.7109375" style="62" customWidth="1"/>
    <col min="10756" max="10756" width="44.85546875" style="62" customWidth="1"/>
    <col min="10757" max="10757" width="54.7109375" style="62" customWidth="1"/>
    <col min="10758" max="10758" width="15.28515625" style="62" customWidth="1"/>
    <col min="10759" max="10760" width="19.28515625" style="62" customWidth="1"/>
    <col min="10761" max="10761" width="13.85546875" style="62" customWidth="1"/>
    <col min="10762" max="10762" width="25.28515625" style="62" customWidth="1"/>
    <col min="10763" max="10763" width="16.28515625" style="62" customWidth="1"/>
    <col min="10764" max="11008" width="9.28515625" style="62"/>
    <col min="11009" max="11009" width="15" style="62" customWidth="1"/>
    <col min="11010" max="11010" width="12.7109375" style="62" customWidth="1"/>
    <col min="11011" max="11011" width="11.7109375" style="62" customWidth="1"/>
    <col min="11012" max="11012" width="44.85546875" style="62" customWidth="1"/>
    <col min="11013" max="11013" width="54.7109375" style="62" customWidth="1"/>
    <col min="11014" max="11014" width="15.28515625" style="62" customWidth="1"/>
    <col min="11015" max="11016" width="19.28515625" style="62" customWidth="1"/>
    <col min="11017" max="11017" width="13.85546875" style="62" customWidth="1"/>
    <col min="11018" max="11018" width="25.28515625" style="62" customWidth="1"/>
    <col min="11019" max="11019" width="16.28515625" style="62" customWidth="1"/>
    <col min="11020" max="11264" width="9.28515625" style="62"/>
    <col min="11265" max="11265" width="15" style="62" customWidth="1"/>
    <col min="11266" max="11266" width="12.7109375" style="62" customWidth="1"/>
    <col min="11267" max="11267" width="11.7109375" style="62" customWidth="1"/>
    <col min="11268" max="11268" width="44.85546875" style="62" customWidth="1"/>
    <col min="11269" max="11269" width="54.7109375" style="62" customWidth="1"/>
    <col min="11270" max="11270" width="15.28515625" style="62" customWidth="1"/>
    <col min="11271" max="11272" width="19.28515625" style="62" customWidth="1"/>
    <col min="11273" max="11273" width="13.85546875" style="62" customWidth="1"/>
    <col min="11274" max="11274" width="25.28515625" style="62" customWidth="1"/>
    <col min="11275" max="11275" width="16.28515625" style="62" customWidth="1"/>
    <col min="11276" max="11520" width="9.28515625" style="62"/>
    <col min="11521" max="11521" width="15" style="62" customWidth="1"/>
    <col min="11522" max="11522" width="12.7109375" style="62" customWidth="1"/>
    <col min="11523" max="11523" width="11.7109375" style="62" customWidth="1"/>
    <col min="11524" max="11524" width="44.85546875" style="62" customWidth="1"/>
    <col min="11525" max="11525" width="54.7109375" style="62" customWidth="1"/>
    <col min="11526" max="11526" width="15.28515625" style="62" customWidth="1"/>
    <col min="11527" max="11528" width="19.28515625" style="62" customWidth="1"/>
    <col min="11529" max="11529" width="13.85546875" style="62" customWidth="1"/>
    <col min="11530" max="11530" width="25.28515625" style="62" customWidth="1"/>
    <col min="11531" max="11531" width="16.28515625" style="62" customWidth="1"/>
    <col min="11532" max="11776" width="9.28515625" style="62"/>
    <col min="11777" max="11777" width="15" style="62" customWidth="1"/>
    <col min="11778" max="11778" width="12.7109375" style="62" customWidth="1"/>
    <col min="11779" max="11779" width="11.7109375" style="62" customWidth="1"/>
    <col min="11780" max="11780" width="44.85546875" style="62" customWidth="1"/>
    <col min="11781" max="11781" width="54.7109375" style="62" customWidth="1"/>
    <col min="11782" max="11782" width="15.28515625" style="62" customWidth="1"/>
    <col min="11783" max="11784" width="19.28515625" style="62" customWidth="1"/>
    <col min="11785" max="11785" width="13.85546875" style="62" customWidth="1"/>
    <col min="11786" max="11786" width="25.28515625" style="62" customWidth="1"/>
    <col min="11787" max="11787" width="16.28515625" style="62" customWidth="1"/>
    <col min="11788" max="12032" width="9.28515625" style="62"/>
    <col min="12033" max="12033" width="15" style="62" customWidth="1"/>
    <col min="12034" max="12034" width="12.7109375" style="62" customWidth="1"/>
    <col min="12035" max="12035" width="11.7109375" style="62" customWidth="1"/>
    <col min="12036" max="12036" width="44.85546875" style="62" customWidth="1"/>
    <col min="12037" max="12037" width="54.7109375" style="62" customWidth="1"/>
    <col min="12038" max="12038" width="15.28515625" style="62" customWidth="1"/>
    <col min="12039" max="12040" width="19.28515625" style="62" customWidth="1"/>
    <col min="12041" max="12041" width="13.85546875" style="62" customWidth="1"/>
    <col min="12042" max="12042" width="25.28515625" style="62" customWidth="1"/>
    <col min="12043" max="12043" width="16.28515625" style="62" customWidth="1"/>
    <col min="12044" max="12288" width="9.28515625" style="62"/>
    <col min="12289" max="12289" width="15" style="62" customWidth="1"/>
    <col min="12290" max="12290" width="12.7109375" style="62" customWidth="1"/>
    <col min="12291" max="12291" width="11.7109375" style="62" customWidth="1"/>
    <col min="12292" max="12292" width="44.85546875" style="62" customWidth="1"/>
    <col min="12293" max="12293" width="54.7109375" style="62" customWidth="1"/>
    <col min="12294" max="12294" width="15.28515625" style="62" customWidth="1"/>
    <col min="12295" max="12296" width="19.28515625" style="62" customWidth="1"/>
    <col min="12297" max="12297" width="13.85546875" style="62" customWidth="1"/>
    <col min="12298" max="12298" width="25.28515625" style="62" customWidth="1"/>
    <col min="12299" max="12299" width="16.28515625" style="62" customWidth="1"/>
    <col min="12300" max="12544" width="9.28515625" style="62"/>
    <col min="12545" max="12545" width="15" style="62" customWidth="1"/>
    <col min="12546" max="12546" width="12.7109375" style="62" customWidth="1"/>
    <col min="12547" max="12547" width="11.7109375" style="62" customWidth="1"/>
    <col min="12548" max="12548" width="44.85546875" style="62" customWidth="1"/>
    <col min="12549" max="12549" width="54.7109375" style="62" customWidth="1"/>
    <col min="12550" max="12550" width="15.28515625" style="62" customWidth="1"/>
    <col min="12551" max="12552" width="19.28515625" style="62" customWidth="1"/>
    <col min="12553" max="12553" width="13.85546875" style="62" customWidth="1"/>
    <col min="12554" max="12554" width="25.28515625" style="62" customWidth="1"/>
    <col min="12555" max="12555" width="16.28515625" style="62" customWidth="1"/>
    <col min="12556" max="12800" width="9.28515625" style="62"/>
    <col min="12801" max="12801" width="15" style="62" customWidth="1"/>
    <col min="12802" max="12802" width="12.7109375" style="62" customWidth="1"/>
    <col min="12803" max="12803" width="11.7109375" style="62" customWidth="1"/>
    <col min="12804" max="12804" width="44.85546875" style="62" customWidth="1"/>
    <col min="12805" max="12805" width="54.7109375" style="62" customWidth="1"/>
    <col min="12806" max="12806" width="15.28515625" style="62" customWidth="1"/>
    <col min="12807" max="12808" width="19.28515625" style="62" customWidth="1"/>
    <col min="12809" max="12809" width="13.85546875" style="62" customWidth="1"/>
    <col min="12810" max="12810" width="25.28515625" style="62" customWidth="1"/>
    <col min="12811" max="12811" width="16.28515625" style="62" customWidth="1"/>
    <col min="12812" max="13056" width="9.28515625" style="62"/>
    <col min="13057" max="13057" width="15" style="62" customWidth="1"/>
    <col min="13058" max="13058" width="12.7109375" style="62" customWidth="1"/>
    <col min="13059" max="13059" width="11.7109375" style="62" customWidth="1"/>
    <col min="13060" max="13060" width="44.85546875" style="62" customWidth="1"/>
    <col min="13061" max="13061" width="54.7109375" style="62" customWidth="1"/>
    <col min="13062" max="13062" width="15.28515625" style="62" customWidth="1"/>
    <col min="13063" max="13064" width="19.28515625" style="62" customWidth="1"/>
    <col min="13065" max="13065" width="13.85546875" style="62" customWidth="1"/>
    <col min="13066" max="13066" width="25.28515625" style="62" customWidth="1"/>
    <col min="13067" max="13067" width="16.28515625" style="62" customWidth="1"/>
    <col min="13068" max="13312" width="9.28515625" style="62"/>
    <col min="13313" max="13313" width="15" style="62" customWidth="1"/>
    <col min="13314" max="13314" width="12.7109375" style="62" customWidth="1"/>
    <col min="13315" max="13315" width="11.7109375" style="62" customWidth="1"/>
    <col min="13316" max="13316" width="44.85546875" style="62" customWidth="1"/>
    <col min="13317" max="13317" width="54.7109375" style="62" customWidth="1"/>
    <col min="13318" max="13318" width="15.28515625" style="62" customWidth="1"/>
    <col min="13319" max="13320" width="19.28515625" style="62" customWidth="1"/>
    <col min="13321" max="13321" width="13.85546875" style="62" customWidth="1"/>
    <col min="13322" max="13322" width="25.28515625" style="62" customWidth="1"/>
    <col min="13323" max="13323" width="16.28515625" style="62" customWidth="1"/>
    <col min="13324" max="13568" width="9.28515625" style="62"/>
    <col min="13569" max="13569" width="15" style="62" customWidth="1"/>
    <col min="13570" max="13570" width="12.7109375" style="62" customWidth="1"/>
    <col min="13571" max="13571" width="11.7109375" style="62" customWidth="1"/>
    <col min="13572" max="13572" width="44.85546875" style="62" customWidth="1"/>
    <col min="13573" max="13573" width="54.7109375" style="62" customWidth="1"/>
    <col min="13574" max="13574" width="15.28515625" style="62" customWidth="1"/>
    <col min="13575" max="13576" width="19.28515625" style="62" customWidth="1"/>
    <col min="13577" max="13577" width="13.85546875" style="62" customWidth="1"/>
    <col min="13578" max="13578" width="25.28515625" style="62" customWidth="1"/>
    <col min="13579" max="13579" width="16.28515625" style="62" customWidth="1"/>
    <col min="13580" max="13824" width="9.28515625" style="62"/>
    <col min="13825" max="13825" width="15" style="62" customWidth="1"/>
    <col min="13826" max="13826" width="12.7109375" style="62" customWidth="1"/>
    <col min="13827" max="13827" width="11.7109375" style="62" customWidth="1"/>
    <col min="13828" max="13828" width="44.85546875" style="62" customWidth="1"/>
    <col min="13829" max="13829" width="54.7109375" style="62" customWidth="1"/>
    <col min="13830" max="13830" width="15.28515625" style="62" customWidth="1"/>
    <col min="13831" max="13832" width="19.28515625" style="62" customWidth="1"/>
    <col min="13833" max="13833" width="13.85546875" style="62" customWidth="1"/>
    <col min="13834" max="13834" width="25.28515625" style="62" customWidth="1"/>
    <col min="13835" max="13835" width="16.28515625" style="62" customWidth="1"/>
    <col min="13836" max="14080" width="9.28515625" style="62"/>
    <col min="14081" max="14081" width="15" style="62" customWidth="1"/>
    <col min="14082" max="14082" width="12.7109375" style="62" customWidth="1"/>
    <col min="14083" max="14083" width="11.7109375" style="62" customWidth="1"/>
    <col min="14084" max="14084" width="44.85546875" style="62" customWidth="1"/>
    <col min="14085" max="14085" width="54.7109375" style="62" customWidth="1"/>
    <col min="14086" max="14086" width="15.28515625" style="62" customWidth="1"/>
    <col min="14087" max="14088" width="19.28515625" style="62" customWidth="1"/>
    <col min="14089" max="14089" width="13.85546875" style="62" customWidth="1"/>
    <col min="14090" max="14090" width="25.28515625" style="62" customWidth="1"/>
    <col min="14091" max="14091" width="16.28515625" style="62" customWidth="1"/>
    <col min="14092" max="14336" width="9.28515625" style="62"/>
    <col min="14337" max="14337" width="15" style="62" customWidth="1"/>
    <col min="14338" max="14338" width="12.7109375" style="62" customWidth="1"/>
    <col min="14339" max="14339" width="11.7109375" style="62" customWidth="1"/>
    <col min="14340" max="14340" width="44.85546875" style="62" customWidth="1"/>
    <col min="14341" max="14341" width="54.7109375" style="62" customWidth="1"/>
    <col min="14342" max="14342" width="15.28515625" style="62" customWidth="1"/>
    <col min="14343" max="14344" width="19.28515625" style="62" customWidth="1"/>
    <col min="14345" max="14345" width="13.85546875" style="62" customWidth="1"/>
    <col min="14346" max="14346" width="25.28515625" style="62" customWidth="1"/>
    <col min="14347" max="14347" width="16.28515625" style="62" customWidth="1"/>
    <col min="14348" max="14592" width="9.28515625" style="62"/>
    <col min="14593" max="14593" width="15" style="62" customWidth="1"/>
    <col min="14594" max="14594" width="12.7109375" style="62" customWidth="1"/>
    <col min="14595" max="14595" width="11.7109375" style="62" customWidth="1"/>
    <col min="14596" max="14596" width="44.85546875" style="62" customWidth="1"/>
    <col min="14597" max="14597" width="54.7109375" style="62" customWidth="1"/>
    <col min="14598" max="14598" width="15.28515625" style="62" customWidth="1"/>
    <col min="14599" max="14600" width="19.28515625" style="62" customWidth="1"/>
    <col min="14601" max="14601" width="13.85546875" style="62" customWidth="1"/>
    <col min="14602" max="14602" width="25.28515625" style="62" customWidth="1"/>
    <col min="14603" max="14603" width="16.28515625" style="62" customWidth="1"/>
    <col min="14604" max="14848" width="9.28515625" style="62"/>
    <col min="14849" max="14849" width="15" style="62" customWidth="1"/>
    <col min="14850" max="14850" width="12.7109375" style="62" customWidth="1"/>
    <col min="14851" max="14851" width="11.7109375" style="62" customWidth="1"/>
    <col min="14852" max="14852" width="44.85546875" style="62" customWidth="1"/>
    <col min="14853" max="14853" width="54.7109375" style="62" customWidth="1"/>
    <col min="14854" max="14854" width="15.28515625" style="62" customWidth="1"/>
    <col min="14855" max="14856" width="19.28515625" style="62" customWidth="1"/>
    <col min="14857" max="14857" width="13.85546875" style="62" customWidth="1"/>
    <col min="14858" max="14858" width="25.28515625" style="62" customWidth="1"/>
    <col min="14859" max="14859" width="16.28515625" style="62" customWidth="1"/>
    <col min="14860" max="15104" width="9.28515625" style="62"/>
    <col min="15105" max="15105" width="15" style="62" customWidth="1"/>
    <col min="15106" max="15106" width="12.7109375" style="62" customWidth="1"/>
    <col min="15107" max="15107" width="11.7109375" style="62" customWidth="1"/>
    <col min="15108" max="15108" width="44.85546875" style="62" customWidth="1"/>
    <col min="15109" max="15109" width="54.7109375" style="62" customWidth="1"/>
    <col min="15110" max="15110" width="15.28515625" style="62" customWidth="1"/>
    <col min="15111" max="15112" width="19.28515625" style="62" customWidth="1"/>
    <col min="15113" max="15113" width="13.85546875" style="62" customWidth="1"/>
    <col min="15114" max="15114" width="25.28515625" style="62" customWidth="1"/>
    <col min="15115" max="15115" width="16.28515625" style="62" customWidth="1"/>
    <col min="15116" max="15360" width="9.28515625" style="62"/>
    <col min="15361" max="15361" width="15" style="62" customWidth="1"/>
    <col min="15362" max="15362" width="12.7109375" style="62" customWidth="1"/>
    <col min="15363" max="15363" width="11.7109375" style="62" customWidth="1"/>
    <col min="15364" max="15364" width="44.85546875" style="62" customWidth="1"/>
    <col min="15365" max="15365" width="54.7109375" style="62" customWidth="1"/>
    <col min="15366" max="15366" width="15.28515625" style="62" customWidth="1"/>
    <col min="15367" max="15368" width="19.28515625" style="62" customWidth="1"/>
    <col min="15369" max="15369" width="13.85546875" style="62" customWidth="1"/>
    <col min="15370" max="15370" width="25.28515625" style="62" customWidth="1"/>
    <col min="15371" max="15371" width="16.28515625" style="62" customWidth="1"/>
    <col min="15372" max="15616" width="9.28515625" style="62"/>
    <col min="15617" max="15617" width="15" style="62" customWidth="1"/>
    <col min="15618" max="15618" width="12.7109375" style="62" customWidth="1"/>
    <col min="15619" max="15619" width="11.7109375" style="62" customWidth="1"/>
    <col min="15620" max="15620" width="44.85546875" style="62" customWidth="1"/>
    <col min="15621" max="15621" width="54.7109375" style="62" customWidth="1"/>
    <col min="15622" max="15622" width="15.28515625" style="62" customWidth="1"/>
    <col min="15623" max="15624" width="19.28515625" style="62" customWidth="1"/>
    <col min="15625" max="15625" width="13.85546875" style="62" customWidth="1"/>
    <col min="15626" max="15626" width="25.28515625" style="62" customWidth="1"/>
    <col min="15627" max="15627" width="16.28515625" style="62" customWidth="1"/>
    <col min="15628" max="15872" width="9.28515625" style="62"/>
    <col min="15873" max="15873" width="15" style="62" customWidth="1"/>
    <col min="15874" max="15874" width="12.7109375" style="62" customWidth="1"/>
    <col min="15875" max="15875" width="11.7109375" style="62" customWidth="1"/>
    <col min="15876" max="15876" width="44.85546875" style="62" customWidth="1"/>
    <col min="15877" max="15877" width="54.7109375" style="62" customWidth="1"/>
    <col min="15878" max="15878" width="15.28515625" style="62" customWidth="1"/>
    <col min="15879" max="15880" width="19.28515625" style="62" customWidth="1"/>
    <col min="15881" max="15881" width="13.85546875" style="62" customWidth="1"/>
    <col min="15882" max="15882" width="25.28515625" style="62" customWidth="1"/>
    <col min="15883" max="15883" width="16.28515625" style="62" customWidth="1"/>
    <col min="15884" max="16128" width="9.28515625" style="62"/>
    <col min="16129" max="16129" width="15" style="62" customWidth="1"/>
    <col min="16130" max="16130" width="12.7109375" style="62" customWidth="1"/>
    <col min="16131" max="16131" width="11.7109375" style="62" customWidth="1"/>
    <col min="16132" max="16132" width="44.85546875" style="62" customWidth="1"/>
    <col min="16133" max="16133" width="54.7109375" style="62" customWidth="1"/>
    <col min="16134" max="16134" width="15.28515625" style="62" customWidth="1"/>
    <col min="16135" max="16136" width="19.28515625" style="62" customWidth="1"/>
    <col min="16137" max="16137" width="13.85546875" style="62" customWidth="1"/>
    <col min="16138" max="16138" width="25.28515625" style="62" customWidth="1"/>
    <col min="16139" max="16139" width="16.28515625" style="62" customWidth="1"/>
    <col min="16140" max="16384" width="9.28515625" style="62"/>
  </cols>
  <sheetData>
    <row r="2" spans="1:11" ht="15.75" x14ac:dyDescent="0.25">
      <c r="I2" s="559" t="s">
        <v>418</v>
      </c>
      <c r="J2" s="559"/>
      <c r="K2" s="4"/>
    </row>
    <row r="3" spans="1:11" ht="15.75" x14ac:dyDescent="0.25">
      <c r="I3" s="559" t="s">
        <v>620</v>
      </c>
      <c r="J3" s="559"/>
      <c r="K3" s="4"/>
    </row>
    <row r="4" spans="1:11" ht="15.75" x14ac:dyDescent="0.25">
      <c r="I4" s="1137" t="s">
        <v>653</v>
      </c>
      <c r="J4" s="1137"/>
      <c r="K4" s="1137"/>
    </row>
    <row r="5" spans="1:11" ht="15.75" x14ac:dyDescent="0.25">
      <c r="I5" s="253" t="s">
        <v>740</v>
      </c>
      <c r="J5" s="253"/>
      <c r="K5" s="253"/>
    </row>
    <row r="6" spans="1:11" ht="15.75" x14ac:dyDescent="0.25">
      <c r="I6" s="1261" t="s">
        <v>741</v>
      </c>
      <c r="J6" s="1261"/>
      <c r="K6" s="563"/>
    </row>
    <row r="7" spans="1:11" ht="15.75" x14ac:dyDescent="0.25">
      <c r="I7" s="564"/>
      <c r="J7" s="564"/>
      <c r="K7" s="565"/>
    </row>
    <row r="8" spans="1:11" ht="15.75" x14ac:dyDescent="0.25">
      <c r="I8" s="566"/>
      <c r="J8" s="566"/>
      <c r="K8" s="565"/>
    </row>
    <row r="9" spans="1:11" ht="15.75" x14ac:dyDescent="0.25">
      <c r="I9" s="1262"/>
      <c r="J9" s="1262"/>
      <c r="K9" s="1262"/>
    </row>
    <row r="10" spans="1:11" ht="14.1" customHeight="1" x14ac:dyDescent="0.25">
      <c r="G10" s="66"/>
      <c r="H10" s="66"/>
      <c r="I10" s="67"/>
      <c r="J10" s="67"/>
    </row>
    <row r="11" spans="1:11" ht="20.25" customHeight="1" x14ac:dyDescent="0.25">
      <c r="G11" s="66"/>
      <c r="H11" s="66"/>
      <c r="I11" s="67"/>
      <c r="J11" s="67"/>
    </row>
    <row r="12" spans="1:11" ht="15.75" x14ac:dyDescent="0.25">
      <c r="G12" s="66"/>
      <c r="H12" s="66"/>
      <c r="I12" s="121"/>
      <c r="J12" s="121"/>
    </row>
    <row r="13" spans="1:11" s="67" customFormat="1" ht="15.75" x14ac:dyDescent="0.25">
      <c r="A13" s="62"/>
      <c r="B13" s="63"/>
      <c r="C13" s="64"/>
      <c r="D13" s="65"/>
      <c r="E13" s="66"/>
      <c r="F13" s="64"/>
      <c r="G13" s="66"/>
      <c r="H13" s="66"/>
      <c r="I13" s="66"/>
      <c r="J13" s="66"/>
    </row>
    <row r="14" spans="1:11" ht="27" customHeight="1" x14ac:dyDescent="0.25">
      <c r="A14" s="1263" t="s">
        <v>559</v>
      </c>
      <c r="B14" s="1263"/>
      <c r="C14" s="1263"/>
      <c r="D14" s="1263"/>
      <c r="E14" s="1263"/>
      <c r="F14" s="1263"/>
      <c r="G14" s="1263"/>
      <c r="H14" s="1263"/>
      <c r="I14" s="1263"/>
      <c r="J14" s="1263"/>
      <c r="K14" s="1263"/>
    </row>
    <row r="15" spans="1:11" ht="28.35" customHeight="1" x14ac:dyDescent="0.25">
      <c r="A15" s="1264">
        <v>1559100000</v>
      </c>
      <c r="B15" s="1264"/>
      <c r="C15" s="1264"/>
      <c r="D15" s="1265"/>
      <c r="E15" s="1265"/>
      <c r="F15" s="1265"/>
      <c r="G15" s="1265"/>
      <c r="H15" s="1265"/>
      <c r="I15" s="1265"/>
      <c r="J15" s="1265"/>
      <c r="K15" s="1265"/>
    </row>
    <row r="16" spans="1:11" ht="22.15" customHeight="1" thickBot="1" x14ac:dyDescent="0.3">
      <c r="A16" s="1269" t="s">
        <v>0</v>
      </c>
      <c r="B16" s="1269"/>
      <c r="C16" s="1269"/>
      <c r="D16" s="561"/>
      <c r="E16" s="561"/>
      <c r="F16" s="70"/>
      <c r="G16" s="561"/>
      <c r="H16" s="561"/>
      <c r="I16" s="561"/>
      <c r="J16" s="561"/>
      <c r="K16" s="561"/>
    </row>
    <row r="17" spans="1:21" s="67" customFormat="1" ht="77.25" customHeight="1" x14ac:dyDescent="0.25">
      <c r="A17" s="1270" t="s">
        <v>8</v>
      </c>
      <c r="B17" s="1267" t="s">
        <v>9</v>
      </c>
      <c r="C17" s="1272" t="s">
        <v>236</v>
      </c>
      <c r="D17" s="1267" t="s">
        <v>237</v>
      </c>
      <c r="E17" s="1272" t="s">
        <v>560</v>
      </c>
      <c r="F17" s="1267" t="s">
        <v>561</v>
      </c>
      <c r="G17" s="1272" t="s">
        <v>562</v>
      </c>
      <c r="H17" s="1274" t="s">
        <v>563</v>
      </c>
      <c r="I17" s="1267" t="s">
        <v>564</v>
      </c>
      <c r="J17" s="1267" t="s">
        <v>658</v>
      </c>
      <c r="K17" s="1276" t="s">
        <v>565</v>
      </c>
      <c r="U17" s="960"/>
    </row>
    <row r="18" spans="1:21" s="67" customFormat="1" ht="157.9" customHeight="1" thickBot="1" x14ac:dyDescent="0.3">
      <c r="A18" s="1271"/>
      <c r="B18" s="1268"/>
      <c r="C18" s="1273"/>
      <c r="D18" s="1268"/>
      <c r="E18" s="1273"/>
      <c r="F18" s="1268"/>
      <c r="G18" s="1273"/>
      <c r="H18" s="1275"/>
      <c r="I18" s="1268"/>
      <c r="J18" s="1268"/>
      <c r="K18" s="1277"/>
    </row>
    <row r="19" spans="1:21" s="73" customFormat="1" ht="24" customHeight="1" thickBot="1" x14ac:dyDescent="0.3">
      <c r="A19" s="396" t="s">
        <v>244</v>
      </c>
      <c r="B19" s="72" t="s">
        <v>245</v>
      </c>
      <c r="C19" s="397" t="s">
        <v>246</v>
      </c>
      <c r="D19" s="72" t="s">
        <v>402</v>
      </c>
      <c r="E19" s="72" t="s">
        <v>247</v>
      </c>
      <c r="F19" s="72" t="s">
        <v>248</v>
      </c>
      <c r="G19" s="72" t="s">
        <v>249</v>
      </c>
      <c r="H19" s="397" t="s">
        <v>250</v>
      </c>
      <c r="I19" s="397" t="s">
        <v>251</v>
      </c>
      <c r="J19" s="397" t="s">
        <v>652</v>
      </c>
      <c r="K19" s="955">
        <v>11</v>
      </c>
    </row>
    <row r="20" spans="1:21" s="73" customFormat="1" ht="21" thickBot="1" x14ac:dyDescent="0.3">
      <c r="A20" s="401"/>
      <c r="B20" s="402"/>
      <c r="C20" s="403"/>
      <c r="D20" s="246"/>
      <c r="E20" s="74"/>
      <c r="F20" s="75"/>
      <c r="G20" s="404"/>
      <c r="H20" s="405"/>
      <c r="I20" s="405"/>
      <c r="J20" s="405"/>
      <c r="K20" s="956"/>
    </row>
    <row r="21" spans="1:21" s="73" customFormat="1" ht="60" customHeight="1" thickBot="1" x14ac:dyDescent="0.3">
      <c r="A21" s="408"/>
      <c r="B21" s="409"/>
      <c r="C21" s="409"/>
      <c r="D21" s="562"/>
      <c r="E21" s="410"/>
      <c r="F21" s="411"/>
      <c r="G21" s="412"/>
      <c r="H21" s="413"/>
      <c r="I21" s="413"/>
      <c r="J21" s="413"/>
      <c r="K21" s="957"/>
    </row>
    <row r="22" spans="1:21" ht="21" thickBot="1" x14ac:dyDescent="0.3">
      <c r="A22" s="538" t="s">
        <v>257</v>
      </c>
      <c r="B22" s="75" t="s">
        <v>257</v>
      </c>
      <c r="C22" s="75" t="s">
        <v>257</v>
      </c>
      <c r="D22" s="74" t="s">
        <v>138</v>
      </c>
      <c r="E22" s="97" t="s">
        <v>257</v>
      </c>
      <c r="F22" s="98" t="s">
        <v>257</v>
      </c>
      <c r="G22" s="99" t="s">
        <v>257</v>
      </c>
      <c r="H22" s="99" t="s">
        <v>257</v>
      </c>
      <c r="I22" s="99" t="s">
        <v>257</v>
      </c>
      <c r="J22" s="99"/>
      <c r="K22" s="958" t="s">
        <v>257</v>
      </c>
      <c r="M22" s="101"/>
    </row>
    <row r="23" spans="1:21" ht="20.25" x14ac:dyDescent="0.25">
      <c r="A23" s="102"/>
      <c r="B23" s="103"/>
      <c r="C23" s="103"/>
      <c r="D23" s="104"/>
      <c r="E23" s="105"/>
      <c r="F23" s="106"/>
      <c r="G23" s="107"/>
      <c r="H23" s="107"/>
      <c r="I23" s="107"/>
      <c r="J23" s="107"/>
      <c r="K23" s="108"/>
    </row>
    <row r="24" spans="1:21" s="23" customFormat="1" ht="49.9" customHeight="1" x14ac:dyDescent="0.3">
      <c r="A24" s="1266" t="s">
        <v>566</v>
      </c>
      <c r="B24" s="1266"/>
      <c r="C24" s="1266"/>
      <c r="D24" s="1266"/>
      <c r="E24" s="1266"/>
      <c r="F24" s="1266"/>
      <c r="G24" s="1266"/>
      <c r="H24" s="1266"/>
      <c r="I24" s="1266"/>
      <c r="J24" s="1266"/>
      <c r="K24" s="1266"/>
      <c r="L24" s="20"/>
      <c r="M24" s="560"/>
      <c r="N24" s="560"/>
      <c r="O24" s="21"/>
      <c r="P24" s="22"/>
    </row>
    <row r="26" spans="1:21" s="17" customFormat="1" ht="20.25" x14ac:dyDescent="0.3">
      <c r="A26" s="110"/>
      <c r="B26" s="110"/>
      <c r="G26" s="111"/>
      <c r="K26" s="112"/>
    </row>
    <row r="27" spans="1:21" s="114" customFormat="1" ht="21" x14ac:dyDescent="0.35">
      <c r="A27" s="113"/>
      <c r="B27" s="113"/>
    </row>
    <row r="28" spans="1:21" s="115" customFormat="1" ht="20.25" x14ac:dyDescent="0.3">
      <c r="B28" s="116"/>
      <c r="C28" s="117"/>
      <c r="E28" s="118"/>
      <c r="F28" s="117"/>
      <c r="G28" s="111"/>
      <c r="H28" s="111"/>
      <c r="I28" s="111"/>
      <c r="J28" s="111"/>
      <c r="K28" s="540"/>
    </row>
    <row r="29" spans="1:21" x14ac:dyDescent="0.25">
      <c r="B29" s="62"/>
      <c r="C29" s="62"/>
      <c r="D29" s="62"/>
      <c r="E29" s="62"/>
      <c r="F29" s="62"/>
      <c r="G29" s="62"/>
      <c r="H29" s="62"/>
      <c r="I29" s="62"/>
      <c r="J29" s="62"/>
      <c r="K29" s="62"/>
    </row>
    <row r="30" spans="1:21" x14ac:dyDescent="0.25">
      <c r="B30" s="62"/>
      <c r="C30" s="62"/>
      <c r="D30" s="62"/>
      <c r="E30" s="62"/>
      <c r="F30" s="62"/>
      <c r="G30" s="62"/>
      <c r="H30" s="62"/>
      <c r="I30" s="62"/>
      <c r="J30" s="62"/>
      <c r="K30" s="62"/>
    </row>
  </sheetData>
  <mergeCells count="19">
    <mergeCell ref="A24:K24"/>
    <mergeCell ref="J17:J18"/>
    <mergeCell ref="A16:C16"/>
    <mergeCell ref="A17:A18"/>
    <mergeCell ref="B17:B18"/>
    <mergeCell ref="C17:C18"/>
    <mergeCell ref="D17:D18"/>
    <mergeCell ref="E17:E18"/>
    <mergeCell ref="F17:F18"/>
    <mergeCell ref="G17:G18"/>
    <mergeCell ref="H17:H18"/>
    <mergeCell ref="I17:I18"/>
    <mergeCell ref="K17:K18"/>
    <mergeCell ref="I4:K4"/>
    <mergeCell ref="I6:J6"/>
    <mergeCell ref="I9:K9"/>
    <mergeCell ref="A14:K14"/>
    <mergeCell ref="A15:C15"/>
    <mergeCell ref="D15:K15"/>
  </mergeCells>
  <pageMargins left="0.78740157480314965" right="0.78740157480314965" top="1.1811023622047245" bottom="0.3937007874015748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V131"/>
  <sheetViews>
    <sheetView view="pageBreakPreview" topLeftCell="A120" zoomScale="80" zoomScaleNormal="100" zoomScaleSheetLayoutView="80" workbookViewId="0">
      <selection activeCell="Q42" sqref="Q42"/>
    </sheetView>
  </sheetViews>
  <sheetFormatPr defaultColWidth="8.85546875" defaultRowHeight="15.75" x14ac:dyDescent="0.2"/>
  <cols>
    <col min="1" max="1" width="12.42578125" style="823" customWidth="1"/>
    <col min="2" max="2" width="8.5703125" style="823" customWidth="1"/>
    <col min="3" max="3" width="8.42578125" style="824" customWidth="1"/>
    <col min="4" max="4" width="31" style="823" customWidth="1"/>
    <col min="5" max="5" width="31.5703125" style="823" customWidth="1"/>
    <col min="6" max="6" width="23.5703125" style="825" customWidth="1"/>
    <col min="7" max="7" width="15.7109375" style="826" customWidth="1"/>
    <col min="8" max="8" width="16.28515625" style="827" customWidth="1"/>
    <col min="9" max="9" width="14.5703125" style="827" customWidth="1"/>
    <col min="10" max="10" width="14.42578125" style="827" customWidth="1"/>
    <col min="11" max="11" width="14.85546875" style="827" customWidth="1"/>
    <col min="12" max="12" width="15" style="827" customWidth="1"/>
    <col min="13" max="13" width="15.85546875" style="827" customWidth="1"/>
    <col min="14" max="14" width="15.7109375" style="827" customWidth="1"/>
    <col min="15" max="15" width="10.140625" style="828" customWidth="1"/>
    <col min="16" max="16" width="14.140625" style="823" customWidth="1"/>
    <col min="17" max="17" width="25.42578125" style="823" customWidth="1"/>
    <col min="18" max="256" width="8.85546875" style="823"/>
    <col min="257" max="257" width="12.5703125" style="823" customWidth="1"/>
    <col min="258" max="258" width="9.85546875" style="823" customWidth="1"/>
    <col min="259" max="259" width="9.5703125" style="823" customWidth="1"/>
    <col min="260" max="260" width="30.5703125" style="823" customWidth="1"/>
    <col min="261" max="261" width="28.85546875" style="823" customWidth="1"/>
    <col min="262" max="262" width="21.42578125" style="823" customWidth="1"/>
    <col min="263" max="263" width="18" style="823" customWidth="1"/>
    <col min="264" max="264" width="15.85546875" style="823" customWidth="1"/>
    <col min="265" max="265" width="16.5703125" style="823" customWidth="1"/>
    <col min="266" max="266" width="18.85546875" style="823" customWidth="1"/>
    <col min="267" max="267" width="16.42578125" style="823" customWidth="1"/>
    <col min="268" max="268" width="16.140625" style="823" customWidth="1"/>
    <col min="269" max="269" width="19.7109375" style="823" customWidth="1"/>
    <col min="270" max="270" width="14.85546875" style="823" customWidth="1"/>
    <col min="271" max="271" width="11.5703125" style="823" customWidth="1"/>
    <col min="272" max="512" width="8.85546875" style="823"/>
    <col min="513" max="513" width="12.5703125" style="823" customWidth="1"/>
    <col min="514" max="514" width="9.85546875" style="823" customWidth="1"/>
    <col min="515" max="515" width="9.5703125" style="823" customWidth="1"/>
    <col min="516" max="516" width="30.5703125" style="823" customWidth="1"/>
    <col min="517" max="517" width="28.85546875" style="823" customWidth="1"/>
    <col min="518" max="518" width="21.42578125" style="823" customWidth="1"/>
    <col min="519" max="519" width="18" style="823" customWidth="1"/>
    <col min="520" max="520" width="15.85546875" style="823" customWidth="1"/>
    <col min="521" max="521" width="16.5703125" style="823" customWidth="1"/>
    <col min="522" max="522" width="18.85546875" style="823" customWidth="1"/>
    <col min="523" max="523" width="16.42578125" style="823" customWidth="1"/>
    <col min="524" max="524" width="16.140625" style="823" customWidth="1"/>
    <col min="525" max="525" width="19.7109375" style="823" customWidth="1"/>
    <col min="526" max="526" width="14.85546875" style="823" customWidth="1"/>
    <col min="527" max="527" width="11.5703125" style="823" customWidth="1"/>
    <col min="528" max="768" width="8.85546875" style="823"/>
    <col min="769" max="769" width="12.5703125" style="823" customWidth="1"/>
    <col min="770" max="770" width="9.85546875" style="823" customWidth="1"/>
    <col min="771" max="771" width="9.5703125" style="823" customWidth="1"/>
    <col min="772" max="772" width="30.5703125" style="823" customWidth="1"/>
    <col min="773" max="773" width="28.85546875" style="823" customWidth="1"/>
    <col min="774" max="774" width="21.42578125" style="823" customWidth="1"/>
    <col min="775" max="775" width="18" style="823" customWidth="1"/>
    <col min="776" max="776" width="15.85546875" style="823" customWidth="1"/>
    <col min="777" max="777" width="16.5703125" style="823" customWidth="1"/>
    <col min="778" max="778" width="18.85546875" style="823" customWidth="1"/>
    <col min="779" max="779" width="16.42578125" style="823" customWidth="1"/>
    <col min="780" max="780" width="16.140625" style="823" customWidth="1"/>
    <col min="781" max="781" width="19.7109375" style="823" customWidth="1"/>
    <col min="782" max="782" width="14.85546875" style="823" customWidth="1"/>
    <col min="783" max="783" width="11.5703125" style="823" customWidth="1"/>
    <col min="784" max="1024" width="8.85546875" style="823"/>
    <col min="1025" max="1025" width="12.5703125" style="823" customWidth="1"/>
    <col min="1026" max="1026" width="9.85546875" style="823" customWidth="1"/>
    <col min="1027" max="1027" width="9.5703125" style="823" customWidth="1"/>
    <col min="1028" max="1028" width="30.5703125" style="823" customWidth="1"/>
    <col min="1029" max="1029" width="28.85546875" style="823" customWidth="1"/>
    <col min="1030" max="1030" width="21.42578125" style="823" customWidth="1"/>
    <col min="1031" max="1031" width="18" style="823" customWidth="1"/>
    <col min="1032" max="1032" width="15.85546875" style="823" customWidth="1"/>
    <col min="1033" max="1033" width="16.5703125" style="823" customWidth="1"/>
    <col min="1034" max="1034" width="18.85546875" style="823" customWidth="1"/>
    <col min="1035" max="1035" width="16.42578125" style="823" customWidth="1"/>
    <col min="1036" max="1036" width="16.140625" style="823" customWidth="1"/>
    <col min="1037" max="1037" width="19.7109375" style="823" customWidth="1"/>
    <col min="1038" max="1038" width="14.85546875" style="823" customWidth="1"/>
    <col min="1039" max="1039" width="11.5703125" style="823" customWidth="1"/>
    <col min="1040" max="1280" width="8.85546875" style="823"/>
    <col min="1281" max="1281" width="12.5703125" style="823" customWidth="1"/>
    <col min="1282" max="1282" width="9.85546875" style="823" customWidth="1"/>
    <col min="1283" max="1283" width="9.5703125" style="823" customWidth="1"/>
    <col min="1284" max="1284" width="30.5703125" style="823" customWidth="1"/>
    <col min="1285" max="1285" width="28.85546875" style="823" customWidth="1"/>
    <col min="1286" max="1286" width="21.42578125" style="823" customWidth="1"/>
    <col min="1287" max="1287" width="18" style="823" customWidth="1"/>
    <col min="1288" max="1288" width="15.85546875" style="823" customWidth="1"/>
    <col min="1289" max="1289" width="16.5703125" style="823" customWidth="1"/>
    <col min="1290" max="1290" width="18.85546875" style="823" customWidth="1"/>
    <col min="1291" max="1291" width="16.42578125" style="823" customWidth="1"/>
    <col min="1292" max="1292" width="16.140625" style="823" customWidth="1"/>
    <col min="1293" max="1293" width="19.7109375" style="823" customWidth="1"/>
    <col min="1294" max="1294" width="14.85546875" style="823" customWidth="1"/>
    <col min="1295" max="1295" width="11.5703125" style="823" customWidth="1"/>
    <col min="1296" max="1536" width="8.85546875" style="823"/>
    <col min="1537" max="1537" width="12.5703125" style="823" customWidth="1"/>
    <col min="1538" max="1538" width="9.85546875" style="823" customWidth="1"/>
    <col min="1539" max="1539" width="9.5703125" style="823" customWidth="1"/>
    <col min="1540" max="1540" width="30.5703125" style="823" customWidth="1"/>
    <col min="1541" max="1541" width="28.85546875" style="823" customWidth="1"/>
    <col min="1542" max="1542" width="21.42578125" style="823" customWidth="1"/>
    <col min="1543" max="1543" width="18" style="823" customWidth="1"/>
    <col min="1544" max="1544" width="15.85546875" style="823" customWidth="1"/>
    <col min="1545" max="1545" width="16.5703125" style="823" customWidth="1"/>
    <col min="1546" max="1546" width="18.85546875" style="823" customWidth="1"/>
    <col min="1547" max="1547" width="16.42578125" style="823" customWidth="1"/>
    <col min="1548" max="1548" width="16.140625" style="823" customWidth="1"/>
    <col min="1549" max="1549" width="19.7109375" style="823" customWidth="1"/>
    <col min="1550" max="1550" width="14.85546875" style="823" customWidth="1"/>
    <col min="1551" max="1551" width="11.5703125" style="823" customWidth="1"/>
    <col min="1552" max="1792" width="8.85546875" style="823"/>
    <col min="1793" max="1793" width="12.5703125" style="823" customWidth="1"/>
    <col min="1794" max="1794" width="9.85546875" style="823" customWidth="1"/>
    <col min="1795" max="1795" width="9.5703125" style="823" customWidth="1"/>
    <col min="1796" max="1796" width="30.5703125" style="823" customWidth="1"/>
    <col min="1797" max="1797" width="28.85546875" style="823" customWidth="1"/>
    <col min="1798" max="1798" width="21.42578125" style="823" customWidth="1"/>
    <col min="1799" max="1799" width="18" style="823" customWidth="1"/>
    <col min="1800" max="1800" width="15.85546875" style="823" customWidth="1"/>
    <col min="1801" max="1801" width="16.5703125" style="823" customWidth="1"/>
    <col min="1802" max="1802" width="18.85546875" style="823" customWidth="1"/>
    <col min="1803" max="1803" width="16.42578125" style="823" customWidth="1"/>
    <col min="1804" max="1804" width="16.140625" style="823" customWidth="1"/>
    <col min="1805" max="1805" width="19.7109375" style="823" customWidth="1"/>
    <col min="1806" max="1806" width="14.85546875" style="823" customWidth="1"/>
    <col min="1807" max="1807" width="11.5703125" style="823" customWidth="1"/>
    <col min="1808" max="2048" width="8.85546875" style="823"/>
    <col min="2049" max="2049" width="12.5703125" style="823" customWidth="1"/>
    <col min="2050" max="2050" width="9.85546875" style="823" customWidth="1"/>
    <col min="2051" max="2051" width="9.5703125" style="823" customWidth="1"/>
    <col min="2052" max="2052" width="30.5703125" style="823" customWidth="1"/>
    <col min="2053" max="2053" width="28.85546875" style="823" customWidth="1"/>
    <col min="2054" max="2054" width="21.42578125" style="823" customWidth="1"/>
    <col min="2055" max="2055" width="18" style="823" customWidth="1"/>
    <col min="2056" max="2056" width="15.85546875" style="823" customWidth="1"/>
    <col min="2057" max="2057" width="16.5703125" style="823" customWidth="1"/>
    <col min="2058" max="2058" width="18.85546875" style="823" customWidth="1"/>
    <col min="2059" max="2059" width="16.42578125" style="823" customWidth="1"/>
    <col min="2060" max="2060" width="16.140625" style="823" customWidth="1"/>
    <col min="2061" max="2061" width="19.7109375" style="823" customWidth="1"/>
    <col min="2062" max="2062" width="14.85546875" style="823" customWidth="1"/>
    <col min="2063" max="2063" width="11.5703125" style="823" customWidth="1"/>
    <col min="2064" max="2304" width="8.85546875" style="823"/>
    <col min="2305" max="2305" width="12.5703125" style="823" customWidth="1"/>
    <col min="2306" max="2306" width="9.85546875" style="823" customWidth="1"/>
    <col min="2307" max="2307" width="9.5703125" style="823" customWidth="1"/>
    <col min="2308" max="2308" width="30.5703125" style="823" customWidth="1"/>
    <col min="2309" max="2309" width="28.85546875" style="823" customWidth="1"/>
    <col min="2310" max="2310" width="21.42578125" style="823" customWidth="1"/>
    <col min="2311" max="2311" width="18" style="823" customWidth="1"/>
    <col min="2312" max="2312" width="15.85546875" style="823" customWidth="1"/>
    <col min="2313" max="2313" width="16.5703125" style="823" customWidth="1"/>
    <col min="2314" max="2314" width="18.85546875" style="823" customWidth="1"/>
    <col min="2315" max="2315" width="16.42578125" style="823" customWidth="1"/>
    <col min="2316" max="2316" width="16.140625" style="823" customWidth="1"/>
    <col min="2317" max="2317" width="19.7109375" style="823" customWidth="1"/>
    <col min="2318" max="2318" width="14.85546875" style="823" customWidth="1"/>
    <col min="2319" max="2319" width="11.5703125" style="823" customWidth="1"/>
    <col min="2320" max="2560" width="8.85546875" style="823"/>
    <col min="2561" max="2561" width="12.5703125" style="823" customWidth="1"/>
    <col min="2562" max="2562" width="9.85546875" style="823" customWidth="1"/>
    <col min="2563" max="2563" width="9.5703125" style="823" customWidth="1"/>
    <col min="2564" max="2564" width="30.5703125" style="823" customWidth="1"/>
    <col min="2565" max="2565" width="28.85546875" style="823" customWidth="1"/>
    <col min="2566" max="2566" width="21.42578125" style="823" customWidth="1"/>
    <col min="2567" max="2567" width="18" style="823" customWidth="1"/>
    <col min="2568" max="2568" width="15.85546875" style="823" customWidth="1"/>
    <col min="2569" max="2569" width="16.5703125" style="823" customWidth="1"/>
    <col min="2570" max="2570" width="18.85546875" style="823" customWidth="1"/>
    <col min="2571" max="2571" width="16.42578125" style="823" customWidth="1"/>
    <col min="2572" max="2572" width="16.140625" style="823" customWidth="1"/>
    <col min="2573" max="2573" width="19.7109375" style="823" customWidth="1"/>
    <col min="2574" max="2574" width="14.85546875" style="823" customWidth="1"/>
    <col min="2575" max="2575" width="11.5703125" style="823" customWidth="1"/>
    <col min="2576" max="2816" width="8.85546875" style="823"/>
    <col min="2817" max="2817" width="12.5703125" style="823" customWidth="1"/>
    <col min="2818" max="2818" width="9.85546875" style="823" customWidth="1"/>
    <col min="2819" max="2819" width="9.5703125" style="823" customWidth="1"/>
    <col min="2820" max="2820" width="30.5703125" style="823" customWidth="1"/>
    <col min="2821" max="2821" width="28.85546875" style="823" customWidth="1"/>
    <col min="2822" max="2822" width="21.42578125" style="823" customWidth="1"/>
    <col min="2823" max="2823" width="18" style="823" customWidth="1"/>
    <col min="2824" max="2824" width="15.85546875" style="823" customWidth="1"/>
    <col min="2825" max="2825" width="16.5703125" style="823" customWidth="1"/>
    <col min="2826" max="2826" width="18.85546875" style="823" customWidth="1"/>
    <col min="2827" max="2827" width="16.42578125" style="823" customWidth="1"/>
    <col min="2828" max="2828" width="16.140625" style="823" customWidth="1"/>
    <col min="2829" max="2829" width="19.7109375" style="823" customWidth="1"/>
    <col min="2830" max="2830" width="14.85546875" style="823" customWidth="1"/>
    <col min="2831" max="2831" width="11.5703125" style="823" customWidth="1"/>
    <col min="2832" max="3072" width="8.85546875" style="823"/>
    <col min="3073" max="3073" width="12.5703125" style="823" customWidth="1"/>
    <col min="3074" max="3074" width="9.85546875" style="823" customWidth="1"/>
    <col min="3075" max="3075" width="9.5703125" style="823" customWidth="1"/>
    <col min="3076" max="3076" width="30.5703125" style="823" customWidth="1"/>
    <col min="3077" max="3077" width="28.85546875" style="823" customWidth="1"/>
    <col min="3078" max="3078" width="21.42578125" style="823" customWidth="1"/>
    <col min="3079" max="3079" width="18" style="823" customWidth="1"/>
    <col min="3080" max="3080" width="15.85546875" style="823" customWidth="1"/>
    <col min="3081" max="3081" width="16.5703125" style="823" customWidth="1"/>
    <col min="3082" max="3082" width="18.85546875" style="823" customWidth="1"/>
    <col min="3083" max="3083" width="16.42578125" style="823" customWidth="1"/>
    <col min="3084" max="3084" width="16.140625" style="823" customWidth="1"/>
    <col min="3085" max="3085" width="19.7109375" style="823" customWidth="1"/>
    <col min="3086" max="3086" width="14.85546875" style="823" customWidth="1"/>
    <col min="3087" max="3087" width="11.5703125" style="823" customWidth="1"/>
    <col min="3088" max="3328" width="8.85546875" style="823"/>
    <col min="3329" max="3329" width="12.5703125" style="823" customWidth="1"/>
    <col min="3330" max="3330" width="9.85546875" style="823" customWidth="1"/>
    <col min="3331" max="3331" width="9.5703125" style="823" customWidth="1"/>
    <col min="3332" max="3332" width="30.5703125" style="823" customWidth="1"/>
    <col min="3333" max="3333" width="28.85546875" style="823" customWidth="1"/>
    <col min="3334" max="3334" width="21.42578125" style="823" customWidth="1"/>
    <col min="3335" max="3335" width="18" style="823" customWidth="1"/>
    <col min="3336" max="3336" width="15.85546875" style="823" customWidth="1"/>
    <col min="3337" max="3337" width="16.5703125" style="823" customWidth="1"/>
    <col min="3338" max="3338" width="18.85546875" style="823" customWidth="1"/>
    <col min="3339" max="3339" width="16.42578125" style="823" customWidth="1"/>
    <col min="3340" max="3340" width="16.140625" style="823" customWidth="1"/>
    <col min="3341" max="3341" width="19.7109375" style="823" customWidth="1"/>
    <col min="3342" max="3342" width="14.85546875" style="823" customWidth="1"/>
    <col min="3343" max="3343" width="11.5703125" style="823" customWidth="1"/>
    <col min="3344" max="3584" width="8.85546875" style="823"/>
    <col min="3585" max="3585" width="12.5703125" style="823" customWidth="1"/>
    <col min="3586" max="3586" width="9.85546875" style="823" customWidth="1"/>
    <col min="3587" max="3587" width="9.5703125" style="823" customWidth="1"/>
    <col min="3588" max="3588" width="30.5703125" style="823" customWidth="1"/>
    <col min="3589" max="3589" width="28.85546875" style="823" customWidth="1"/>
    <col min="3590" max="3590" width="21.42578125" style="823" customWidth="1"/>
    <col min="3591" max="3591" width="18" style="823" customWidth="1"/>
    <col min="3592" max="3592" width="15.85546875" style="823" customWidth="1"/>
    <col min="3593" max="3593" width="16.5703125" style="823" customWidth="1"/>
    <col min="3594" max="3594" width="18.85546875" style="823" customWidth="1"/>
    <col min="3595" max="3595" width="16.42578125" style="823" customWidth="1"/>
    <col min="3596" max="3596" width="16.140625" style="823" customWidth="1"/>
    <col min="3597" max="3597" width="19.7109375" style="823" customWidth="1"/>
    <col min="3598" max="3598" width="14.85546875" style="823" customWidth="1"/>
    <col min="3599" max="3599" width="11.5703125" style="823" customWidth="1"/>
    <col min="3600" max="3840" width="8.85546875" style="823"/>
    <col min="3841" max="3841" width="12.5703125" style="823" customWidth="1"/>
    <col min="3842" max="3842" width="9.85546875" style="823" customWidth="1"/>
    <col min="3843" max="3843" width="9.5703125" style="823" customWidth="1"/>
    <col min="3844" max="3844" width="30.5703125" style="823" customWidth="1"/>
    <col min="3845" max="3845" width="28.85546875" style="823" customWidth="1"/>
    <col min="3846" max="3846" width="21.42578125" style="823" customWidth="1"/>
    <col min="3847" max="3847" width="18" style="823" customWidth="1"/>
    <col min="3848" max="3848" width="15.85546875" style="823" customWidth="1"/>
    <col min="3849" max="3849" width="16.5703125" style="823" customWidth="1"/>
    <col min="3850" max="3850" width="18.85546875" style="823" customWidth="1"/>
    <col min="3851" max="3851" width="16.42578125" style="823" customWidth="1"/>
    <col min="3852" max="3852" width="16.140625" style="823" customWidth="1"/>
    <col min="3853" max="3853" width="19.7109375" style="823" customWidth="1"/>
    <col min="3854" max="3854" width="14.85546875" style="823" customWidth="1"/>
    <col min="3855" max="3855" width="11.5703125" style="823" customWidth="1"/>
    <col min="3856" max="4096" width="8.85546875" style="823"/>
    <col min="4097" max="4097" width="12.5703125" style="823" customWidth="1"/>
    <col min="4098" max="4098" width="9.85546875" style="823" customWidth="1"/>
    <col min="4099" max="4099" width="9.5703125" style="823" customWidth="1"/>
    <col min="4100" max="4100" width="30.5703125" style="823" customWidth="1"/>
    <col min="4101" max="4101" width="28.85546875" style="823" customWidth="1"/>
    <col min="4102" max="4102" width="21.42578125" style="823" customWidth="1"/>
    <col min="4103" max="4103" width="18" style="823" customWidth="1"/>
    <col min="4104" max="4104" width="15.85546875" style="823" customWidth="1"/>
    <col min="4105" max="4105" width="16.5703125" style="823" customWidth="1"/>
    <col min="4106" max="4106" width="18.85546875" style="823" customWidth="1"/>
    <col min="4107" max="4107" width="16.42578125" style="823" customWidth="1"/>
    <col min="4108" max="4108" width="16.140625" style="823" customWidth="1"/>
    <col min="4109" max="4109" width="19.7109375" style="823" customWidth="1"/>
    <col min="4110" max="4110" width="14.85546875" style="823" customWidth="1"/>
    <col min="4111" max="4111" width="11.5703125" style="823" customWidth="1"/>
    <col min="4112" max="4352" width="8.85546875" style="823"/>
    <col min="4353" max="4353" width="12.5703125" style="823" customWidth="1"/>
    <col min="4354" max="4354" width="9.85546875" style="823" customWidth="1"/>
    <col min="4355" max="4355" width="9.5703125" style="823" customWidth="1"/>
    <col min="4356" max="4356" width="30.5703125" style="823" customWidth="1"/>
    <col min="4357" max="4357" width="28.85546875" style="823" customWidth="1"/>
    <col min="4358" max="4358" width="21.42578125" style="823" customWidth="1"/>
    <col min="4359" max="4359" width="18" style="823" customWidth="1"/>
    <col min="4360" max="4360" width="15.85546875" style="823" customWidth="1"/>
    <col min="4361" max="4361" width="16.5703125" style="823" customWidth="1"/>
    <col min="4362" max="4362" width="18.85546875" style="823" customWidth="1"/>
    <col min="4363" max="4363" width="16.42578125" style="823" customWidth="1"/>
    <col min="4364" max="4364" width="16.140625" style="823" customWidth="1"/>
    <col min="4365" max="4365" width="19.7109375" style="823" customWidth="1"/>
    <col min="4366" max="4366" width="14.85546875" style="823" customWidth="1"/>
    <col min="4367" max="4367" width="11.5703125" style="823" customWidth="1"/>
    <col min="4368" max="4608" width="8.85546875" style="823"/>
    <col min="4609" max="4609" width="12.5703125" style="823" customWidth="1"/>
    <col min="4610" max="4610" width="9.85546875" style="823" customWidth="1"/>
    <col min="4611" max="4611" width="9.5703125" style="823" customWidth="1"/>
    <col min="4612" max="4612" width="30.5703125" style="823" customWidth="1"/>
    <col min="4613" max="4613" width="28.85546875" style="823" customWidth="1"/>
    <col min="4614" max="4614" width="21.42578125" style="823" customWidth="1"/>
    <col min="4615" max="4615" width="18" style="823" customWidth="1"/>
    <col min="4616" max="4616" width="15.85546875" style="823" customWidth="1"/>
    <col min="4617" max="4617" width="16.5703125" style="823" customWidth="1"/>
    <col min="4618" max="4618" width="18.85546875" style="823" customWidth="1"/>
    <col min="4619" max="4619" width="16.42578125" style="823" customWidth="1"/>
    <col min="4620" max="4620" width="16.140625" style="823" customWidth="1"/>
    <col min="4621" max="4621" width="19.7109375" style="823" customWidth="1"/>
    <col min="4622" max="4622" width="14.85546875" style="823" customWidth="1"/>
    <col min="4623" max="4623" width="11.5703125" style="823" customWidth="1"/>
    <col min="4624" max="4864" width="8.85546875" style="823"/>
    <col min="4865" max="4865" width="12.5703125" style="823" customWidth="1"/>
    <col min="4866" max="4866" width="9.85546875" style="823" customWidth="1"/>
    <col min="4867" max="4867" width="9.5703125" style="823" customWidth="1"/>
    <col min="4868" max="4868" width="30.5703125" style="823" customWidth="1"/>
    <col min="4869" max="4869" width="28.85546875" style="823" customWidth="1"/>
    <col min="4870" max="4870" width="21.42578125" style="823" customWidth="1"/>
    <col min="4871" max="4871" width="18" style="823" customWidth="1"/>
    <col min="4872" max="4872" width="15.85546875" style="823" customWidth="1"/>
    <col min="4873" max="4873" width="16.5703125" style="823" customWidth="1"/>
    <col min="4874" max="4874" width="18.85546875" style="823" customWidth="1"/>
    <col min="4875" max="4875" width="16.42578125" style="823" customWidth="1"/>
    <col min="4876" max="4876" width="16.140625" style="823" customWidth="1"/>
    <col min="4877" max="4877" width="19.7109375" style="823" customWidth="1"/>
    <col min="4878" max="4878" width="14.85546875" style="823" customWidth="1"/>
    <col min="4879" max="4879" width="11.5703125" style="823" customWidth="1"/>
    <col min="4880" max="5120" width="8.85546875" style="823"/>
    <col min="5121" max="5121" width="12.5703125" style="823" customWidth="1"/>
    <col min="5122" max="5122" width="9.85546875" style="823" customWidth="1"/>
    <col min="5123" max="5123" width="9.5703125" style="823" customWidth="1"/>
    <col min="5124" max="5124" width="30.5703125" style="823" customWidth="1"/>
    <col min="5125" max="5125" width="28.85546875" style="823" customWidth="1"/>
    <col min="5126" max="5126" width="21.42578125" style="823" customWidth="1"/>
    <col min="5127" max="5127" width="18" style="823" customWidth="1"/>
    <col min="5128" max="5128" width="15.85546875" style="823" customWidth="1"/>
    <col min="5129" max="5129" width="16.5703125" style="823" customWidth="1"/>
    <col min="5130" max="5130" width="18.85546875" style="823" customWidth="1"/>
    <col min="5131" max="5131" width="16.42578125" style="823" customWidth="1"/>
    <col min="5132" max="5132" width="16.140625" style="823" customWidth="1"/>
    <col min="5133" max="5133" width="19.7109375" style="823" customWidth="1"/>
    <col min="5134" max="5134" width="14.85546875" style="823" customWidth="1"/>
    <col min="5135" max="5135" width="11.5703125" style="823" customWidth="1"/>
    <col min="5136" max="5376" width="8.85546875" style="823"/>
    <col min="5377" max="5377" width="12.5703125" style="823" customWidth="1"/>
    <col min="5378" max="5378" width="9.85546875" style="823" customWidth="1"/>
    <col min="5379" max="5379" width="9.5703125" style="823" customWidth="1"/>
    <col min="5380" max="5380" width="30.5703125" style="823" customWidth="1"/>
    <col min="5381" max="5381" width="28.85546875" style="823" customWidth="1"/>
    <col min="5382" max="5382" width="21.42578125" style="823" customWidth="1"/>
    <col min="5383" max="5383" width="18" style="823" customWidth="1"/>
    <col min="5384" max="5384" width="15.85546875" style="823" customWidth="1"/>
    <col min="5385" max="5385" width="16.5703125" style="823" customWidth="1"/>
    <col min="5386" max="5386" width="18.85546875" style="823" customWidth="1"/>
    <col min="5387" max="5387" width="16.42578125" style="823" customWidth="1"/>
    <col min="5388" max="5388" width="16.140625" style="823" customWidth="1"/>
    <col min="5389" max="5389" width="19.7109375" style="823" customWidth="1"/>
    <col min="5390" max="5390" width="14.85546875" style="823" customWidth="1"/>
    <col min="5391" max="5391" width="11.5703125" style="823" customWidth="1"/>
    <col min="5392" max="5632" width="8.85546875" style="823"/>
    <col min="5633" max="5633" width="12.5703125" style="823" customWidth="1"/>
    <col min="5634" max="5634" width="9.85546875" style="823" customWidth="1"/>
    <col min="5635" max="5635" width="9.5703125" style="823" customWidth="1"/>
    <col min="5636" max="5636" width="30.5703125" style="823" customWidth="1"/>
    <col min="5637" max="5637" width="28.85546875" style="823" customWidth="1"/>
    <col min="5638" max="5638" width="21.42578125" style="823" customWidth="1"/>
    <col min="5639" max="5639" width="18" style="823" customWidth="1"/>
    <col min="5640" max="5640" width="15.85546875" style="823" customWidth="1"/>
    <col min="5641" max="5641" width="16.5703125" style="823" customWidth="1"/>
    <col min="5642" max="5642" width="18.85546875" style="823" customWidth="1"/>
    <col min="5643" max="5643" width="16.42578125" style="823" customWidth="1"/>
    <col min="5644" max="5644" width="16.140625" style="823" customWidth="1"/>
    <col min="5645" max="5645" width="19.7109375" style="823" customWidth="1"/>
    <col min="5646" max="5646" width="14.85546875" style="823" customWidth="1"/>
    <col min="5647" max="5647" width="11.5703125" style="823" customWidth="1"/>
    <col min="5648" max="5888" width="8.85546875" style="823"/>
    <col min="5889" max="5889" width="12.5703125" style="823" customWidth="1"/>
    <col min="5890" max="5890" width="9.85546875" style="823" customWidth="1"/>
    <col min="5891" max="5891" width="9.5703125" style="823" customWidth="1"/>
    <col min="5892" max="5892" width="30.5703125" style="823" customWidth="1"/>
    <col min="5893" max="5893" width="28.85546875" style="823" customWidth="1"/>
    <col min="5894" max="5894" width="21.42578125" style="823" customWidth="1"/>
    <col min="5895" max="5895" width="18" style="823" customWidth="1"/>
    <col min="5896" max="5896" width="15.85546875" style="823" customWidth="1"/>
    <col min="5897" max="5897" width="16.5703125" style="823" customWidth="1"/>
    <col min="5898" max="5898" width="18.85546875" style="823" customWidth="1"/>
    <col min="5899" max="5899" width="16.42578125" style="823" customWidth="1"/>
    <col min="5900" max="5900" width="16.140625" style="823" customWidth="1"/>
    <col min="5901" max="5901" width="19.7109375" style="823" customWidth="1"/>
    <col min="5902" max="5902" width="14.85546875" style="823" customWidth="1"/>
    <col min="5903" max="5903" width="11.5703125" style="823" customWidth="1"/>
    <col min="5904" max="6144" width="8.85546875" style="823"/>
    <col min="6145" max="6145" width="12.5703125" style="823" customWidth="1"/>
    <col min="6146" max="6146" width="9.85546875" style="823" customWidth="1"/>
    <col min="6147" max="6147" width="9.5703125" style="823" customWidth="1"/>
    <col min="6148" max="6148" width="30.5703125" style="823" customWidth="1"/>
    <col min="6149" max="6149" width="28.85546875" style="823" customWidth="1"/>
    <col min="6150" max="6150" width="21.42578125" style="823" customWidth="1"/>
    <col min="6151" max="6151" width="18" style="823" customWidth="1"/>
    <col min="6152" max="6152" width="15.85546875" style="823" customWidth="1"/>
    <col min="6153" max="6153" width="16.5703125" style="823" customWidth="1"/>
    <col min="6154" max="6154" width="18.85546875" style="823" customWidth="1"/>
    <col min="6155" max="6155" width="16.42578125" style="823" customWidth="1"/>
    <col min="6156" max="6156" width="16.140625" style="823" customWidth="1"/>
    <col min="6157" max="6157" width="19.7109375" style="823" customWidth="1"/>
    <col min="6158" max="6158" width="14.85546875" style="823" customWidth="1"/>
    <col min="6159" max="6159" width="11.5703125" style="823" customWidth="1"/>
    <col min="6160" max="6400" width="8.85546875" style="823"/>
    <col min="6401" max="6401" width="12.5703125" style="823" customWidth="1"/>
    <col min="6402" max="6402" width="9.85546875" style="823" customWidth="1"/>
    <col min="6403" max="6403" width="9.5703125" style="823" customWidth="1"/>
    <col min="6404" max="6404" width="30.5703125" style="823" customWidth="1"/>
    <col min="6405" max="6405" width="28.85546875" style="823" customWidth="1"/>
    <col min="6406" max="6406" width="21.42578125" style="823" customWidth="1"/>
    <col min="6407" max="6407" width="18" style="823" customWidth="1"/>
    <col min="6408" max="6408" width="15.85546875" style="823" customWidth="1"/>
    <col min="6409" max="6409" width="16.5703125" style="823" customWidth="1"/>
    <col min="6410" max="6410" width="18.85546875" style="823" customWidth="1"/>
    <col min="6411" max="6411" width="16.42578125" style="823" customWidth="1"/>
    <col min="6412" max="6412" width="16.140625" style="823" customWidth="1"/>
    <col min="6413" max="6413" width="19.7109375" style="823" customWidth="1"/>
    <col min="6414" max="6414" width="14.85546875" style="823" customWidth="1"/>
    <col min="6415" max="6415" width="11.5703125" style="823" customWidth="1"/>
    <col min="6416" max="6656" width="8.85546875" style="823"/>
    <col min="6657" max="6657" width="12.5703125" style="823" customWidth="1"/>
    <col min="6658" max="6658" width="9.85546875" style="823" customWidth="1"/>
    <col min="6659" max="6659" width="9.5703125" style="823" customWidth="1"/>
    <col min="6660" max="6660" width="30.5703125" style="823" customWidth="1"/>
    <col min="6661" max="6661" width="28.85546875" style="823" customWidth="1"/>
    <col min="6662" max="6662" width="21.42578125" style="823" customWidth="1"/>
    <col min="6663" max="6663" width="18" style="823" customWidth="1"/>
    <col min="6664" max="6664" width="15.85546875" style="823" customWidth="1"/>
    <col min="6665" max="6665" width="16.5703125" style="823" customWidth="1"/>
    <col min="6666" max="6666" width="18.85546875" style="823" customWidth="1"/>
    <col min="6667" max="6667" width="16.42578125" style="823" customWidth="1"/>
    <col min="6668" max="6668" width="16.140625" style="823" customWidth="1"/>
    <col min="6669" max="6669" width="19.7109375" style="823" customWidth="1"/>
    <col min="6670" max="6670" width="14.85546875" style="823" customWidth="1"/>
    <col min="6671" max="6671" width="11.5703125" style="823" customWidth="1"/>
    <col min="6672" max="6912" width="8.85546875" style="823"/>
    <col min="6913" max="6913" width="12.5703125" style="823" customWidth="1"/>
    <col min="6914" max="6914" width="9.85546875" style="823" customWidth="1"/>
    <col min="6915" max="6915" width="9.5703125" style="823" customWidth="1"/>
    <col min="6916" max="6916" width="30.5703125" style="823" customWidth="1"/>
    <col min="6917" max="6917" width="28.85546875" style="823" customWidth="1"/>
    <col min="6918" max="6918" width="21.42578125" style="823" customWidth="1"/>
    <col min="6919" max="6919" width="18" style="823" customWidth="1"/>
    <col min="6920" max="6920" width="15.85546875" style="823" customWidth="1"/>
    <col min="6921" max="6921" width="16.5703125" style="823" customWidth="1"/>
    <col min="6922" max="6922" width="18.85546875" style="823" customWidth="1"/>
    <col min="6923" max="6923" width="16.42578125" style="823" customWidth="1"/>
    <col min="6924" max="6924" width="16.140625" style="823" customWidth="1"/>
    <col min="6925" max="6925" width="19.7109375" style="823" customWidth="1"/>
    <col min="6926" max="6926" width="14.85546875" style="823" customWidth="1"/>
    <col min="6927" max="6927" width="11.5703125" style="823" customWidth="1"/>
    <col min="6928" max="7168" width="8.85546875" style="823"/>
    <col min="7169" max="7169" width="12.5703125" style="823" customWidth="1"/>
    <col min="7170" max="7170" width="9.85546875" style="823" customWidth="1"/>
    <col min="7171" max="7171" width="9.5703125" style="823" customWidth="1"/>
    <col min="7172" max="7172" width="30.5703125" style="823" customWidth="1"/>
    <col min="7173" max="7173" width="28.85546875" style="823" customWidth="1"/>
    <col min="7174" max="7174" width="21.42578125" style="823" customWidth="1"/>
    <col min="7175" max="7175" width="18" style="823" customWidth="1"/>
    <col min="7176" max="7176" width="15.85546875" style="823" customWidth="1"/>
    <col min="7177" max="7177" width="16.5703125" style="823" customWidth="1"/>
    <col min="7178" max="7178" width="18.85546875" style="823" customWidth="1"/>
    <col min="7179" max="7179" width="16.42578125" style="823" customWidth="1"/>
    <col min="7180" max="7180" width="16.140625" style="823" customWidth="1"/>
    <col min="7181" max="7181" width="19.7109375" style="823" customWidth="1"/>
    <col min="7182" max="7182" width="14.85546875" style="823" customWidth="1"/>
    <col min="7183" max="7183" width="11.5703125" style="823" customWidth="1"/>
    <col min="7184" max="7424" width="8.85546875" style="823"/>
    <col min="7425" max="7425" width="12.5703125" style="823" customWidth="1"/>
    <col min="7426" max="7426" width="9.85546875" style="823" customWidth="1"/>
    <col min="7427" max="7427" width="9.5703125" style="823" customWidth="1"/>
    <col min="7428" max="7428" width="30.5703125" style="823" customWidth="1"/>
    <col min="7429" max="7429" width="28.85546875" style="823" customWidth="1"/>
    <col min="7430" max="7430" width="21.42578125" style="823" customWidth="1"/>
    <col min="7431" max="7431" width="18" style="823" customWidth="1"/>
    <col min="7432" max="7432" width="15.85546875" style="823" customWidth="1"/>
    <col min="7433" max="7433" width="16.5703125" style="823" customWidth="1"/>
    <col min="7434" max="7434" width="18.85546875" style="823" customWidth="1"/>
    <col min="7435" max="7435" width="16.42578125" style="823" customWidth="1"/>
    <col min="7436" max="7436" width="16.140625" style="823" customWidth="1"/>
    <col min="7437" max="7437" width="19.7109375" style="823" customWidth="1"/>
    <col min="7438" max="7438" width="14.85546875" style="823" customWidth="1"/>
    <col min="7439" max="7439" width="11.5703125" style="823" customWidth="1"/>
    <col min="7440" max="7680" width="8.85546875" style="823"/>
    <col min="7681" max="7681" width="12.5703125" style="823" customWidth="1"/>
    <col min="7682" max="7682" width="9.85546875" style="823" customWidth="1"/>
    <col min="7683" max="7683" width="9.5703125" style="823" customWidth="1"/>
    <col min="7684" max="7684" width="30.5703125" style="823" customWidth="1"/>
    <col min="7685" max="7685" width="28.85546875" style="823" customWidth="1"/>
    <col min="7686" max="7686" width="21.42578125" style="823" customWidth="1"/>
    <col min="7687" max="7687" width="18" style="823" customWidth="1"/>
    <col min="7688" max="7688" width="15.85546875" style="823" customWidth="1"/>
    <col min="7689" max="7689" width="16.5703125" style="823" customWidth="1"/>
    <col min="7690" max="7690" width="18.85546875" style="823" customWidth="1"/>
    <col min="7691" max="7691" width="16.42578125" style="823" customWidth="1"/>
    <col min="7692" max="7692" width="16.140625" style="823" customWidth="1"/>
    <col min="7693" max="7693" width="19.7109375" style="823" customWidth="1"/>
    <col min="7694" max="7694" width="14.85546875" style="823" customWidth="1"/>
    <col min="7695" max="7695" width="11.5703125" style="823" customWidth="1"/>
    <col min="7696" max="7936" width="8.85546875" style="823"/>
    <col min="7937" max="7937" width="12.5703125" style="823" customWidth="1"/>
    <col min="7938" max="7938" width="9.85546875" style="823" customWidth="1"/>
    <col min="7939" max="7939" width="9.5703125" style="823" customWidth="1"/>
    <col min="7940" max="7940" width="30.5703125" style="823" customWidth="1"/>
    <col min="7941" max="7941" width="28.85546875" style="823" customWidth="1"/>
    <col min="7942" max="7942" width="21.42578125" style="823" customWidth="1"/>
    <col min="7943" max="7943" width="18" style="823" customWidth="1"/>
    <col min="7944" max="7944" width="15.85546875" style="823" customWidth="1"/>
    <col min="7945" max="7945" width="16.5703125" style="823" customWidth="1"/>
    <col min="7946" max="7946" width="18.85546875" style="823" customWidth="1"/>
    <col min="7947" max="7947" width="16.42578125" style="823" customWidth="1"/>
    <col min="7948" max="7948" width="16.140625" style="823" customWidth="1"/>
    <col min="7949" max="7949" width="19.7109375" style="823" customWidth="1"/>
    <col min="7950" max="7950" width="14.85546875" style="823" customWidth="1"/>
    <col min="7951" max="7951" width="11.5703125" style="823" customWidth="1"/>
    <col min="7952" max="8192" width="8.85546875" style="823"/>
    <col min="8193" max="8193" width="12.5703125" style="823" customWidth="1"/>
    <col min="8194" max="8194" width="9.85546875" style="823" customWidth="1"/>
    <col min="8195" max="8195" width="9.5703125" style="823" customWidth="1"/>
    <col min="8196" max="8196" width="30.5703125" style="823" customWidth="1"/>
    <col min="8197" max="8197" width="28.85546875" style="823" customWidth="1"/>
    <col min="8198" max="8198" width="21.42578125" style="823" customWidth="1"/>
    <col min="8199" max="8199" width="18" style="823" customWidth="1"/>
    <col min="8200" max="8200" width="15.85546875" style="823" customWidth="1"/>
    <col min="8201" max="8201" width="16.5703125" style="823" customWidth="1"/>
    <col min="8202" max="8202" width="18.85546875" style="823" customWidth="1"/>
    <col min="8203" max="8203" width="16.42578125" style="823" customWidth="1"/>
    <col min="8204" max="8204" width="16.140625" style="823" customWidth="1"/>
    <col min="8205" max="8205" width="19.7109375" style="823" customWidth="1"/>
    <col min="8206" max="8206" width="14.85546875" style="823" customWidth="1"/>
    <col min="8207" max="8207" width="11.5703125" style="823" customWidth="1"/>
    <col min="8208" max="8448" width="8.85546875" style="823"/>
    <col min="8449" max="8449" width="12.5703125" style="823" customWidth="1"/>
    <col min="8450" max="8450" width="9.85546875" style="823" customWidth="1"/>
    <col min="8451" max="8451" width="9.5703125" style="823" customWidth="1"/>
    <col min="8452" max="8452" width="30.5703125" style="823" customWidth="1"/>
    <col min="8453" max="8453" width="28.85546875" style="823" customWidth="1"/>
    <col min="8454" max="8454" width="21.42578125" style="823" customWidth="1"/>
    <col min="8455" max="8455" width="18" style="823" customWidth="1"/>
    <col min="8456" max="8456" width="15.85546875" style="823" customWidth="1"/>
    <col min="8457" max="8457" width="16.5703125" style="823" customWidth="1"/>
    <col min="8458" max="8458" width="18.85546875" style="823" customWidth="1"/>
    <col min="8459" max="8459" width="16.42578125" style="823" customWidth="1"/>
    <col min="8460" max="8460" width="16.140625" style="823" customWidth="1"/>
    <col min="8461" max="8461" width="19.7109375" style="823" customWidth="1"/>
    <col min="8462" max="8462" width="14.85546875" style="823" customWidth="1"/>
    <col min="8463" max="8463" width="11.5703125" style="823" customWidth="1"/>
    <col min="8464" max="8704" width="8.85546875" style="823"/>
    <col min="8705" max="8705" width="12.5703125" style="823" customWidth="1"/>
    <col min="8706" max="8706" width="9.85546875" style="823" customWidth="1"/>
    <col min="8707" max="8707" width="9.5703125" style="823" customWidth="1"/>
    <col min="8708" max="8708" width="30.5703125" style="823" customWidth="1"/>
    <col min="8709" max="8709" width="28.85546875" style="823" customWidth="1"/>
    <col min="8710" max="8710" width="21.42578125" style="823" customWidth="1"/>
    <col min="8711" max="8711" width="18" style="823" customWidth="1"/>
    <col min="8712" max="8712" width="15.85546875" style="823" customWidth="1"/>
    <col min="8713" max="8713" width="16.5703125" style="823" customWidth="1"/>
    <col min="8714" max="8714" width="18.85546875" style="823" customWidth="1"/>
    <col min="8715" max="8715" width="16.42578125" style="823" customWidth="1"/>
    <col min="8716" max="8716" width="16.140625" style="823" customWidth="1"/>
    <col min="8717" max="8717" width="19.7109375" style="823" customWidth="1"/>
    <col min="8718" max="8718" width="14.85546875" style="823" customWidth="1"/>
    <col min="8719" max="8719" width="11.5703125" style="823" customWidth="1"/>
    <col min="8720" max="8960" width="8.85546875" style="823"/>
    <col min="8961" max="8961" width="12.5703125" style="823" customWidth="1"/>
    <col min="8962" max="8962" width="9.85546875" style="823" customWidth="1"/>
    <col min="8963" max="8963" width="9.5703125" style="823" customWidth="1"/>
    <col min="8964" max="8964" width="30.5703125" style="823" customWidth="1"/>
    <col min="8965" max="8965" width="28.85546875" style="823" customWidth="1"/>
    <col min="8966" max="8966" width="21.42578125" style="823" customWidth="1"/>
    <col min="8967" max="8967" width="18" style="823" customWidth="1"/>
    <col min="8968" max="8968" width="15.85546875" style="823" customWidth="1"/>
    <col min="8969" max="8969" width="16.5703125" style="823" customWidth="1"/>
    <col min="8970" max="8970" width="18.85546875" style="823" customWidth="1"/>
    <col min="8971" max="8971" width="16.42578125" style="823" customWidth="1"/>
    <col min="8972" max="8972" width="16.140625" style="823" customWidth="1"/>
    <col min="8973" max="8973" width="19.7109375" style="823" customWidth="1"/>
    <col min="8974" max="8974" width="14.85546875" style="823" customWidth="1"/>
    <col min="8975" max="8975" width="11.5703125" style="823" customWidth="1"/>
    <col min="8976" max="9216" width="8.85546875" style="823"/>
    <col min="9217" max="9217" width="12.5703125" style="823" customWidth="1"/>
    <col min="9218" max="9218" width="9.85546875" style="823" customWidth="1"/>
    <col min="9219" max="9219" width="9.5703125" style="823" customWidth="1"/>
    <col min="9220" max="9220" width="30.5703125" style="823" customWidth="1"/>
    <col min="9221" max="9221" width="28.85546875" style="823" customWidth="1"/>
    <col min="9222" max="9222" width="21.42578125" style="823" customWidth="1"/>
    <col min="9223" max="9223" width="18" style="823" customWidth="1"/>
    <col min="9224" max="9224" width="15.85546875" style="823" customWidth="1"/>
    <col min="9225" max="9225" width="16.5703125" style="823" customWidth="1"/>
    <col min="9226" max="9226" width="18.85546875" style="823" customWidth="1"/>
    <col min="9227" max="9227" width="16.42578125" style="823" customWidth="1"/>
    <col min="9228" max="9228" width="16.140625" style="823" customWidth="1"/>
    <col min="9229" max="9229" width="19.7109375" style="823" customWidth="1"/>
    <col min="9230" max="9230" width="14.85546875" style="823" customWidth="1"/>
    <col min="9231" max="9231" width="11.5703125" style="823" customWidth="1"/>
    <col min="9232" max="9472" width="8.85546875" style="823"/>
    <col min="9473" max="9473" width="12.5703125" style="823" customWidth="1"/>
    <col min="9474" max="9474" width="9.85546875" style="823" customWidth="1"/>
    <col min="9475" max="9475" width="9.5703125" style="823" customWidth="1"/>
    <col min="9476" max="9476" width="30.5703125" style="823" customWidth="1"/>
    <col min="9477" max="9477" width="28.85546875" style="823" customWidth="1"/>
    <col min="9478" max="9478" width="21.42578125" style="823" customWidth="1"/>
    <col min="9479" max="9479" width="18" style="823" customWidth="1"/>
    <col min="9480" max="9480" width="15.85546875" style="823" customWidth="1"/>
    <col min="9481" max="9481" width="16.5703125" style="823" customWidth="1"/>
    <col min="9482" max="9482" width="18.85546875" style="823" customWidth="1"/>
    <col min="9483" max="9483" width="16.42578125" style="823" customWidth="1"/>
    <col min="9484" max="9484" width="16.140625" style="823" customWidth="1"/>
    <col min="9485" max="9485" width="19.7109375" style="823" customWidth="1"/>
    <col min="9486" max="9486" width="14.85546875" style="823" customWidth="1"/>
    <col min="9487" max="9487" width="11.5703125" style="823" customWidth="1"/>
    <col min="9488" max="9728" width="8.85546875" style="823"/>
    <col min="9729" max="9729" width="12.5703125" style="823" customWidth="1"/>
    <col min="9730" max="9730" width="9.85546875" style="823" customWidth="1"/>
    <col min="9731" max="9731" width="9.5703125" style="823" customWidth="1"/>
    <col min="9732" max="9732" width="30.5703125" style="823" customWidth="1"/>
    <col min="9733" max="9733" width="28.85546875" style="823" customWidth="1"/>
    <col min="9734" max="9734" width="21.42578125" style="823" customWidth="1"/>
    <col min="9735" max="9735" width="18" style="823" customWidth="1"/>
    <col min="9736" max="9736" width="15.85546875" style="823" customWidth="1"/>
    <col min="9737" max="9737" width="16.5703125" style="823" customWidth="1"/>
    <col min="9738" max="9738" width="18.85546875" style="823" customWidth="1"/>
    <col min="9739" max="9739" width="16.42578125" style="823" customWidth="1"/>
    <col min="9740" max="9740" width="16.140625" style="823" customWidth="1"/>
    <col min="9741" max="9741" width="19.7109375" style="823" customWidth="1"/>
    <col min="9742" max="9742" width="14.85546875" style="823" customWidth="1"/>
    <col min="9743" max="9743" width="11.5703125" style="823" customWidth="1"/>
    <col min="9744" max="9984" width="8.85546875" style="823"/>
    <col min="9985" max="9985" width="12.5703125" style="823" customWidth="1"/>
    <col min="9986" max="9986" width="9.85546875" style="823" customWidth="1"/>
    <col min="9987" max="9987" width="9.5703125" style="823" customWidth="1"/>
    <col min="9988" max="9988" width="30.5703125" style="823" customWidth="1"/>
    <col min="9989" max="9989" width="28.85546875" style="823" customWidth="1"/>
    <col min="9990" max="9990" width="21.42578125" style="823" customWidth="1"/>
    <col min="9991" max="9991" width="18" style="823" customWidth="1"/>
    <col min="9992" max="9992" width="15.85546875" style="823" customWidth="1"/>
    <col min="9993" max="9993" width="16.5703125" style="823" customWidth="1"/>
    <col min="9994" max="9994" width="18.85546875" style="823" customWidth="1"/>
    <col min="9995" max="9995" width="16.42578125" style="823" customWidth="1"/>
    <col min="9996" max="9996" width="16.140625" style="823" customWidth="1"/>
    <col min="9997" max="9997" width="19.7109375" style="823" customWidth="1"/>
    <col min="9998" max="9998" width="14.85546875" style="823" customWidth="1"/>
    <col min="9999" max="9999" width="11.5703125" style="823" customWidth="1"/>
    <col min="10000" max="10240" width="8.85546875" style="823"/>
    <col min="10241" max="10241" width="12.5703125" style="823" customWidth="1"/>
    <col min="10242" max="10242" width="9.85546875" style="823" customWidth="1"/>
    <col min="10243" max="10243" width="9.5703125" style="823" customWidth="1"/>
    <col min="10244" max="10244" width="30.5703125" style="823" customWidth="1"/>
    <col min="10245" max="10245" width="28.85546875" style="823" customWidth="1"/>
    <col min="10246" max="10246" width="21.42578125" style="823" customWidth="1"/>
    <col min="10247" max="10247" width="18" style="823" customWidth="1"/>
    <col min="10248" max="10248" width="15.85546875" style="823" customWidth="1"/>
    <col min="10249" max="10249" width="16.5703125" style="823" customWidth="1"/>
    <col min="10250" max="10250" width="18.85546875" style="823" customWidth="1"/>
    <col min="10251" max="10251" width="16.42578125" style="823" customWidth="1"/>
    <col min="10252" max="10252" width="16.140625" style="823" customWidth="1"/>
    <col min="10253" max="10253" width="19.7109375" style="823" customWidth="1"/>
    <col min="10254" max="10254" width="14.85546875" style="823" customWidth="1"/>
    <col min="10255" max="10255" width="11.5703125" style="823" customWidth="1"/>
    <col min="10256" max="10496" width="8.85546875" style="823"/>
    <col min="10497" max="10497" width="12.5703125" style="823" customWidth="1"/>
    <col min="10498" max="10498" width="9.85546875" style="823" customWidth="1"/>
    <col min="10499" max="10499" width="9.5703125" style="823" customWidth="1"/>
    <col min="10500" max="10500" width="30.5703125" style="823" customWidth="1"/>
    <col min="10501" max="10501" width="28.85546875" style="823" customWidth="1"/>
    <col min="10502" max="10502" width="21.42578125" style="823" customWidth="1"/>
    <col min="10503" max="10503" width="18" style="823" customWidth="1"/>
    <col min="10504" max="10504" width="15.85546875" style="823" customWidth="1"/>
    <col min="10505" max="10505" width="16.5703125" style="823" customWidth="1"/>
    <col min="10506" max="10506" width="18.85546875" style="823" customWidth="1"/>
    <col min="10507" max="10507" width="16.42578125" style="823" customWidth="1"/>
    <col min="10508" max="10508" width="16.140625" style="823" customWidth="1"/>
    <col min="10509" max="10509" width="19.7109375" style="823" customWidth="1"/>
    <col min="10510" max="10510" width="14.85546875" style="823" customWidth="1"/>
    <col min="10511" max="10511" width="11.5703125" style="823" customWidth="1"/>
    <col min="10512" max="10752" width="8.85546875" style="823"/>
    <col min="10753" max="10753" width="12.5703125" style="823" customWidth="1"/>
    <col min="10754" max="10754" width="9.85546875" style="823" customWidth="1"/>
    <col min="10755" max="10755" width="9.5703125" style="823" customWidth="1"/>
    <col min="10756" max="10756" width="30.5703125" style="823" customWidth="1"/>
    <col min="10757" max="10757" width="28.85546875" style="823" customWidth="1"/>
    <col min="10758" max="10758" width="21.42578125" style="823" customWidth="1"/>
    <col min="10759" max="10759" width="18" style="823" customWidth="1"/>
    <col min="10760" max="10760" width="15.85546875" style="823" customWidth="1"/>
    <col min="10761" max="10761" width="16.5703125" style="823" customWidth="1"/>
    <col min="10762" max="10762" width="18.85546875" style="823" customWidth="1"/>
    <col min="10763" max="10763" width="16.42578125" style="823" customWidth="1"/>
    <col min="10764" max="10764" width="16.140625" style="823" customWidth="1"/>
    <col min="10765" max="10765" width="19.7109375" style="823" customWidth="1"/>
    <col min="10766" max="10766" width="14.85546875" style="823" customWidth="1"/>
    <col min="10767" max="10767" width="11.5703125" style="823" customWidth="1"/>
    <col min="10768" max="11008" width="8.85546875" style="823"/>
    <col min="11009" max="11009" width="12.5703125" style="823" customWidth="1"/>
    <col min="11010" max="11010" width="9.85546875" style="823" customWidth="1"/>
    <col min="11011" max="11011" width="9.5703125" style="823" customWidth="1"/>
    <col min="11012" max="11012" width="30.5703125" style="823" customWidth="1"/>
    <col min="11013" max="11013" width="28.85546875" style="823" customWidth="1"/>
    <col min="11014" max="11014" width="21.42578125" style="823" customWidth="1"/>
    <col min="11015" max="11015" width="18" style="823" customWidth="1"/>
    <col min="11016" max="11016" width="15.85546875" style="823" customWidth="1"/>
    <col min="11017" max="11017" width="16.5703125" style="823" customWidth="1"/>
    <col min="11018" max="11018" width="18.85546875" style="823" customWidth="1"/>
    <col min="11019" max="11019" width="16.42578125" style="823" customWidth="1"/>
    <col min="11020" max="11020" width="16.140625" style="823" customWidth="1"/>
    <col min="11021" max="11021" width="19.7109375" style="823" customWidth="1"/>
    <col min="11022" max="11022" width="14.85546875" style="823" customWidth="1"/>
    <col min="11023" max="11023" width="11.5703125" style="823" customWidth="1"/>
    <col min="11024" max="11264" width="8.85546875" style="823"/>
    <col min="11265" max="11265" width="12.5703125" style="823" customWidth="1"/>
    <col min="11266" max="11266" width="9.85546875" style="823" customWidth="1"/>
    <col min="11267" max="11267" width="9.5703125" style="823" customWidth="1"/>
    <col min="11268" max="11268" width="30.5703125" style="823" customWidth="1"/>
    <col min="11269" max="11269" width="28.85546875" style="823" customWidth="1"/>
    <col min="11270" max="11270" width="21.42578125" style="823" customWidth="1"/>
    <col min="11271" max="11271" width="18" style="823" customWidth="1"/>
    <col min="11272" max="11272" width="15.85546875" style="823" customWidth="1"/>
    <col min="11273" max="11273" width="16.5703125" style="823" customWidth="1"/>
    <col min="11274" max="11274" width="18.85546875" style="823" customWidth="1"/>
    <col min="11275" max="11275" width="16.42578125" style="823" customWidth="1"/>
    <col min="11276" max="11276" width="16.140625" style="823" customWidth="1"/>
    <col min="11277" max="11277" width="19.7109375" style="823" customWidth="1"/>
    <col min="11278" max="11278" width="14.85546875" style="823" customWidth="1"/>
    <col min="11279" max="11279" width="11.5703125" style="823" customWidth="1"/>
    <col min="11280" max="11520" width="8.85546875" style="823"/>
    <col min="11521" max="11521" width="12.5703125" style="823" customWidth="1"/>
    <col min="11522" max="11522" width="9.85546875" style="823" customWidth="1"/>
    <col min="11523" max="11523" width="9.5703125" style="823" customWidth="1"/>
    <col min="11524" max="11524" width="30.5703125" style="823" customWidth="1"/>
    <col min="11525" max="11525" width="28.85546875" style="823" customWidth="1"/>
    <col min="11526" max="11526" width="21.42578125" style="823" customWidth="1"/>
    <col min="11527" max="11527" width="18" style="823" customWidth="1"/>
    <col min="11528" max="11528" width="15.85546875" style="823" customWidth="1"/>
    <col min="11529" max="11529" width="16.5703125" style="823" customWidth="1"/>
    <col min="11530" max="11530" width="18.85546875" style="823" customWidth="1"/>
    <col min="11531" max="11531" width="16.42578125" style="823" customWidth="1"/>
    <col min="11532" max="11532" width="16.140625" style="823" customWidth="1"/>
    <col min="11533" max="11533" width="19.7109375" style="823" customWidth="1"/>
    <col min="11534" max="11534" width="14.85546875" style="823" customWidth="1"/>
    <col min="11535" max="11535" width="11.5703125" style="823" customWidth="1"/>
    <col min="11536" max="11776" width="8.85546875" style="823"/>
    <col min="11777" max="11777" width="12.5703125" style="823" customWidth="1"/>
    <col min="11778" max="11778" width="9.85546875" style="823" customWidth="1"/>
    <col min="11779" max="11779" width="9.5703125" style="823" customWidth="1"/>
    <col min="11780" max="11780" width="30.5703125" style="823" customWidth="1"/>
    <col min="11781" max="11781" width="28.85546875" style="823" customWidth="1"/>
    <col min="11782" max="11782" width="21.42578125" style="823" customWidth="1"/>
    <col min="11783" max="11783" width="18" style="823" customWidth="1"/>
    <col min="11784" max="11784" width="15.85546875" style="823" customWidth="1"/>
    <col min="11785" max="11785" width="16.5703125" style="823" customWidth="1"/>
    <col min="11786" max="11786" width="18.85546875" style="823" customWidth="1"/>
    <col min="11787" max="11787" width="16.42578125" style="823" customWidth="1"/>
    <col min="11788" max="11788" width="16.140625" style="823" customWidth="1"/>
    <col min="11789" max="11789" width="19.7109375" style="823" customWidth="1"/>
    <col min="11790" max="11790" width="14.85546875" style="823" customWidth="1"/>
    <col min="11791" max="11791" width="11.5703125" style="823" customWidth="1"/>
    <col min="11792" max="12032" width="8.85546875" style="823"/>
    <col min="12033" max="12033" width="12.5703125" style="823" customWidth="1"/>
    <col min="12034" max="12034" width="9.85546875" style="823" customWidth="1"/>
    <col min="12035" max="12035" width="9.5703125" style="823" customWidth="1"/>
    <col min="12036" max="12036" width="30.5703125" style="823" customWidth="1"/>
    <col min="12037" max="12037" width="28.85546875" style="823" customWidth="1"/>
    <col min="12038" max="12038" width="21.42578125" style="823" customWidth="1"/>
    <col min="12039" max="12039" width="18" style="823" customWidth="1"/>
    <col min="12040" max="12040" width="15.85546875" style="823" customWidth="1"/>
    <col min="12041" max="12041" width="16.5703125" style="823" customWidth="1"/>
    <col min="12042" max="12042" width="18.85546875" style="823" customWidth="1"/>
    <col min="12043" max="12043" width="16.42578125" style="823" customWidth="1"/>
    <col min="12044" max="12044" width="16.140625" style="823" customWidth="1"/>
    <col min="12045" max="12045" width="19.7109375" style="823" customWidth="1"/>
    <col min="12046" max="12046" width="14.85546875" style="823" customWidth="1"/>
    <col min="12047" max="12047" width="11.5703125" style="823" customWidth="1"/>
    <col min="12048" max="12288" width="8.85546875" style="823"/>
    <col min="12289" max="12289" width="12.5703125" style="823" customWidth="1"/>
    <col min="12290" max="12290" width="9.85546875" style="823" customWidth="1"/>
    <col min="12291" max="12291" width="9.5703125" style="823" customWidth="1"/>
    <col min="12292" max="12292" width="30.5703125" style="823" customWidth="1"/>
    <col min="12293" max="12293" width="28.85546875" style="823" customWidth="1"/>
    <col min="12294" max="12294" width="21.42578125" style="823" customWidth="1"/>
    <col min="12295" max="12295" width="18" style="823" customWidth="1"/>
    <col min="12296" max="12296" width="15.85546875" style="823" customWidth="1"/>
    <col min="12297" max="12297" width="16.5703125" style="823" customWidth="1"/>
    <col min="12298" max="12298" width="18.85546875" style="823" customWidth="1"/>
    <col min="12299" max="12299" width="16.42578125" style="823" customWidth="1"/>
    <col min="12300" max="12300" width="16.140625" style="823" customWidth="1"/>
    <col min="12301" max="12301" width="19.7109375" style="823" customWidth="1"/>
    <col min="12302" max="12302" width="14.85546875" style="823" customWidth="1"/>
    <col min="12303" max="12303" width="11.5703125" style="823" customWidth="1"/>
    <col min="12304" max="12544" width="8.85546875" style="823"/>
    <col min="12545" max="12545" width="12.5703125" style="823" customWidth="1"/>
    <col min="12546" max="12546" width="9.85546875" style="823" customWidth="1"/>
    <col min="12547" max="12547" width="9.5703125" style="823" customWidth="1"/>
    <col min="12548" max="12548" width="30.5703125" style="823" customWidth="1"/>
    <col min="12549" max="12549" width="28.85546875" style="823" customWidth="1"/>
    <col min="12550" max="12550" width="21.42578125" style="823" customWidth="1"/>
    <col min="12551" max="12551" width="18" style="823" customWidth="1"/>
    <col min="12552" max="12552" width="15.85546875" style="823" customWidth="1"/>
    <col min="12553" max="12553" width="16.5703125" style="823" customWidth="1"/>
    <col min="12554" max="12554" width="18.85546875" style="823" customWidth="1"/>
    <col min="12555" max="12555" width="16.42578125" style="823" customWidth="1"/>
    <col min="12556" max="12556" width="16.140625" style="823" customWidth="1"/>
    <col min="12557" max="12557" width="19.7109375" style="823" customWidth="1"/>
    <col min="12558" max="12558" width="14.85546875" style="823" customWidth="1"/>
    <col min="12559" max="12559" width="11.5703125" style="823" customWidth="1"/>
    <col min="12560" max="12800" width="8.85546875" style="823"/>
    <col min="12801" max="12801" width="12.5703125" style="823" customWidth="1"/>
    <col min="12802" max="12802" width="9.85546875" style="823" customWidth="1"/>
    <col min="12803" max="12803" width="9.5703125" style="823" customWidth="1"/>
    <col min="12804" max="12804" width="30.5703125" style="823" customWidth="1"/>
    <col min="12805" max="12805" width="28.85546875" style="823" customWidth="1"/>
    <col min="12806" max="12806" width="21.42578125" style="823" customWidth="1"/>
    <col min="12807" max="12807" width="18" style="823" customWidth="1"/>
    <col min="12808" max="12808" width="15.85546875" style="823" customWidth="1"/>
    <col min="12809" max="12809" width="16.5703125" style="823" customWidth="1"/>
    <col min="12810" max="12810" width="18.85546875" style="823" customWidth="1"/>
    <col min="12811" max="12811" width="16.42578125" style="823" customWidth="1"/>
    <col min="12812" max="12812" width="16.140625" style="823" customWidth="1"/>
    <col min="12813" max="12813" width="19.7109375" style="823" customWidth="1"/>
    <col min="12814" max="12814" width="14.85546875" style="823" customWidth="1"/>
    <col min="12815" max="12815" width="11.5703125" style="823" customWidth="1"/>
    <col min="12816" max="13056" width="8.85546875" style="823"/>
    <col min="13057" max="13057" width="12.5703125" style="823" customWidth="1"/>
    <col min="13058" max="13058" width="9.85546875" style="823" customWidth="1"/>
    <col min="13059" max="13059" width="9.5703125" style="823" customWidth="1"/>
    <col min="13060" max="13060" width="30.5703125" style="823" customWidth="1"/>
    <col min="13061" max="13061" width="28.85546875" style="823" customWidth="1"/>
    <col min="13062" max="13062" width="21.42578125" style="823" customWidth="1"/>
    <col min="13063" max="13063" width="18" style="823" customWidth="1"/>
    <col min="13064" max="13064" width="15.85546875" style="823" customWidth="1"/>
    <col min="13065" max="13065" width="16.5703125" style="823" customWidth="1"/>
    <col min="13066" max="13066" width="18.85546875" style="823" customWidth="1"/>
    <col min="13067" max="13067" width="16.42578125" style="823" customWidth="1"/>
    <col min="13068" max="13068" width="16.140625" style="823" customWidth="1"/>
    <col min="13069" max="13069" width="19.7109375" style="823" customWidth="1"/>
    <col min="13070" max="13070" width="14.85546875" style="823" customWidth="1"/>
    <col min="13071" max="13071" width="11.5703125" style="823" customWidth="1"/>
    <col min="13072" max="13312" width="8.85546875" style="823"/>
    <col min="13313" max="13313" width="12.5703125" style="823" customWidth="1"/>
    <col min="13314" max="13314" width="9.85546875" style="823" customWidth="1"/>
    <col min="13315" max="13315" width="9.5703125" style="823" customWidth="1"/>
    <col min="13316" max="13316" width="30.5703125" style="823" customWidth="1"/>
    <col min="13317" max="13317" width="28.85546875" style="823" customWidth="1"/>
    <col min="13318" max="13318" width="21.42578125" style="823" customWidth="1"/>
    <col min="13319" max="13319" width="18" style="823" customWidth="1"/>
    <col min="13320" max="13320" width="15.85546875" style="823" customWidth="1"/>
    <col min="13321" max="13321" width="16.5703125" style="823" customWidth="1"/>
    <col min="13322" max="13322" width="18.85546875" style="823" customWidth="1"/>
    <col min="13323" max="13323" width="16.42578125" style="823" customWidth="1"/>
    <col min="13324" max="13324" width="16.140625" style="823" customWidth="1"/>
    <col min="13325" max="13325" width="19.7109375" style="823" customWidth="1"/>
    <col min="13326" max="13326" width="14.85546875" style="823" customWidth="1"/>
    <col min="13327" max="13327" width="11.5703125" style="823" customWidth="1"/>
    <col min="13328" max="13568" width="8.85546875" style="823"/>
    <col min="13569" max="13569" width="12.5703125" style="823" customWidth="1"/>
    <col min="13570" max="13570" width="9.85546875" style="823" customWidth="1"/>
    <col min="13571" max="13571" width="9.5703125" style="823" customWidth="1"/>
    <col min="13572" max="13572" width="30.5703125" style="823" customWidth="1"/>
    <col min="13573" max="13573" width="28.85546875" style="823" customWidth="1"/>
    <col min="13574" max="13574" width="21.42578125" style="823" customWidth="1"/>
    <col min="13575" max="13575" width="18" style="823" customWidth="1"/>
    <col min="13576" max="13576" width="15.85546875" style="823" customWidth="1"/>
    <col min="13577" max="13577" width="16.5703125" style="823" customWidth="1"/>
    <col min="13578" max="13578" width="18.85546875" style="823" customWidth="1"/>
    <col min="13579" max="13579" width="16.42578125" style="823" customWidth="1"/>
    <col min="13580" max="13580" width="16.140625" style="823" customWidth="1"/>
    <col min="13581" max="13581" width="19.7109375" style="823" customWidth="1"/>
    <col min="13582" max="13582" width="14.85546875" style="823" customWidth="1"/>
    <col min="13583" max="13583" width="11.5703125" style="823" customWidth="1"/>
    <col min="13584" max="13824" width="8.85546875" style="823"/>
    <col min="13825" max="13825" width="12.5703125" style="823" customWidth="1"/>
    <col min="13826" max="13826" width="9.85546875" style="823" customWidth="1"/>
    <col min="13827" max="13827" width="9.5703125" style="823" customWidth="1"/>
    <col min="13828" max="13828" width="30.5703125" style="823" customWidth="1"/>
    <col min="13829" max="13829" width="28.85546875" style="823" customWidth="1"/>
    <col min="13830" max="13830" width="21.42578125" style="823" customWidth="1"/>
    <col min="13831" max="13831" width="18" style="823" customWidth="1"/>
    <col min="13832" max="13832" width="15.85546875" style="823" customWidth="1"/>
    <col min="13833" max="13833" width="16.5703125" style="823" customWidth="1"/>
    <col min="13834" max="13834" width="18.85546875" style="823" customWidth="1"/>
    <col min="13835" max="13835" width="16.42578125" style="823" customWidth="1"/>
    <col min="13836" max="13836" width="16.140625" style="823" customWidth="1"/>
    <col min="13837" max="13837" width="19.7109375" style="823" customWidth="1"/>
    <col min="13838" max="13838" width="14.85546875" style="823" customWidth="1"/>
    <col min="13839" max="13839" width="11.5703125" style="823" customWidth="1"/>
    <col min="13840" max="14080" width="8.85546875" style="823"/>
    <col min="14081" max="14081" width="12.5703125" style="823" customWidth="1"/>
    <col min="14082" max="14082" width="9.85546875" style="823" customWidth="1"/>
    <col min="14083" max="14083" width="9.5703125" style="823" customWidth="1"/>
    <col min="14084" max="14084" width="30.5703125" style="823" customWidth="1"/>
    <col min="14085" max="14085" width="28.85546875" style="823" customWidth="1"/>
    <col min="14086" max="14086" width="21.42578125" style="823" customWidth="1"/>
    <col min="14087" max="14087" width="18" style="823" customWidth="1"/>
    <col min="14088" max="14088" width="15.85546875" style="823" customWidth="1"/>
    <col min="14089" max="14089" width="16.5703125" style="823" customWidth="1"/>
    <col min="14090" max="14090" width="18.85546875" style="823" customWidth="1"/>
    <col min="14091" max="14091" width="16.42578125" style="823" customWidth="1"/>
    <col min="14092" max="14092" width="16.140625" style="823" customWidth="1"/>
    <col min="14093" max="14093" width="19.7109375" style="823" customWidth="1"/>
    <col min="14094" max="14094" width="14.85546875" style="823" customWidth="1"/>
    <col min="14095" max="14095" width="11.5703125" style="823" customWidth="1"/>
    <col min="14096" max="14336" width="8.85546875" style="823"/>
    <col min="14337" max="14337" width="12.5703125" style="823" customWidth="1"/>
    <col min="14338" max="14338" width="9.85546875" style="823" customWidth="1"/>
    <col min="14339" max="14339" width="9.5703125" style="823" customWidth="1"/>
    <col min="14340" max="14340" width="30.5703125" style="823" customWidth="1"/>
    <col min="14341" max="14341" width="28.85546875" style="823" customWidth="1"/>
    <col min="14342" max="14342" width="21.42578125" style="823" customWidth="1"/>
    <col min="14343" max="14343" width="18" style="823" customWidth="1"/>
    <col min="14344" max="14344" width="15.85546875" style="823" customWidth="1"/>
    <col min="14345" max="14345" width="16.5703125" style="823" customWidth="1"/>
    <col min="14346" max="14346" width="18.85546875" style="823" customWidth="1"/>
    <col min="14347" max="14347" width="16.42578125" style="823" customWidth="1"/>
    <col min="14348" max="14348" width="16.140625" style="823" customWidth="1"/>
    <col min="14349" max="14349" width="19.7109375" style="823" customWidth="1"/>
    <col min="14350" max="14350" width="14.85546875" style="823" customWidth="1"/>
    <col min="14351" max="14351" width="11.5703125" style="823" customWidth="1"/>
    <col min="14352" max="14592" width="8.85546875" style="823"/>
    <col min="14593" max="14593" width="12.5703125" style="823" customWidth="1"/>
    <col min="14594" max="14594" width="9.85546875" style="823" customWidth="1"/>
    <col min="14595" max="14595" width="9.5703125" style="823" customWidth="1"/>
    <col min="14596" max="14596" width="30.5703125" style="823" customWidth="1"/>
    <col min="14597" max="14597" width="28.85546875" style="823" customWidth="1"/>
    <col min="14598" max="14598" width="21.42578125" style="823" customWidth="1"/>
    <col min="14599" max="14599" width="18" style="823" customWidth="1"/>
    <col min="14600" max="14600" width="15.85546875" style="823" customWidth="1"/>
    <col min="14601" max="14601" width="16.5703125" style="823" customWidth="1"/>
    <col min="14602" max="14602" width="18.85546875" style="823" customWidth="1"/>
    <col min="14603" max="14603" width="16.42578125" style="823" customWidth="1"/>
    <col min="14604" max="14604" width="16.140625" style="823" customWidth="1"/>
    <col min="14605" max="14605" width="19.7109375" style="823" customWidth="1"/>
    <col min="14606" max="14606" width="14.85546875" style="823" customWidth="1"/>
    <col min="14607" max="14607" width="11.5703125" style="823" customWidth="1"/>
    <col min="14608" max="14848" width="8.85546875" style="823"/>
    <col min="14849" max="14849" width="12.5703125" style="823" customWidth="1"/>
    <col min="14850" max="14850" width="9.85546875" style="823" customWidth="1"/>
    <col min="14851" max="14851" width="9.5703125" style="823" customWidth="1"/>
    <col min="14852" max="14852" width="30.5703125" style="823" customWidth="1"/>
    <col min="14853" max="14853" width="28.85546875" style="823" customWidth="1"/>
    <col min="14854" max="14854" width="21.42578125" style="823" customWidth="1"/>
    <col min="14855" max="14855" width="18" style="823" customWidth="1"/>
    <col min="14856" max="14856" width="15.85546875" style="823" customWidth="1"/>
    <col min="14857" max="14857" width="16.5703125" style="823" customWidth="1"/>
    <col min="14858" max="14858" width="18.85546875" style="823" customWidth="1"/>
    <col min="14859" max="14859" width="16.42578125" style="823" customWidth="1"/>
    <col min="14860" max="14860" width="16.140625" style="823" customWidth="1"/>
    <col min="14861" max="14861" width="19.7109375" style="823" customWidth="1"/>
    <col min="14862" max="14862" width="14.85546875" style="823" customWidth="1"/>
    <col min="14863" max="14863" width="11.5703125" style="823" customWidth="1"/>
    <col min="14864" max="15104" width="8.85546875" style="823"/>
    <col min="15105" max="15105" width="12.5703125" style="823" customWidth="1"/>
    <col min="15106" max="15106" width="9.85546875" style="823" customWidth="1"/>
    <col min="15107" max="15107" width="9.5703125" style="823" customWidth="1"/>
    <col min="15108" max="15108" width="30.5703125" style="823" customWidth="1"/>
    <col min="15109" max="15109" width="28.85546875" style="823" customWidth="1"/>
    <col min="15110" max="15110" width="21.42578125" style="823" customWidth="1"/>
    <col min="15111" max="15111" width="18" style="823" customWidth="1"/>
    <col min="15112" max="15112" width="15.85546875" style="823" customWidth="1"/>
    <col min="15113" max="15113" width="16.5703125" style="823" customWidth="1"/>
    <col min="15114" max="15114" width="18.85546875" style="823" customWidth="1"/>
    <col min="15115" max="15115" width="16.42578125" style="823" customWidth="1"/>
    <col min="15116" max="15116" width="16.140625" style="823" customWidth="1"/>
    <col min="15117" max="15117" width="19.7109375" style="823" customWidth="1"/>
    <col min="15118" max="15118" width="14.85546875" style="823" customWidth="1"/>
    <col min="15119" max="15119" width="11.5703125" style="823" customWidth="1"/>
    <col min="15120" max="15360" width="8.85546875" style="823"/>
    <col min="15361" max="15361" width="12.5703125" style="823" customWidth="1"/>
    <col min="15362" max="15362" width="9.85546875" style="823" customWidth="1"/>
    <col min="15363" max="15363" width="9.5703125" style="823" customWidth="1"/>
    <col min="15364" max="15364" width="30.5703125" style="823" customWidth="1"/>
    <col min="15365" max="15365" width="28.85546875" style="823" customWidth="1"/>
    <col min="15366" max="15366" width="21.42578125" style="823" customWidth="1"/>
    <col min="15367" max="15367" width="18" style="823" customWidth="1"/>
    <col min="15368" max="15368" width="15.85546875" style="823" customWidth="1"/>
    <col min="15369" max="15369" width="16.5703125" style="823" customWidth="1"/>
    <col min="15370" max="15370" width="18.85546875" style="823" customWidth="1"/>
    <col min="15371" max="15371" width="16.42578125" style="823" customWidth="1"/>
    <col min="15372" max="15372" width="16.140625" style="823" customWidth="1"/>
    <col min="15373" max="15373" width="19.7109375" style="823" customWidth="1"/>
    <col min="15374" max="15374" width="14.85546875" style="823" customWidth="1"/>
    <col min="15375" max="15375" width="11.5703125" style="823" customWidth="1"/>
    <col min="15376" max="15616" width="8.85546875" style="823"/>
    <col min="15617" max="15617" width="12.5703125" style="823" customWidth="1"/>
    <col min="15618" max="15618" width="9.85546875" style="823" customWidth="1"/>
    <col min="15619" max="15619" width="9.5703125" style="823" customWidth="1"/>
    <col min="15620" max="15620" width="30.5703125" style="823" customWidth="1"/>
    <col min="15621" max="15621" width="28.85546875" style="823" customWidth="1"/>
    <col min="15622" max="15622" width="21.42578125" style="823" customWidth="1"/>
    <col min="15623" max="15623" width="18" style="823" customWidth="1"/>
    <col min="15624" max="15624" width="15.85546875" style="823" customWidth="1"/>
    <col min="15625" max="15625" width="16.5703125" style="823" customWidth="1"/>
    <col min="15626" max="15626" width="18.85546875" style="823" customWidth="1"/>
    <col min="15627" max="15627" width="16.42578125" style="823" customWidth="1"/>
    <col min="15628" max="15628" width="16.140625" style="823" customWidth="1"/>
    <col min="15629" max="15629" width="19.7109375" style="823" customWidth="1"/>
    <col min="15630" max="15630" width="14.85546875" style="823" customWidth="1"/>
    <col min="15631" max="15631" width="11.5703125" style="823" customWidth="1"/>
    <col min="15632" max="15872" width="8.85546875" style="823"/>
    <col min="15873" max="15873" width="12.5703125" style="823" customWidth="1"/>
    <col min="15874" max="15874" width="9.85546875" style="823" customWidth="1"/>
    <col min="15875" max="15875" width="9.5703125" style="823" customWidth="1"/>
    <col min="15876" max="15876" width="30.5703125" style="823" customWidth="1"/>
    <col min="15877" max="15877" width="28.85546875" style="823" customWidth="1"/>
    <col min="15878" max="15878" width="21.42578125" style="823" customWidth="1"/>
    <col min="15879" max="15879" width="18" style="823" customWidth="1"/>
    <col min="15880" max="15880" width="15.85546875" style="823" customWidth="1"/>
    <col min="15881" max="15881" width="16.5703125" style="823" customWidth="1"/>
    <col min="15882" max="15882" width="18.85546875" style="823" customWidth="1"/>
    <col min="15883" max="15883" width="16.42578125" style="823" customWidth="1"/>
    <col min="15884" max="15884" width="16.140625" style="823" customWidth="1"/>
    <col min="15885" max="15885" width="19.7109375" style="823" customWidth="1"/>
    <col min="15886" max="15886" width="14.85546875" style="823" customWidth="1"/>
    <col min="15887" max="15887" width="11.5703125" style="823" customWidth="1"/>
    <col min="15888" max="16128" width="8.85546875" style="823"/>
    <col min="16129" max="16129" width="12.5703125" style="823" customWidth="1"/>
    <col min="16130" max="16130" width="9.85546875" style="823" customWidth="1"/>
    <col min="16131" max="16131" width="9.5703125" style="823" customWidth="1"/>
    <col min="16132" max="16132" width="30.5703125" style="823" customWidth="1"/>
    <col min="16133" max="16133" width="28.85546875" style="823" customWidth="1"/>
    <col min="16134" max="16134" width="21.42578125" style="823" customWidth="1"/>
    <col min="16135" max="16135" width="18" style="823" customWidth="1"/>
    <col min="16136" max="16136" width="15.85546875" style="823" customWidth="1"/>
    <col min="16137" max="16137" width="16.5703125" style="823" customWidth="1"/>
    <col min="16138" max="16138" width="18.85546875" style="823" customWidth="1"/>
    <col min="16139" max="16139" width="16.42578125" style="823" customWidth="1"/>
    <col min="16140" max="16140" width="16.140625" style="823" customWidth="1"/>
    <col min="16141" max="16141" width="19.7109375" style="823" customWidth="1"/>
    <col min="16142" max="16142" width="14.85546875" style="823" customWidth="1"/>
    <col min="16143" max="16143" width="11.5703125" style="823" customWidth="1"/>
    <col min="16144" max="16384" width="8.85546875" style="823"/>
  </cols>
  <sheetData>
    <row r="1" spans="1:15" ht="15.75" hidden="1" customHeight="1" x14ac:dyDescent="0.2">
      <c r="I1" s="826" t="s">
        <v>414</v>
      </c>
      <c r="J1" s="826"/>
      <c r="L1" s="1290" t="s">
        <v>567</v>
      </c>
      <c r="M1" s="1290"/>
    </row>
    <row r="2" spans="1:15" ht="15.75" hidden="1" customHeight="1" x14ac:dyDescent="0.2">
      <c r="I2" s="826" t="s">
        <v>415</v>
      </c>
      <c r="J2" s="826"/>
      <c r="L2" s="1290"/>
      <c r="M2" s="1290"/>
    </row>
    <row r="3" spans="1:15" ht="15.75" hidden="1" customHeight="1" x14ac:dyDescent="0.2">
      <c r="I3" s="829" t="s">
        <v>416</v>
      </c>
      <c r="J3" s="829"/>
      <c r="L3" s="1290"/>
      <c r="M3" s="1290"/>
    </row>
    <row r="4" spans="1:15" ht="15.75" hidden="1" customHeight="1" x14ac:dyDescent="0.2">
      <c r="I4" s="830" t="s">
        <v>417</v>
      </c>
      <c r="J4" s="830"/>
      <c r="L4" s="1290"/>
      <c r="M4" s="1290"/>
    </row>
    <row r="5" spans="1:15" ht="15.75" hidden="1" customHeight="1" x14ac:dyDescent="0.2">
      <c r="L5" s="1290"/>
      <c r="M5" s="1290"/>
    </row>
    <row r="6" spans="1:15" x14ac:dyDescent="0.25">
      <c r="L6" s="1290"/>
      <c r="M6" s="1290"/>
      <c r="N6" s="1040"/>
    </row>
    <row r="7" spans="1:15" x14ac:dyDescent="0.25">
      <c r="L7" s="1290" t="s">
        <v>459</v>
      </c>
      <c r="M7" s="1290"/>
      <c r="N7" s="1290"/>
      <c r="O7" s="1290"/>
    </row>
    <row r="8" spans="1:15" x14ac:dyDescent="0.25">
      <c r="L8" s="1290" t="s">
        <v>653</v>
      </c>
      <c r="M8" s="1290"/>
      <c r="N8" s="1290"/>
      <c r="O8" s="1038"/>
    </row>
    <row r="9" spans="1:15" x14ac:dyDescent="0.25">
      <c r="L9" s="1290" t="s">
        <v>718</v>
      </c>
      <c r="M9" s="1290"/>
      <c r="N9" s="1290"/>
      <c r="O9" s="1290"/>
    </row>
    <row r="10" spans="1:15" x14ac:dyDescent="0.25">
      <c r="L10" s="1290" t="s">
        <v>719</v>
      </c>
      <c r="M10" s="1290"/>
      <c r="N10" s="1290"/>
      <c r="O10" s="1290"/>
    </row>
    <row r="11" spans="1:15" ht="15.75" customHeight="1" x14ac:dyDescent="0.25">
      <c r="G11" s="1279"/>
      <c r="H11" s="1279"/>
      <c r="I11" s="1279"/>
    </row>
    <row r="12" spans="1:15" ht="8.25" customHeight="1" x14ac:dyDescent="0.2"/>
    <row r="13" spans="1:15" s="831" customFormat="1" ht="25.5" customHeight="1" x14ac:dyDescent="0.2">
      <c r="C13" s="832" t="s">
        <v>689</v>
      </c>
      <c r="D13" s="832"/>
      <c r="E13" s="832"/>
      <c r="F13" s="832"/>
      <c r="G13" s="833"/>
      <c r="H13" s="833"/>
      <c r="I13" s="833"/>
      <c r="J13" s="833"/>
      <c r="K13" s="833"/>
      <c r="L13" s="833"/>
      <c r="M13" s="834"/>
      <c r="N13" s="834"/>
      <c r="O13" s="835"/>
    </row>
    <row r="14" spans="1:15" s="831" customFormat="1" ht="21.75" customHeight="1" x14ac:dyDescent="0.2">
      <c r="A14" s="1280">
        <v>15591000000</v>
      </c>
      <c r="B14" s="1280"/>
      <c r="C14" s="1280"/>
      <c r="D14" s="836"/>
      <c r="E14" s="836"/>
      <c r="F14" s="836"/>
      <c r="G14" s="837"/>
      <c r="H14" s="833"/>
      <c r="I14" s="833"/>
      <c r="J14" s="833"/>
      <c r="K14" s="833"/>
      <c r="L14" s="834"/>
      <c r="M14" s="834"/>
      <c r="N14" s="834"/>
      <c r="O14" s="835"/>
    </row>
    <row r="15" spans="1:15" s="831" customFormat="1" ht="22.5" customHeight="1" thickBot="1" x14ac:dyDescent="0.25">
      <c r="A15" s="1281" t="s">
        <v>0</v>
      </c>
      <c r="B15" s="1281"/>
      <c r="C15" s="1281"/>
      <c r="D15" s="836"/>
      <c r="E15" s="836"/>
      <c r="F15" s="836"/>
      <c r="G15" s="837"/>
      <c r="H15" s="833"/>
      <c r="I15" s="833"/>
      <c r="J15" s="833"/>
      <c r="K15" s="833"/>
      <c r="L15" s="834"/>
      <c r="M15" s="834"/>
      <c r="N15" s="834" t="s">
        <v>235</v>
      </c>
      <c r="O15" s="835"/>
    </row>
    <row r="16" spans="1:15" s="831" customFormat="1" ht="15.75" customHeight="1" x14ac:dyDescent="0.2">
      <c r="A16" s="1282" t="s">
        <v>8</v>
      </c>
      <c r="B16" s="1284" t="s">
        <v>9</v>
      </c>
      <c r="C16" s="1286" t="s">
        <v>236</v>
      </c>
      <c r="D16" s="1288" t="s">
        <v>419</v>
      </c>
      <c r="E16" s="1288" t="s">
        <v>420</v>
      </c>
      <c r="F16" s="1288" t="s">
        <v>421</v>
      </c>
      <c r="G16" s="1288" t="s">
        <v>422</v>
      </c>
      <c r="H16" s="1288"/>
      <c r="I16" s="1288" t="s">
        <v>3</v>
      </c>
      <c r="J16" s="1288"/>
      <c r="K16" s="1288"/>
      <c r="L16" s="1288"/>
      <c r="M16" s="1291" t="s">
        <v>423</v>
      </c>
      <c r="N16" s="1291"/>
      <c r="O16" s="1292"/>
    </row>
    <row r="17" spans="1:15" s="831" customFormat="1" ht="168" customHeight="1" thickBot="1" x14ac:dyDescent="0.25">
      <c r="A17" s="1283"/>
      <c r="B17" s="1285"/>
      <c r="C17" s="1287"/>
      <c r="D17" s="1289"/>
      <c r="E17" s="1289"/>
      <c r="F17" s="1289"/>
      <c r="G17" s="1041" t="s">
        <v>458</v>
      </c>
      <c r="H17" s="1041" t="s">
        <v>690</v>
      </c>
      <c r="I17" s="1041" t="s">
        <v>458</v>
      </c>
      <c r="J17" s="1041" t="s">
        <v>5</v>
      </c>
      <c r="K17" s="1041" t="s">
        <v>691</v>
      </c>
      <c r="L17" s="1041" t="s">
        <v>5</v>
      </c>
      <c r="M17" s="1041" t="s">
        <v>458</v>
      </c>
      <c r="N17" s="1041" t="s">
        <v>691</v>
      </c>
      <c r="O17" s="838" t="s">
        <v>405</v>
      </c>
    </row>
    <row r="18" spans="1:15" s="831" customFormat="1" ht="13.5" customHeight="1" thickBot="1" x14ac:dyDescent="0.25">
      <c r="A18" s="839">
        <v>1</v>
      </c>
      <c r="B18" s="840">
        <v>2</v>
      </c>
      <c r="C18" s="841" t="s">
        <v>246</v>
      </c>
      <c r="D18" s="842">
        <v>4</v>
      </c>
      <c r="E18" s="842">
        <v>5</v>
      </c>
      <c r="F18" s="842">
        <v>6</v>
      </c>
      <c r="G18" s="842">
        <v>7</v>
      </c>
      <c r="H18" s="842">
        <v>8</v>
      </c>
      <c r="I18" s="842">
        <v>9</v>
      </c>
      <c r="J18" s="843">
        <v>10</v>
      </c>
      <c r="K18" s="843">
        <v>11</v>
      </c>
      <c r="L18" s="844">
        <v>12</v>
      </c>
      <c r="M18" s="844">
        <v>13</v>
      </c>
      <c r="N18" s="844">
        <v>14</v>
      </c>
      <c r="O18" s="845">
        <v>15</v>
      </c>
    </row>
    <row r="19" spans="1:15" s="831" customFormat="1" ht="78" customHeight="1" thickBot="1" x14ac:dyDescent="0.25">
      <c r="A19" s="846" t="s">
        <v>13</v>
      </c>
      <c r="B19" s="584"/>
      <c r="C19" s="584"/>
      <c r="D19" s="847" t="s">
        <v>450</v>
      </c>
      <c r="E19" s="848"/>
      <c r="F19" s="848"/>
      <c r="G19" s="569">
        <f t="shared" ref="G19:L19" si="0">G20</f>
        <v>91359840</v>
      </c>
      <c r="H19" s="569">
        <f t="shared" si="0"/>
        <v>74477012.390000001</v>
      </c>
      <c r="I19" s="569">
        <f t="shared" si="0"/>
        <v>20319057</v>
      </c>
      <c r="J19" s="569">
        <f t="shared" si="0"/>
        <v>20319057</v>
      </c>
      <c r="K19" s="569">
        <f t="shared" si="0"/>
        <v>13087179.6</v>
      </c>
      <c r="L19" s="569">
        <f t="shared" si="0"/>
        <v>13087179.6</v>
      </c>
      <c r="M19" s="569">
        <f>G19+I19</f>
        <v>111678897</v>
      </c>
      <c r="N19" s="569">
        <f>H19+K19</f>
        <v>87564191.989999995</v>
      </c>
      <c r="O19" s="570">
        <f>N19/M19</f>
        <v>0.78407106751779609</v>
      </c>
    </row>
    <row r="20" spans="1:15" s="831" customFormat="1" ht="74.25" customHeight="1" thickBot="1" x14ac:dyDescent="0.25">
      <c r="A20" s="571" t="s">
        <v>15</v>
      </c>
      <c r="B20" s="1046"/>
      <c r="C20" s="1046"/>
      <c r="D20" s="1047" t="s">
        <v>453</v>
      </c>
      <c r="E20" s="1048"/>
      <c r="F20" s="1048"/>
      <c r="G20" s="849">
        <f>SUM(G21:G40)</f>
        <v>91359840</v>
      </c>
      <c r="H20" s="849">
        <f t="shared" ref="H20:L20" si="1">SUM(H21:H40)</f>
        <v>74477012.390000001</v>
      </c>
      <c r="I20" s="849">
        <f t="shared" si="1"/>
        <v>20319057</v>
      </c>
      <c r="J20" s="849">
        <f t="shared" si="1"/>
        <v>20319057</v>
      </c>
      <c r="K20" s="849">
        <f>SUM(K21:K40)</f>
        <v>13087179.6</v>
      </c>
      <c r="L20" s="849">
        <f t="shared" si="1"/>
        <v>13087179.6</v>
      </c>
      <c r="M20" s="849">
        <f>G20+I20</f>
        <v>111678897</v>
      </c>
      <c r="N20" s="849">
        <f>H20+K20</f>
        <v>87564191.989999995</v>
      </c>
      <c r="O20" s="850">
        <f>N20/M20</f>
        <v>0.78407106751779609</v>
      </c>
    </row>
    <row r="21" spans="1:15" s="831" customFormat="1" ht="165.75" customHeight="1" x14ac:dyDescent="0.2">
      <c r="A21" s="1049" t="s">
        <v>147</v>
      </c>
      <c r="B21" s="1050" t="s">
        <v>148</v>
      </c>
      <c r="C21" s="1050" t="s">
        <v>16</v>
      </c>
      <c r="D21" s="575" t="s">
        <v>149</v>
      </c>
      <c r="E21" s="575" t="s">
        <v>221</v>
      </c>
      <c r="F21" s="1051" t="s">
        <v>595</v>
      </c>
      <c r="G21" s="852">
        <v>234240</v>
      </c>
      <c r="H21" s="852">
        <v>175680</v>
      </c>
      <c r="I21" s="852">
        <v>0</v>
      </c>
      <c r="J21" s="852">
        <v>0</v>
      </c>
      <c r="K21" s="852">
        <v>0</v>
      </c>
      <c r="L21" s="1052">
        <v>0</v>
      </c>
      <c r="M21" s="852">
        <f>G21+I21</f>
        <v>234240</v>
      </c>
      <c r="N21" s="852">
        <f>H21+K21</f>
        <v>175680</v>
      </c>
      <c r="O21" s="853">
        <f>N21/M21</f>
        <v>0.75</v>
      </c>
    </row>
    <row r="22" spans="1:15" s="831" customFormat="1" ht="256.5" customHeight="1" x14ac:dyDescent="0.2">
      <c r="A22" s="1053" t="s">
        <v>406</v>
      </c>
      <c r="B22" s="574" t="s">
        <v>197</v>
      </c>
      <c r="C22" s="574" t="s">
        <v>195</v>
      </c>
      <c r="D22" s="1054" t="s">
        <v>198</v>
      </c>
      <c r="E22" s="578" t="s">
        <v>569</v>
      </c>
      <c r="F22" s="597" t="s">
        <v>697</v>
      </c>
      <c r="G22" s="854">
        <v>89400</v>
      </c>
      <c r="H22" s="854">
        <v>31800</v>
      </c>
      <c r="I22" s="854">
        <v>0</v>
      </c>
      <c r="J22" s="854">
        <v>0</v>
      </c>
      <c r="K22" s="854">
        <v>0</v>
      </c>
      <c r="L22" s="1055">
        <v>0</v>
      </c>
      <c r="M22" s="854">
        <f t="shared" ref="M22:M99" si="2">G22+I22</f>
        <v>89400</v>
      </c>
      <c r="N22" s="854">
        <f t="shared" ref="N22:N99" si="3">H22+K22</f>
        <v>31800</v>
      </c>
      <c r="O22" s="855">
        <f>N22/M22</f>
        <v>0.35570469798657717</v>
      </c>
    </row>
    <row r="23" spans="1:15" s="831" customFormat="1" ht="267.75" customHeight="1" x14ac:dyDescent="0.2">
      <c r="A23" s="1053" t="s">
        <v>406</v>
      </c>
      <c r="B23" s="574" t="s">
        <v>197</v>
      </c>
      <c r="C23" s="574" t="s">
        <v>195</v>
      </c>
      <c r="D23" s="1054" t="s">
        <v>198</v>
      </c>
      <c r="E23" s="578" t="s">
        <v>570</v>
      </c>
      <c r="F23" s="597" t="s">
        <v>635</v>
      </c>
      <c r="G23" s="854">
        <v>76500</v>
      </c>
      <c r="H23" s="854">
        <v>46500</v>
      </c>
      <c r="I23" s="854">
        <v>0</v>
      </c>
      <c r="J23" s="854">
        <v>0</v>
      </c>
      <c r="K23" s="854">
        <v>0</v>
      </c>
      <c r="L23" s="1055">
        <v>0</v>
      </c>
      <c r="M23" s="854">
        <f t="shared" si="2"/>
        <v>76500</v>
      </c>
      <c r="N23" s="854">
        <f t="shared" si="3"/>
        <v>46500</v>
      </c>
      <c r="O23" s="855">
        <f>N23/M23</f>
        <v>0.60784313725490191</v>
      </c>
    </row>
    <row r="24" spans="1:15" s="825" customFormat="1" ht="164.25" customHeight="1" x14ac:dyDescent="0.2">
      <c r="A24" s="580" t="s">
        <v>17</v>
      </c>
      <c r="B24" s="579" t="s">
        <v>18</v>
      </c>
      <c r="C24" s="579" t="s">
        <v>19</v>
      </c>
      <c r="D24" s="578" t="s">
        <v>20</v>
      </c>
      <c r="E24" s="578" t="s">
        <v>141</v>
      </c>
      <c r="F24" s="597" t="s">
        <v>636</v>
      </c>
      <c r="G24" s="854">
        <v>10094100</v>
      </c>
      <c r="H24" s="854">
        <v>6122110.5899999999</v>
      </c>
      <c r="I24" s="1056">
        <v>0</v>
      </c>
      <c r="J24" s="1056">
        <v>0</v>
      </c>
      <c r="K24" s="854">
        <v>0</v>
      </c>
      <c r="L24" s="854">
        <v>0</v>
      </c>
      <c r="M24" s="854">
        <f t="shared" si="2"/>
        <v>10094100</v>
      </c>
      <c r="N24" s="854">
        <f t="shared" si="3"/>
        <v>6122110.5899999999</v>
      </c>
      <c r="O24" s="855">
        <f t="shared" ref="O24:O121" si="4">N24/M24</f>
        <v>0.60650385769905191</v>
      </c>
    </row>
    <row r="25" spans="1:15" s="857" customFormat="1" ht="155.25" customHeight="1" x14ac:dyDescent="0.2">
      <c r="A25" s="580" t="s">
        <v>17</v>
      </c>
      <c r="B25" s="579" t="s">
        <v>18</v>
      </c>
      <c r="C25" s="579" t="s">
        <v>19</v>
      </c>
      <c r="D25" s="578" t="s">
        <v>20</v>
      </c>
      <c r="E25" s="856" t="s">
        <v>637</v>
      </c>
      <c r="F25" s="578" t="s">
        <v>596</v>
      </c>
      <c r="G25" s="854">
        <v>14362702</v>
      </c>
      <c r="H25" s="854">
        <v>10636012.01</v>
      </c>
      <c r="I25" s="854">
        <v>0</v>
      </c>
      <c r="J25" s="854">
        <v>0</v>
      </c>
      <c r="K25" s="854">
        <v>0</v>
      </c>
      <c r="L25" s="1055">
        <v>0</v>
      </c>
      <c r="M25" s="854">
        <f t="shared" si="2"/>
        <v>14362702</v>
      </c>
      <c r="N25" s="854">
        <f t="shared" si="3"/>
        <v>10636012.01</v>
      </c>
      <c r="O25" s="855">
        <f t="shared" si="4"/>
        <v>0.74053002074400764</v>
      </c>
    </row>
    <row r="26" spans="1:15" s="857" customFormat="1" ht="150.75" customHeight="1" x14ac:dyDescent="0.2">
      <c r="A26" s="580" t="s">
        <v>17</v>
      </c>
      <c r="B26" s="579" t="s">
        <v>18</v>
      </c>
      <c r="C26" s="579" t="s">
        <v>19</v>
      </c>
      <c r="D26" s="578" t="s">
        <v>20</v>
      </c>
      <c r="E26" s="578" t="s">
        <v>583</v>
      </c>
      <c r="F26" s="578" t="s">
        <v>594</v>
      </c>
      <c r="G26" s="854">
        <v>0</v>
      </c>
      <c r="H26" s="854">
        <v>0</v>
      </c>
      <c r="I26" s="854">
        <v>1548687</v>
      </c>
      <c r="J26" s="854">
        <f>I26</f>
        <v>1548687</v>
      </c>
      <c r="K26" s="854">
        <v>0</v>
      </c>
      <c r="L26" s="854">
        <f>K26</f>
        <v>0</v>
      </c>
      <c r="M26" s="854">
        <f t="shared" si="2"/>
        <v>1548687</v>
      </c>
      <c r="N26" s="854">
        <f>H26+K26</f>
        <v>0</v>
      </c>
      <c r="O26" s="855">
        <f t="shared" si="4"/>
        <v>0</v>
      </c>
    </row>
    <row r="27" spans="1:15" s="857" customFormat="1" ht="158.25" customHeight="1" x14ac:dyDescent="0.2">
      <c r="A27" s="580" t="s">
        <v>21</v>
      </c>
      <c r="B27" s="579" t="s">
        <v>22</v>
      </c>
      <c r="C27" s="579" t="s">
        <v>23</v>
      </c>
      <c r="D27" s="578" t="s">
        <v>24</v>
      </c>
      <c r="E27" s="578" t="s">
        <v>200</v>
      </c>
      <c r="F27" s="597" t="s">
        <v>638</v>
      </c>
      <c r="G27" s="854">
        <v>880094</v>
      </c>
      <c r="H27" s="854">
        <v>500815.74</v>
      </c>
      <c r="I27" s="1056">
        <f>0+173298</f>
        <v>173298</v>
      </c>
      <c r="J27" s="854">
        <v>173298</v>
      </c>
      <c r="K27" s="854">
        <v>147302</v>
      </c>
      <c r="L27" s="854">
        <f>K27</f>
        <v>147302</v>
      </c>
      <c r="M27" s="854">
        <f t="shared" si="2"/>
        <v>1053392</v>
      </c>
      <c r="N27" s="854">
        <f t="shared" si="3"/>
        <v>648117.74</v>
      </c>
      <c r="O27" s="855">
        <f t="shared" si="4"/>
        <v>0.6152673838419126</v>
      </c>
    </row>
    <row r="28" spans="1:15" s="857" customFormat="1" ht="147.75" customHeight="1" x14ac:dyDescent="0.2">
      <c r="A28" s="1053" t="s">
        <v>203</v>
      </c>
      <c r="B28" s="579">
        <v>2152</v>
      </c>
      <c r="C28" s="574" t="s">
        <v>204</v>
      </c>
      <c r="D28" s="578" t="s">
        <v>24</v>
      </c>
      <c r="E28" s="578" t="s">
        <v>201</v>
      </c>
      <c r="F28" s="578" t="s">
        <v>597</v>
      </c>
      <c r="G28" s="854">
        <v>2815512</v>
      </c>
      <c r="H28" s="854">
        <v>1822255.81</v>
      </c>
      <c r="I28" s="1056">
        <v>0</v>
      </c>
      <c r="J28" s="854">
        <f>I28</f>
        <v>0</v>
      </c>
      <c r="K28" s="854">
        <v>0</v>
      </c>
      <c r="L28" s="854">
        <f>K28</f>
        <v>0</v>
      </c>
      <c r="M28" s="854">
        <f t="shared" si="2"/>
        <v>2815512</v>
      </c>
      <c r="N28" s="854">
        <f t="shared" si="3"/>
        <v>1822255.81</v>
      </c>
      <c r="O28" s="855">
        <f t="shared" si="4"/>
        <v>0.6472200473661629</v>
      </c>
    </row>
    <row r="29" spans="1:15" s="857" customFormat="1" ht="164.25" customHeight="1" x14ac:dyDescent="0.2">
      <c r="A29" s="580" t="s">
        <v>28</v>
      </c>
      <c r="B29" s="579" t="s">
        <v>29</v>
      </c>
      <c r="C29" s="579" t="s">
        <v>30</v>
      </c>
      <c r="D29" s="578" t="s">
        <v>31</v>
      </c>
      <c r="E29" s="578" t="s">
        <v>639</v>
      </c>
      <c r="F29" s="578" t="s">
        <v>598</v>
      </c>
      <c r="G29" s="854">
        <v>178875</v>
      </c>
      <c r="H29" s="854">
        <v>112131.42</v>
      </c>
      <c r="I29" s="1056">
        <v>657194</v>
      </c>
      <c r="J29" s="854">
        <v>657194</v>
      </c>
      <c r="K29" s="854">
        <v>0</v>
      </c>
      <c r="L29" s="854">
        <v>0</v>
      </c>
      <c r="M29" s="854">
        <f t="shared" si="2"/>
        <v>836069</v>
      </c>
      <c r="N29" s="854">
        <f>H29+K29</f>
        <v>112131.42</v>
      </c>
      <c r="O29" s="855">
        <f t="shared" si="4"/>
        <v>0.13411742332271617</v>
      </c>
    </row>
    <row r="30" spans="1:15" s="857" customFormat="1" ht="152.25" customHeight="1" x14ac:dyDescent="0.2">
      <c r="A30" s="1053" t="s">
        <v>673</v>
      </c>
      <c r="B30" s="579">
        <v>8110</v>
      </c>
      <c r="C30" s="574" t="s">
        <v>206</v>
      </c>
      <c r="D30" s="578" t="s">
        <v>207</v>
      </c>
      <c r="E30" s="578" t="s">
        <v>582</v>
      </c>
      <c r="F30" s="597" t="s">
        <v>703</v>
      </c>
      <c r="G30" s="854">
        <v>676200</v>
      </c>
      <c r="H30" s="854">
        <v>656100</v>
      </c>
      <c r="I30" s="1056">
        <v>0</v>
      </c>
      <c r="J30" s="854">
        <v>0</v>
      </c>
      <c r="K30" s="854">
        <v>0</v>
      </c>
      <c r="L30" s="854">
        <v>0</v>
      </c>
      <c r="M30" s="854">
        <f t="shared" si="2"/>
        <v>676200</v>
      </c>
      <c r="N30" s="854">
        <f>H30+K30</f>
        <v>656100</v>
      </c>
      <c r="O30" s="855">
        <f t="shared" si="4"/>
        <v>0.97027506654835849</v>
      </c>
    </row>
    <row r="31" spans="1:15" s="857" customFormat="1" ht="99" customHeight="1" x14ac:dyDescent="0.2">
      <c r="A31" s="1053" t="s">
        <v>32</v>
      </c>
      <c r="B31" s="579" t="s">
        <v>33</v>
      </c>
      <c r="C31" s="579" t="s">
        <v>34</v>
      </c>
      <c r="D31" s="578" t="s">
        <v>35</v>
      </c>
      <c r="E31" s="578" t="s">
        <v>640</v>
      </c>
      <c r="F31" s="578" t="s">
        <v>599</v>
      </c>
      <c r="G31" s="854">
        <v>347700</v>
      </c>
      <c r="H31" s="854">
        <v>0</v>
      </c>
      <c r="I31" s="1056">
        <v>0</v>
      </c>
      <c r="J31" s="854">
        <v>0</v>
      </c>
      <c r="K31" s="854">
        <v>0</v>
      </c>
      <c r="L31" s="854">
        <v>0</v>
      </c>
      <c r="M31" s="854">
        <f t="shared" si="2"/>
        <v>347700</v>
      </c>
      <c r="N31" s="854">
        <f t="shared" si="3"/>
        <v>0</v>
      </c>
      <c r="O31" s="855">
        <f t="shared" si="4"/>
        <v>0</v>
      </c>
    </row>
    <row r="32" spans="1:15" s="825" customFormat="1" ht="126.75" customHeight="1" x14ac:dyDescent="0.2">
      <c r="A32" s="576" t="s">
        <v>139</v>
      </c>
      <c r="B32" s="579">
        <v>8230</v>
      </c>
      <c r="C32" s="579" t="s">
        <v>34</v>
      </c>
      <c r="D32" s="578" t="s">
        <v>140</v>
      </c>
      <c r="E32" s="578" t="s">
        <v>641</v>
      </c>
      <c r="F32" s="578" t="s">
        <v>600</v>
      </c>
      <c r="G32" s="854">
        <v>19054971</v>
      </c>
      <c r="H32" s="854">
        <v>12750086.25</v>
      </c>
      <c r="I32" s="854">
        <v>0</v>
      </c>
      <c r="J32" s="854">
        <v>0</v>
      </c>
      <c r="K32" s="854">
        <v>0</v>
      </c>
      <c r="L32" s="1055">
        <v>0</v>
      </c>
      <c r="M32" s="854">
        <f t="shared" si="2"/>
        <v>19054971</v>
      </c>
      <c r="N32" s="854">
        <f t="shared" si="3"/>
        <v>12750086.25</v>
      </c>
      <c r="O32" s="855">
        <f>N32/M32</f>
        <v>0.66912126237295244</v>
      </c>
    </row>
    <row r="33" spans="1:17" s="825" customFormat="1" ht="186" customHeight="1" x14ac:dyDescent="0.2">
      <c r="A33" s="576" t="s">
        <v>463</v>
      </c>
      <c r="B33" s="579">
        <v>8240</v>
      </c>
      <c r="C33" s="579" t="s">
        <v>34</v>
      </c>
      <c r="D33" s="578" t="s">
        <v>465</v>
      </c>
      <c r="E33" s="578" t="s">
        <v>571</v>
      </c>
      <c r="F33" s="578" t="s">
        <v>700</v>
      </c>
      <c r="G33" s="854">
        <v>0</v>
      </c>
      <c r="H33" s="854">
        <v>0</v>
      </c>
      <c r="I33" s="854">
        <v>183598</v>
      </c>
      <c r="J33" s="854">
        <v>183598</v>
      </c>
      <c r="K33" s="854">
        <v>183597.6</v>
      </c>
      <c r="L33" s="854">
        <v>183597.6</v>
      </c>
      <c r="M33" s="854">
        <f t="shared" si="2"/>
        <v>183598</v>
      </c>
      <c r="N33" s="854">
        <f t="shared" si="3"/>
        <v>183597.6</v>
      </c>
      <c r="O33" s="855">
        <f>N33/M33</f>
        <v>0.99999782132702975</v>
      </c>
    </row>
    <row r="34" spans="1:17" s="825" customFormat="1" ht="204" customHeight="1" x14ac:dyDescent="0.2">
      <c r="A34" s="580" t="s">
        <v>36</v>
      </c>
      <c r="B34" s="579" t="s">
        <v>37</v>
      </c>
      <c r="C34" s="579" t="s">
        <v>38</v>
      </c>
      <c r="D34" s="578" t="s">
        <v>642</v>
      </c>
      <c r="E34" s="578" t="s">
        <v>643</v>
      </c>
      <c r="F34" s="578" t="s">
        <v>699</v>
      </c>
      <c r="G34" s="854">
        <v>3582707</v>
      </c>
      <c r="H34" s="854">
        <v>2656681.5699999998</v>
      </c>
      <c r="I34" s="854">
        <v>0</v>
      </c>
      <c r="J34" s="854">
        <v>0</v>
      </c>
      <c r="K34" s="854">
        <v>0</v>
      </c>
      <c r="L34" s="1055">
        <v>0</v>
      </c>
      <c r="M34" s="854">
        <f t="shared" si="2"/>
        <v>3582707</v>
      </c>
      <c r="N34" s="854">
        <f t="shared" si="3"/>
        <v>2656681.5699999998</v>
      </c>
      <c r="O34" s="855">
        <f t="shared" si="4"/>
        <v>0.74152912029925966</v>
      </c>
    </row>
    <row r="35" spans="1:17" s="825" customFormat="1" ht="185.25" customHeight="1" x14ac:dyDescent="0.2">
      <c r="A35" s="1053" t="s">
        <v>527</v>
      </c>
      <c r="B35" s="579">
        <v>9770</v>
      </c>
      <c r="C35" s="574" t="s">
        <v>197</v>
      </c>
      <c r="D35" s="578" t="s">
        <v>501</v>
      </c>
      <c r="E35" s="578" t="s">
        <v>571</v>
      </c>
      <c r="F35" s="578" t="s">
        <v>700</v>
      </c>
      <c r="G35" s="854">
        <v>30000000</v>
      </c>
      <c r="H35" s="854">
        <v>30000000</v>
      </c>
      <c r="I35" s="854">
        <v>0</v>
      </c>
      <c r="J35" s="854">
        <v>0</v>
      </c>
      <c r="K35" s="854">
        <v>0</v>
      </c>
      <c r="L35" s="1055">
        <v>0</v>
      </c>
      <c r="M35" s="854">
        <f t="shared" si="2"/>
        <v>30000000</v>
      </c>
      <c r="N35" s="854">
        <f t="shared" si="3"/>
        <v>30000000</v>
      </c>
      <c r="O35" s="855">
        <f t="shared" si="4"/>
        <v>1</v>
      </c>
    </row>
    <row r="36" spans="1:17" s="825" customFormat="1" ht="197.25" customHeight="1" x14ac:dyDescent="0.2">
      <c r="A36" s="1053" t="s">
        <v>629</v>
      </c>
      <c r="B36" s="579">
        <v>9800</v>
      </c>
      <c r="C36" s="574" t="s">
        <v>197</v>
      </c>
      <c r="D36" s="578" t="s">
        <v>622</v>
      </c>
      <c r="E36" s="578" t="s">
        <v>571</v>
      </c>
      <c r="F36" s="578" t="s">
        <v>700</v>
      </c>
      <c r="G36" s="854">
        <v>4000000</v>
      </c>
      <c r="H36" s="854">
        <v>4000000</v>
      </c>
      <c r="I36" s="854">
        <v>10560280</v>
      </c>
      <c r="J36" s="854">
        <f>I36</f>
        <v>10560280</v>
      </c>
      <c r="K36" s="854">
        <v>10560280</v>
      </c>
      <c r="L36" s="854">
        <f>K36</f>
        <v>10560280</v>
      </c>
      <c r="M36" s="854">
        <f t="shared" si="2"/>
        <v>14560280</v>
      </c>
      <c r="N36" s="854">
        <f t="shared" si="3"/>
        <v>14560280</v>
      </c>
      <c r="O36" s="855">
        <f t="shared" si="4"/>
        <v>1</v>
      </c>
    </row>
    <row r="37" spans="1:17" s="825" customFormat="1" ht="125.25" customHeight="1" x14ac:dyDescent="0.2">
      <c r="A37" s="1053" t="s">
        <v>629</v>
      </c>
      <c r="B37" s="579">
        <v>9800</v>
      </c>
      <c r="C37" s="574" t="s">
        <v>197</v>
      </c>
      <c r="D37" s="578" t="s">
        <v>622</v>
      </c>
      <c r="E37" s="578" t="s">
        <v>692</v>
      </c>
      <c r="F37" s="578" t="s">
        <v>702</v>
      </c>
      <c r="G37" s="854">
        <v>2199000</v>
      </c>
      <c r="H37" s="854">
        <v>2199000</v>
      </c>
      <c r="I37" s="854">
        <v>5000000</v>
      </c>
      <c r="J37" s="854">
        <f>I37</f>
        <v>5000000</v>
      </c>
      <c r="K37" s="854">
        <v>0</v>
      </c>
      <c r="L37" s="854">
        <f>K37</f>
        <v>0</v>
      </c>
      <c r="M37" s="854">
        <f t="shared" si="2"/>
        <v>7199000</v>
      </c>
      <c r="N37" s="854">
        <f t="shared" si="3"/>
        <v>2199000</v>
      </c>
      <c r="O37" s="855">
        <f t="shared" si="4"/>
        <v>0.30545909154049172</v>
      </c>
    </row>
    <row r="38" spans="1:17" s="825" customFormat="1" ht="129" customHeight="1" x14ac:dyDescent="0.2">
      <c r="A38" s="1053" t="s">
        <v>629</v>
      </c>
      <c r="B38" s="579">
        <v>9800</v>
      </c>
      <c r="C38" s="574" t="s">
        <v>197</v>
      </c>
      <c r="D38" s="578" t="s">
        <v>622</v>
      </c>
      <c r="E38" s="578" t="s">
        <v>693</v>
      </c>
      <c r="F38" s="578" t="s">
        <v>701</v>
      </c>
      <c r="G38" s="854">
        <v>2332000</v>
      </c>
      <c r="H38" s="854">
        <v>2332000</v>
      </c>
      <c r="I38" s="854">
        <v>668000</v>
      </c>
      <c r="J38" s="854">
        <f>I38</f>
        <v>668000</v>
      </c>
      <c r="K38" s="854">
        <v>668000</v>
      </c>
      <c r="L38" s="854">
        <f>K38</f>
        <v>668000</v>
      </c>
      <c r="M38" s="854">
        <f t="shared" si="2"/>
        <v>3000000</v>
      </c>
      <c r="N38" s="854">
        <f t="shared" si="3"/>
        <v>3000000</v>
      </c>
      <c r="O38" s="855">
        <f t="shared" si="4"/>
        <v>1</v>
      </c>
    </row>
    <row r="39" spans="1:17" s="825" customFormat="1" ht="148.5" customHeight="1" x14ac:dyDescent="0.2">
      <c r="A39" s="1053" t="s">
        <v>629</v>
      </c>
      <c r="B39" s="579">
        <v>9800</v>
      </c>
      <c r="C39" s="574" t="s">
        <v>197</v>
      </c>
      <c r="D39" s="578" t="s">
        <v>622</v>
      </c>
      <c r="E39" s="578" t="s">
        <v>694</v>
      </c>
      <c r="F39" s="578" t="s">
        <v>695</v>
      </c>
      <c r="G39" s="854">
        <v>318739</v>
      </c>
      <c r="H39" s="854">
        <v>318739</v>
      </c>
      <c r="I39" s="854">
        <v>182400</v>
      </c>
      <c r="J39" s="854">
        <f t="shared" ref="J39:J40" si="5">I39</f>
        <v>182400</v>
      </c>
      <c r="K39" s="854">
        <v>182400</v>
      </c>
      <c r="L39" s="854">
        <f t="shared" ref="L39:L40" si="6">K39</f>
        <v>182400</v>
      </c>
      <c r="M39" s="854">
        <f t="shared" si="2"/>
        <v>501139</v>
      </c>
      <c r="N39" s="854">
        <f t="shared" si="3"/>
        <v>501139</v>
      </c>
      <c r="O39" s="855">
        <f t="shared" si="4"/>
        <v>1</v>
      </c>
    </row>
    <row r="40" spans="1:17" s="825" customFormat="1" ht="112.5" customHeight="1" thickBot="1" x14ac:dyDescent="0.25">
      <c r="A40" s="604" t="s">
        <v>629</v>
      </c>
      <c r="B40" s="1057">
        <v>9800</v>
      </c>
      <c r="C40" s="603" t="s">
        <v>197</v>
      </c>
      <c r="D40" s="605" t="s">
        <v>622</v>
      </c>
      <c r="E40" s="605" t="s">
        <v>696</v>
      </c>
      <c r="F40" s="605" t="s">
        <v>698</v>
      </c>
      <c r="G40" s="876">
        <v>117100</v>
      </c>
      <c r="H40" s="876">
        <v>117100</v>
      </c>
      <c r="I40" s="876">
        <v>1345600</v>
      </c>
      <c r="J40" s="876">
        <f t="shared" si="5"/>
        <v>1345600</v>
      </c>
      <c r="K40" s="876">
        <v>1345600</v>
      </c>
      <c r="L40" s="876">
        <f t="shared" si="6"/>
        <v>1345600</v>
      </c>
      <c r="M40" s="876">
        <f t="shared" si="2"/>
        <v>1462700</v>
      </c>
      <c r="N40" s="876">
        <f t="shared" si="3"/>
        <v>1462700</v>
      </c>
      <c r="O40" s="1037">
        <f t="shared" si="4"/>
        <v>1</v>
      </c>
    </row>
    <row r="41" spans="1:17" s="825" customFormat="1" ht="72.75" customHeight="1" thickBot="1" x14ac:dyDescent="0.25">
      <c r="A41" s="583" t="s">
        <v>40</v>
      </c>
      <c r="B41" s="584"/>
      <c r="C41" s="585"/>
      <c r="D41" s="586" t="s">
        <v>451</v>
      </c>
      <c r="E41" s="587"/>
      <c r="F41" s="587"/>
      <c r="G41" s="569">
        <f>G42</f>
        <v>9751131</v>
      </c>
      <c r="H41" s="569">
        <f t="shared" ref="H41:L41" si="7">H42</f>
        <v>4209934.7699999996</v>
      </c>
      <c r="I41" s="569">
        <f t="shared" si="7"/>
        <v>7432743</v>
      </c>
      <c r="J41" s="569">
        <f t="shared" si="7"/>
        <v>3932143</v>
      </c>
      <c r="K41" s="569">
        <f t="shared" si="7"/>
        <v>5500599.8399999999</v>
      </c>
      <c r="L41" s="569">
        <f t="shared" si="7"/>
        <v>0</v>
      </c>
      <c r="M41" s="569">
        <f t="shared" si="2"/>
        <v>17183874</v>
      </c>
      <c r="N41" s="569">
        <f t="shared" si="3"/>
        <v>9710534.6099999994</v>
      </c>
      <c r="O41" s="570">
        <f t="shared" si="4"/>
        <v>0.56509577584193171</v>
      </c>
    </row>
    <row r="42" spans="1:17" s="825" customFormat="1" ht="70.5" customHeight="1" thickBot="1" x14ac:dyDescent="0.25">
      <c r="A42" s="588" t="s">
        <v>41</v>
      </c>
      <c r="B42" s="589"/>
      <c r="C42" s="589"/>
      <c r="D42" s="572" t="s">
        <v>451</v>
      </c>
      <c r="E42" s="590"/>
      <c r="F42" s="590"/>
      <c r="G42" s="849">
        <f>G43+G44+G45+G46+G47+G48+G49+G50+G51+G54+G55+G56+G52+G53</f>
        <v>9751131</v>
      </c>
      <c r="H42" s="849">
        <f>H43+H44+H45+H46+H47+H48+H49+H50+H51+H54+H55+H56+H52+H53</f>
        <v>4209934.7699999996</v>
      </c>
      <c r="I42" s="849">
        <f t="shared" ref="I42:L42" si="8">I43+I44+I45+I46+I47+I48+I49+I50+I51+I54+I55+I56</f>
        <v>7432743</v>
      </c>
      <c r="J42" s="849">
        <f t="shared" si="8"/>
        <v>3932143</v>
      </c>
      <c r="K42" s="849">
        <f>K43+K44+K45+K46+K47+K48+K49+K50+K51+K52+K53+K54+K55+K56</f>
        <v>5500599.8399999999</v>
      </c>
      <c r="L42" s="849">
        <f t="shared" si="8"/>
        <v>0</v>
      </c>
      <c r="M42" s="861">
        <f>G42+I42</f>
        <v>17183874</v>
      </c>
      <c r="N42" s="861">
        <f>H42+K42</f>
        <v>9710534.6099999994</v>
      </c>
      <c r="O42" s="850">
        <f t="shared" si="4"/>
        <v>0.56509577584193171</v>
      </c>
      <c r="Q42" s="1044"/>
    </row>
    <row r="43" spans="1:17" s="825" customFormat="1" ht="153.75" customHeight="1" x14ac:dyDescent="0.2">
      <c r="A43" s="581" t="s">
        <v>43</v>
      </c>
      <c r="B43" s="582">
        <v>1010</v>
      </c>
      <c r="C43" s="582" t="s">
        <v>45</v>
      </c>
      <c r="D43" s="575" t="s">
        <v>46</v>
      </c>
      <c r="E43" s="575" t="s">
        <v>572</v>
      </c>
      <c r="F43" s="1051" t="s">
        <v>704</v>
      </c>
      <c r="G43" s="852">
        <v>810638</v>
      </c>
      <c r="H43" s="852">
        <v>335490.52</v>
      </c>
      <c r="I43" s="852">
        <v>0</v>
      </c>
      <c r="J43" s="852">
        <v>0</v>
      </c>
      <c r="K43" s="852">
        <v>0</v>
      </c>
      <c r="L43" s="1052">
        <v>0</v>
      </c>
      <c r="M43" s="852">
        <f t="shared" si="2"/>
        <v>810638</v>
      </c>
      <c r="N43" s="852">
        <f t="shared" si="3"/>
        <v>335490.52</v>
      </c>
      <c r="O43" s="862">
        <f t="shared" si="4"/>
        <v>0.4138598486624116</v>
      </c>
    </row>
    <row r="44" spans="1:17" s="864" customFormat="1" ht="147.75" customHeight="1" x14ac:dyDescent="0.2">
      <c r="A44" s="580" t="s">
        <v>47</v>
      </c>
      <c r="B44" s="579" t="s">
        <v>48</v>
      </c>
      <c r="C44" s="579" t="s">
        <v>49</v>
      </c>
      <c r="D44" s="578" t="s">
        <v>50</v>
      </c>
      <c r="E44" s="578" t="s">
        <v>572</v>
      </c>
      <c r="F44" s="597" t="s">
        <v>704</v>
      </c>
      <c r="G44" s="854">
        <v>5112189</v>
      </c>
      <c r="H44" s="863">
        <v>2666828.25</v>
      </c>
      <c r="I44" s="854">
        <v>0</v>
      </c>
      <c r="J44" s="854">
        <v>0</v>
      </c>
      <c r="K44" s="854">
        <v>0</v>
      </c>
      <c r="L44" s="1058">
        <v>0</v>
      </c>
      <c r="M44" s="854">
        <f t="shared" si="2"/>
        <v>5112189</v>
      </c>
      <c r="N44" s="854">
        <f t="shared" si="3"/>
        <v>2666828.25</v>
      </c>
      <c r="O44" s="855">
        <f t="shared" si="4"/>
        <v>0.5216607308532607</v>
      </c>
    </row>
    <row r="45" spans="1:17" s="866" customFormat="1" ht="161.25" customHeight="1" x14ac:dyDescent="0.2">
      <c r="A45" s="580" t="s">
        <v>51</v>
      </c>
      <c r="B45" s="579" t="s">
        <v>52</v>
      </c>
      <c r="C45" s="579" t="s">
        <v>53</v>
      </c>
      <c r="D45" s="578" t="s">
        <v>54</v>
      </c>
      <c r="E45" s="578" t="s">
        <v>572</v>
      </c>
      <c r="F45" s="597" t="s">
        <v>704</v>
      </c>
      <c r="G45" s="854">
        <v>22992</v>
      </c>
      <c r="H45" s="854">
        <v>4515</v>
      </c>
      <c r="I45" s="854">
        <v>0</v>
      </c>
      <c r="J45" s="854">
        <v>0</v>
      </c>
      <c r="K45" s="854">
        <v>0</v>
      </c>
      <c r="L45" s="1055">
        <v>0</v>
      </c>
      <c r="M45" s="854">
        <f t="shared" si="2"/>
        <v>22992</v>
      </c>
      <c r="N45" s="854">
        <f t="shared" si="3"/>
        <v>4515</v>
      </c>
      <c r="O45" s="865">
        <f t="shared" si="4"/>
        <v>0.19637265135699375</v>
      </c>
    </row>
    <row r="46" spans="1:17" s="825" customFormat="1" ht="149.25" customHeight="1" x14ac:dyDescent="0.2">
      <c r="A46" s="580" t="s">
        <v>56</v>
      </c>
      <c r="B46" s="579" t="s">
        <v>57</v>
      </c>
      <c r="C46" s="579" t="s">
        <v>55</v>
      </c>
      <c r="D46" s="578" t="s">
        <v>58</v>
      </c>
      <c r="E46" s="578" t="s">
        <v>572</v>
      </c>
      <c r="F46" s="597" t="s">
        <v>704</v>
      </c>
      <c r="G46" s="854">
        <v>183122</v>
      </c>
      <c r="H46" s="854">
        <v>91790</v>
      </c>
      <c r="I46" s="1055">
        <v>0</v>
      </c>
      <c r="J46" s="854">
        <v>0</v>
      </c>
      <c r="K46" s="854">
        <v>0</v>
      </c>
      <c r="L46" s="1055">
        <v>0</v>
      </c>
      <c r="M46" s="854">
        <f t="shared" si="2"/>
        <v>183122</v>
      </c>
      <c r="N46" s="854">
        <f t="shared" si="3"/>
        <v>91790</v>
      </c>
      <c r="O46" s="855">
        <f t="shared" si="4"/>
        <v>0.50125053243193063</v>
      </c>
    </row>
    <row r="47" spans="1:17" s="825" customFormat="1" ht="153" customHeight="1" x14ac:dyDescent="0.2">
      <c r="A47" s="580" t="s">
        <v>59</v>
      </c>
      <c r="B47" s="579" t="s">
        <v>60</v>
      </c>
      <c r="C47" s="579" t="s">
        <v>55</v>
      </c>
      <c r="D47" s="578" t="s">
        <v>61</v>
      </c>
      <c r="E47" s="578" t="s">
        <v>572</v>
      </c>
      <c r="F47" s="597" t="s">
        <v>704</v>
      </c>
      <c r="G47" s="854">
        <v>4780</v>
      </c>
      <c r="H47" s="854">
        <v>0</v>
      </c>
      <c r="I47" s="1055">
        <v>0</v>
      </c>
      <c r="J47" s="854">
        <v>0</v>
      </c>
      <c r="K47" s="854">
        <v>0</v>
      </c>
      <c r="L47" s="1055">
        <v>0</v>
      </c>
      <c r="M47" s="854">
        <f t="shared" si="2"/>
        <v>4780</v>
      </c>
      <c r="N47" s="854">
        <f t="shared" si="3"/>
        <v>0</v>
      </c>
      <c r="O47" s="865">
        <f t="shared" si="4"/>
        <v>0</v>
      </c>
    </row>
    <row r="48" spans="1:17" s="825" customFormat="1" ht="158.25" customHeight="1" x14ac:dyDescent="0.2">
      <c r="A48" s="580" t="s">
        <v>62</v>
      </c>
      <c r="B48" s="579" t="s">
        <v>63</v>
      </c>
      <c r="C48" s="579" t="s">
        <v>55</v>
      </c>
      <c r="D48" s="578" t="s">
        <v>64</v>
      </c>
      <c r="E48" s="578" t="s">
        <v>572</v>
      </c>
      <c r="F48" s="597" t="s">
        <v>704</v>
      </c>
      <c r="G48" s="854">
        <v>5919</v>
      </c>
      <c r="H48" s="854">
        <v>0</v>
      </c>
      <c r="I48" s="1055">
        <v>0</v>
      </c>
      <c r="J48" s="854">
        <v>0</v>
      </c>
      <c r="K48" s="854">
        <v>0</v>
      </c>
      <c r="L48" s="1055">
        <v>0</v>
      </c>
      <c r="M48" s="854">
        <f t="shared" si="2"/>
        <v>5919</v>
      </c>
      <c r="N48" s="854">
        <f t="shared" si="3"/>
        <v>0</v>
      </c>
      <c r="O48" s="865">
        <f t="shared" si="4"/>
        <v>0</v>
      </c>
    </row>
    <row r="49" spans="1:15" s="825" customFormat="1" ht="107.25" customHeight="1" x14ac:dyDescent="0.2">
      <c r="A49" s="580" t="s">
        <v>62</v>
      </c>
      <c r="B49" s="579" t="s">
        <v>63</v>
      </c>
      <c r="C49" s="579" t="s">
        <v>55</v>
      </c>
      <c r="D49" s="578" t="s">
        <v>64</v>
      </c>
      <c r="E49" s="578" t="s">
        <v>573</v>
      </c>
      <c r="F49" s="578" t="s">
        <v>233</v>
      </c>
      <c r="G49" s="854">
        <v>33491</v>
      </c>
      <c r="H49" s="854">
        <v>33491</v>
      </c>
      <c r="I49" s="1055">
        <v>0</v>
      </c>
      <c r="J49" s="854">
        <v>0</v>
      </c>
      <c r="K49" s="854">
        <v>0</v>
      </c>
      <c r="L49" s="1055">
        <v>0</v>
      </c>
      <c r="M49" s="854">
        <f t="shared" si="2"/>
        <v>33491</v>
      </c>
      <c r="N49" s="854">
        <f t="shared" si="3"/>
        <v>33491</v>
      </c>
      <c r="O49" s="865">
        <f t="shared" si="4"/>
        <v>1</v>
      </c>
    </row>
    <row r="50" spans="1:15" s="825" customFormat="1" ht="207" customHeight="1" x14ac:dyDescent="0.2">
      <c r="A50" s="1053" t="s">
        <v>467</v>
      </c>
      <c r="B50" s="579">
        <v>1183</v>
      </c>
      <c r="C50" s="579" t="s">
        <v>55</v>
      </c>
      <c r="D50" s="578" t="s">
        <v>469</v>
      </c>
      <c r="E50" s="578" t="s">
        <v>572</v>
      </c>
      <c r="F50" s="597" t="s">
        <v>704</v>
      </c>
      <c r="G50" s="854">
        <v>0</v>
      </c>
      <c r="H50" s="854">
        <v>0</v>
      </c>
      <c r="I50" s="854">
        <v>579643</v>
      </c>
      <c r="J50" s="854">
        <v>579643</v>
      </c>
      <c r="K50" s="854">
        <v>0</v>
      </c>
      <c r="L50" s="1055">
        <v>0</v>
      </c>
      <c r="M50" s="854">
        <f t="shared" si="2"/>
        <v>579643</v>
      </c>
      <c r="N50" s="854">
        <f t="shared" si="3"/>
        <v>0</v>
      </c>
      <c r="O50" s="865">
        <f t="shared" si="4"/>
        <v>0</v>
      </c>
    </row>
    <row r="51" spans="1:15" s="825" customFormat="1" ht="204" customHeight="1" x14ac:dyDescent="0.2">
      <c r="A51" s="1053" t="s">
        <v>470</v>
      </c>
      <c r="B51" s="579">
        <v>1184</v>
      </c>
      <c r="C51" s="579" t="s">
        <v>55</v>
      </c>
      <c r="D51" s="1063" t="s">
        <v>472</v>
      </c>
      <c r="E51" s="578" t="s">
        <v>572</v>
      </c>
      <c r="F51" s="597" t="s">
        <v>704</v>
      </c>
      <c r="G51" s="854">
        <v>0</v>
      </c>
      <c r="H51" s="854">
        <v>0</v>
      </c>
      <c r="I51" s="854">
        <v>1352500</v>
      </c>
      <c r="J51" s="854">
        <v>1352500</v>
      </c>
      <c r="K51" s="854">
        <v>0</v>
      </c>
      <c r="L51" s="1055">
        <v>0</v>
      </c>
      <c r="M51" s="854">
        <f t="shared" si="2"/>
        <v>1352500</v>
      </c>
      <c r="N51" s="854">
        <f t="shared" si="3"/>
        <v>0</v>
      </c>
      <c r="O51" s="865">
        <f t="shared" si="4"/>
        <v>0</v>
      </c>
    </row>
    <row r="52" spans="1:15" s="825" customFormat="1" ht="318" customHeight="1" x14ac:dyDescent="0.2">
      <c r="A52" s="1053" t="s">
        <v>674</v>
      </c>
      <c r="B52" s="579">
        <v>1231</v>
      </c>
      <c r="C52" s="579" t="s">
        <v>55</v>
      </c>
      <c r="D52" s="578" t="s">
        <v>676</v>
      </c>
      <c r="E52" s="578" t="s">
        <v>572</v>
      </c>
      <c r="F52" s="597" t="s">
        <v>704</v>
      </c>
      <c r="G52" s="854">
        <v>1250000</v>
      </c>
      <c r="H52" s="854">
        <v>0</v>
      </c>
      <c r="I52" s="854">
        <v>0</v>
      </c>
      <c r="J52" s="854">
        <v>0</v>
      </c>
      <c r="K52" s="854">
        <v>0</v>
      </c>
      <c r="L52" s="1055">
        <v>0</v>
      </c>
      <c r="M52" s="854">
        <f t="shared" si="2"/>
        <v>1250000</v>
      </c>
      <c r="N52" s="854">
        <f t="shared" si="3"/>
        <v>0</v>
      </c>
      <c r="O52" s="865">
        <f t="shared" si="4"/>
        <v>0</v>
      </c>
    </row>
    <row r="53" spans="1:15" s="825" customFormat="1" ht="315.75" customHeight="1" x14ac:dyDescent="0.2">
      <c r="A53" s="1053" t="s">
        <v>677</v>
      </c>
      <c r="B53" s="579">
        <v>1232</v>
      </c>
      <c r="C53" s="579" t="s">
        <v>55</v>
      </c>
      <c r="D53" s="578" t="s">
        <v>679</v>
      </c>
      <c r="E53" s="578" t="s">
        <v>572</v>
      </c>
      <c r="F53" s="597" t="s">
        <v>704</v>
      </c>
      <c r="G53" s="854">
        <v>1250000</v>
      </c>
      <c r="H53" s="854">
        <v>0</v>
      </c>
      <c r="I53" s="854">
        <v>0</v>
      </c>
      <c r="J53" s="854">
        <v>0</v>
      </c>
      <c r="K53" s="854">
        <v>0</v>
      </c>
      <c r="L53" s="1055">
        <v>0</v>
      </c>
      <c r="M53" s="854">
        <f t="shared" si="2"/>
        <v>1250000</v>
      </c>
      <c r="N53" s="854">
        <f t="shared" si="3"/>
        <v>0</v>
      </c>
      <c r="O53" s="865">
        <f t="shared" si="4"/>
        <v>0</v>
      </c>
    </row>
    <row r="54" spans="1:15" s="825" customFormat="1" ht="152.25" customHeight="1" x14ac:dyDescent="0.2">
      <c r="A54" s="1053" t="s">
        <v>548</v>
      </c>
      <c r="B54" s="579">
        <v>1403</v>
      </c>
      <c r="C54" s="579" t="s">
        <v>55</v>
      </c>
      <c r="D54" s="578" t="s">
        <v>552</v>
      </c>
      <c r="E54" s="578" t="s">
        <v>572</v>
      </c>
      <c r="F54" s="597" t="s">
        <v>704</v>
      </c>
      <c r="G54" s="854">
        <v>0</v>
      </c>
      <c r="H54" s="854">
        <v>0</v>
      </c>
      <c r="I54" s="854">
        <v>3500600</v>
      </c>
      <c r="J54" s="854">
        <v>0</v>
      </c>
      <c r="K54" s="854">
        <v>3500599.84</v>
      </c>
      <c r="L54" s="1055">
        <v>0</v>
      </c>
      <c r="M54" s="854">
        <f t="shared" si="2"/>
        <v>3500600</v>
      </c>
      <c r="N54" s="854">
        <f t="shared" si="3"/>
        <v>3500599.84</v>
      </c>
      <c r="O54" s="865">
        <f t="shared" si="4"/>
        <v>0.9999999542935496</v>
      </c>
    </row>
    <row r="55" spans="1:15" s="825" customFormat="1" ht="145.5" customHeight="1" x14ac:dyDescent="0.2">
      <c r="A55" s="595" t="s">
        <v>536</v>
      </c>
      <c r="B55" s="596">
        <v>3140</v>
      </c>
      <c r="C55" s="596">
        <v>1040</v>
      </c>
      <c r="D55" s="597" t="s">
        <v>534</v>
      </c>
      <c r="E55" s="597" t="s">
        <v>574</v>
      </c>
      <c r="F55" s="578" t="s">
        <v>575</v>
      </c>
      <c r="G55" s="854">
        <v>1078000</v>
      </c>
      <c r="H55" s="854">
        <v>1077820</v>
      </c>
      <c r="I55" s="1055">
        <v>0</v>
      </c>
      <c r="J55" s="854">
        <v>0</v>
      </c>
      <c r="K55" s="854">
        <v>0</v>
      </c>
      <c r="L55" s="1055">
        <v>0</v>
      </c>
      <c r="M55" s="854">
        <f t="shared" si="2"/>
        <v>1078000</v>
      </c>
      <c r="N55" s="854">
        <f t="shared" si="3"/>
        <v>1077820</v>
      </c>
      <c r="O55" s="865">
        <f t="shared" si="4"/>
        <v>0.99983302411873842</v>
      </c>
    </row>
    <row r="56" spans="1:15" s="825" customFormat="1" ht="147.75" customHeight="1" thickBot="1" x14ac:dyDescent="0.25">
      <c r="A56" s="1076" t="s">
        <v>625</v>
      </c>
      <c r="B56" s="1042">
        <v>9750</v>
      </c>
      <c r="C56" s="881" t="s">
        <v>197</v>
      </c>
      <c r="D56" s="606" t="s">
        <v>626</v>
      </c>
      <c r="E56" s="605" t="s">
        <v>572</v>
      </c>
      <c r="F56" s="606" t="s">
        <v>704</v>
      </c>
      <c r="G56" s="876">
        <v>0</v>
      </c>
      <c r="H56" s="876">
        <v>0</v>
      </c>
      <c r="I56" s="876">
        <v>2000000</v>
      </c>
      <c r="J56" s="876">
        <v>2000000</v>
      </c>
      <c r="K56" s="876">
        <v>2000000</v>
      </c>
      <c r="L56" s="876">
        <v>0</v>
      </c>
      <c r="M56" s="876">
        <f t="shared" si="2"/>
        <v>2000000</v>
      </c>
      <c r="N56" s="876">
        <f t="shared" si="3"/>
        <v>2000000</v>
      </c>
      <c r="O56" s="877">
        <f t="shared" si="4"/>
        <v>1</v>
      </c>
    </row>
    <row r="57" spans="1:15" s="825" customFormat="1" ht="71.25" customHeight="1" thickBot="1" x14ac:dyDescent="0.25">
      <c r="A57" s="583" t="s">
        <v>66</v>
      </c>
      <c r="B57" s="592"/>
      <c r="C57" s="592"/>
      <c r="D57" s="587" t="s">
        <v>452</v>
      </c>
      <c r="E57" s="587"/>
      <c r="F57" s="587"/>
      <c r="G57" s="569">
        <f>G58</f>
        <v>45848296</v>
      </c>
      <c r="H57" s="569">
        <f>H58</f>
        <v>27348238.98</v>
      </c>
      <c r="I57" s="569">
        <f t="shared" ref="I57:K57" si="9">I58</f>
        <v>0</v>
      </c>
      <c r="J57" s="569">
        <f t="shared" si="9"/>
        <v>0</v>
      </c>
      <c r="K57" s="569">
        <f t="shared" si="9"/>
        <v>0</v>
      </c>
      <c r="L57" s="569">
        <f>L58</f>
        <v>0</v>
      </c>
      <c r="M57" s="867">
        <f t="shared" si="2"/>
        <v>45848296</v>
      </c>
      <c r="N57" s="867">
        <f t="shared" si="3"/>
        <v>27348238.98</v>
      </c>
      <c r="O57" s="570">
        <f t="shared" si="4"/>
        <v>0.59649412008681846</v>
      </c>
    </row>
    <row r="58" spans="1:15" s="825" customFormat="1" ht="93.75" customHeight="1" thickBot="1" x14ac:dyDescent="0.25">
      <c r="A58" s="588" t="s">
        <v>67</v>
      </c>
      <c r="B58" s="593"/>
      <c r="C58" s="593"/>
      <c r="D58" s="594" t="s">
        <v>454</v>
      </c>
      <c r="E58" s="573"/>
      <c r="F58" s="573"/>
      <c r="G58" s="861">
        <f>SUM(G59:G66)</f>
        <v>45848296</v>
      </c>
      <c r="H58" s="861">
        <f>SUM(H59:H66)</f>
        <v>27348238.98</v>
      </c>
      <c r="I58" s="861">
        <f t="shared" ref="I58:L58" si="10">SUM(I59:I66)</f>
        <v>0</v>
      </c>
      <c r="J58" s="861">
        <f t="shared" si="10"/>
        <v>0</v>
      </c>
      <c r="K58" s="861">
        <f t="shared" si="10"/>
        <v>0</v>
      </c>
      <c r="L58" s="861">
        <f t="shared" si="10"/>
        <v>0</v>
      </c>
      <c r="M58" s="861">
        <f t="shared" si="2"/>
        <v>45848296</v>
      </c>
      <c r="N58" s="861">
        <f t="shared" si="3"/>
        <v>27348238.98</v>
      </c>
      <c r="O58" s="850">
        <f t="shared" si="4"/>
        <v>0.59649412008681846</v>
      </c>
    </row>
    <row r="59" spans="1:15" s="857" customFormat="1" ht="171" customHeight="1" x14ac:dyDescent="0.2">
      <c r="A59" s="581" t="s">
        <v>69</v>
      </c>
      <c r="B59" s="582" t="s">
        <v>70</v>
      </c>
      <c r="C59" s="582" t="s">
        <v>52</v>
      </c>
      <c r="D59" s="575" t="s">
        <v>71</v>
      </c>
      <c r="E59" s="575" t="s">
        <v>601</v>
      </c>
      <c r="F59" s="575" t="s">
        <v>602</v>
      </c>
      <c r="G59" s="852">
        <v>3619</v>
      </c>
      <c r="H59" s="852">
        <v>3190.74</v>
      </c>
      <c r="I59" s="1052">
        <v>0</v>
      </c>
      <c r="J59" s="852">
        <v>0</v>
      </c>
      <c r="K59" s="852">
        <v>0</v>
      </c>
      <c r="L59" s="1052">
        <v>0</v>
      </c>
      <c r="M59" s="852">
        <f t="shared" si="2"/>
        <v>3619</v>
      </c>
      <c r="N59" s="852">
        <f t="shared" si="3"/>
        <v>3190.74</v>
      </c>
      <c r="O59" s="853">
        <f t="shared" si="4"/>
        <v>0.88166344294003862</v>
      </c>
    </row>
    <row r="60" spans="1:15" s="857" customFormat="1" ht="167.25" customHeight="1" x14ac:dyDescent="0.2">
      <c r="A60" s="595" t="s">
        <v>163</v>
      </c>
      <c r="B60" s="596">
        <v>3105</v>
      </c>
      <c r="C60" s="596">
        <v>1010</v>
      </c>
      <c r="D60" s="597" t="s">
        <v>165</v>
      </c>
      <c r="E60" s="597" t="s">
        <v>576</v>
      </c>
      <c r="F60" s="597" t="s">
        <v>715</v>
      </c>
      <c r="G60" s="854">
        <v>14952</v>
      </c>
      <c r="H60" s="854">
        <v>12269.24</v>
      </c>
      <c r="I60" s="1055">
        <v>0</v>
      </c>
      <c r="J60" s="854">
        <v>0</v>
      </c>
      <c r="K60" s="854">
        <v>0</v>
      </c>
      <c r="L60" s="1055">
        <v>0</v>
      </c>
      <c r="M60" s="854">
        <f t="shared" si="2"/>
        <v>14952</v>
      </c>
      <c r="N60" s="854">
        <f t="shared" si="3"/>
        <v>12269.24</v>
      </c>
      <c r="O60" s="855">
        <f t="shared" si="4"/>
        <v>0.82057517388978063</v>
      </c>
    </row>
    <row r="61" spans="1:15" s="857" customFormat="1" ht="110.25" customHeight="1" x14ac:dyDescent="0.2">
      <c r="A61" s="1053" t="s">
        <v>169</v>
      </c>
      <c r="B61" s="579">
        <v>3241</v>
      </c>
      <c r="C61" s="579">
        <v>1090</v>
      </c>
      <c r="D61" s="856" t="s">
        <v>577</v>
      </c>
      <c r="E61" s="578" t="s">
        <v>578</v>
      </c>
      <c r="F61" s="578" t="s">
        <v>579</v>
      </c>
      <c r="G61" s="854">
        <v>58300</v>
      </c>
      <c r="H61" s="854">
        <v>41500</v>
      </c>
      <c r="I61" s="1055">
        <v>0</v>
      </c>
      <c r="J61" s="854">
        <v>0</v>
      </c>
      <c r="K61" s="854">
        <v>0</v>
      </c>
      <c r="L61" s="1055">
        <v>0</v>
      </c>
      <c r="M61" s="854">
        <f t="shared" si="2"/>
        <v>58300</v>
      </c>
      <c r="N61" s="854">
        <f t="shared" si="3"/>
        <v>41500</v>
      </c>
      <c r="O61" s="855">
        <f t="shared" si="4"/>
        <v>0.71183533447684388</v>
      </c>
    </row>
    <row r="62" spans="1:15" s="857" customFormat="1" ht="146.25" customHeight="1" x14ac:dyDescent="0.2">
      <c r="A62" s="580" t="s">
        <v>73</v>
      </c>
      <c r="B62" s="579" t="s">
        <v>74</v>
      </c>
      <c r="C62" s="579" t="s">
        <v>72</v>
      </c>
      <c r="D62" s="578" t="s">
        <v>75</v>
      </c>
      <c r="E62" s="578" t="s">
        <v>705</v>
      </c>
      <c r="F62" s="578" t="s">
        <v>706</v>
      </c>
      <c r="G62" s="854">
        <v>36000</v>
      </c>
      <c r="H62" s="854">
        <v>0</v>
      </c>
      <c r="I62" s="1055">
        <v>0</v>
      </c>
      <c r="J62" s="854">
        <v>0</v>
      </c>
      <c r="K62" s="854">
        <v>0</v>
      </c>
      <c r="L62" s="1055">
        <v>0</v>
      </c>
      <c r="M62" s="854">
        <f t="shared" si="2"/>
        <v>36000</v>
      </c>
      <c r="N62" s="854">
        <f t="shared" si="3"/>
        <v>0</v>
      </c>
      <c r="O62" s="855">
        <f t="shared" si="4"/>
        <v>0</v>
      </c>
    </row>
    <row r="63" spans="1:15" s="857" customFormat="1" ht="183" customHeight="1" x14ac:dyDescent="0.2">
      <c r="A63" s="580" t="s">
        <v>73</v>
      </c>
      <c r="B63" s="579" t="s">
        <v>74</v>
      </c>
      <c r="C63" s="579" t="s">
        <v>72</v>
      </c>
      <c r="D63" s="578" t="s">
        <v>75</v>
      </c>
      <c r="E63" s="856" t="s">
        <v>580</v>
      </c>
      <c r="F63" s="578" t="s">
        <v>581</v>
      </c>
      <c r="G63" s="854">
        <v>83862</v>
      </c>
      <c r="H63" s="854">
        <v>35904</v>
      </c>
      <c r="I63" s="1055">
        <v>0</v>
      </c>
      <c r="J63" s="854">
        <v>0</v>
      </c>
      <c r="K63" s="854">
        <v>0</v>
      </c>
      <c r="L63" s="1055">
        <v>0</v>
      </c>
      <c r="M63" s="854">
        <f t="shared" si="2"/>
        <v>83862</v>
      </c>
      <c r="N63" s="854">
        <f t="shared" si="3"/>
        <v>35904</v>
      </c>
      <c r="O63" s="855">
        <f t="shared" si="4"/>
        <v>0.42813193102954855</v>
      </c>
    </row>
    <row r="64" spans="1:15" s="857" customFormat="1" ht="110.25" customHeight="1" x14ac:dyDescent="0.2">
      <c r="A64" s="580" t="s">
        <v>73</v>
      </c>
      <c r="B64" s="579" t="s">
        <v>74</v>
      </c>
      <c r="C64" s="579" t="s">
        <v>72</v>
      </c>
      <c r="D64" s="578" t="s">
        <v>75</v>
      </c>
      <c r="E64" s="856" t="s">
        <v>212</v>
      </c>
      <c r="F64" s="868" t="s">
        <v>644</v>
      </c>
      <c r="G64" s="854">
        <v>42295200</v>
      </c>
      <c r="H64" s="854">
        <v>24944012</v>
      </c>
      <c r="I64" s="1055">
        <v>0</v>
      </c>
      <c r="J64" s="854">
        <v>0</v>
      </c>
      <c r="K64" s="854">
        <v>0</v>
      </c>
      <c r="L64" s="1055">
        <v>0</v>
      </c>
      <c r="M64" s="854">
        <f t="shared" si="2"/>
        <v>42295200</v>
      </c>
      <c r="N64" s="854">
        <f t="shared" si="3"/>
        <v>24944012</v>
      </c>
      <c r="O64" s="855">
        <f t="shared" si="4"/>
        <v>0.58975987818948727</v>
      </c>
    </row>
    <row r="65" spans="1:15" s="857" customFormat="1" ht="261.75" customHeight="1" x14ac:dyDescent="0.2">
      <c r="A65" s="580" t="s">
        <v>73</v>
      </c>
      <c r="B65" s="579" t="s">
        <v>74</v>
      </c>
      <c r="C65" s="579" t="s">
        <v>72</v>
      </c>
      <c r="D65" s="578" t="s">
        <v>75</v>
      </c>
      <c r="E65" s="856" t="s">
        <v>199</v>
      </c>
      <c r="F65" s="597" t="s">
        <v>651</v>
      </c>
      <c r="G65" s="854">
        <v>3335000</v>
      </c>
      <c r="H65" s="854">
        <v>2290000</v>
      </c>
      <c r="I65" s="1055">
        <v>0</v>
      </c>
      <c r="J65" s="854">
        <v>0</v>
      </c>
      <c r="K65" s="854">
        <v>0</v>
      </c>
      <c r="L65" s="1055">
        <v>0</v>
      </c>
      <c r="M65" s="854">
        <f t="shared" si="2"/>
        <v>3335000</v>
      </c>
      <c r="N65" s="854">
        <f t="shared" si="3"/>
        <v>2290000</v>
      </c>
      <c r="O65" s="855">
        <f t="shared" si="4"/>
        <v>0.68665667166416788</v>
      </c>
    </row>
    <row r="66" spans="1:15" s="857" customFormat="1" ht="111" customHeight="1" x14ac:dyDescent="0.2">
      <c r="A66" s="1053" t="s">
        <v>645</v>
      </c>
      <c r="B66" s="579">
        <v>9770</v>
      </c>
      <c r="C66" s="574" t="s">
        <v>197</v>
      </c>
      <c r="D66" s="578" t="s">
        <v>501</v>
      </c>
      <c r="E66" s="856" t="s">
        <v>212</v>
      </c>
      <c r="F66" s="868" t="s">
        <v>644</v>
      </c>
      <c r="G66" s="854">
        <v>21363</v>
      </c>
      <c r="H66" s="854">
        <v>21363</v>
      </c>
      <c r="I66" s="1055">
        <v>0</v>
      </c>
      <c r="J66" s="854">
        <v>0</v>
      </c>
      <c r="K66" s="854">
        <v>0</v>
      </c>
      <c r="L66" s="1055">
        <v>0</v>
      </c>
      <c r="M66" s="854">
        <f t="shared" si="2"/>
        <v>21363</v>
      </c>
      <c r="N66" s="854">
        <f t="shared" si="3"/>
        <v>21363</v>
      </c>
      <c r="O66" s="855">
        <f t="shared" si="4"/>
        <v>1</v>
      </c>
    </row>
    <row r="67" spans="1:15" s="857" customFormat="1" ht="72.75" customHeight="1" x14ac:dyDescent="0.2">
      <c r="A67" s="1077" t="s">
        <v>76</v>
      </c>
      <c r="B67" s="1065" t="s">
        <v>14</v>
      </c>
      <c r="C67" s="1065" t="s">
        <v>14</v>
      </c>
      <c r="D67" s="1067" t="s">
        <v>446</v>
      </c>
      <c r="E67" s="1067" t="s">
        <v>14</v>
      </c>
      <c r="F67" s="1067" t="s">
        <v>14</v>
      </c>
      <c r="G67" s="1064">
        <f t="shared" ref="G67:L68" si="11">G68</f>
        <v>95000</v>
      </c>
      <c r="H67" s="1064">
        <f t="shared" si="11"/>
        <v>95000</v>
      </c>
      <c r="I67" s="1064">
        <f t="shared" si="11"/>
        <v>0</v>
      </c>
      <c r="J67" s="1064">
        <f t="shared" si="11"/>
        <v>0</v>
      </c>
      <c r="K67" s="1064">
        <f t="shared" si="11"/>
        <v>0</v>
      </c>
      <c r="L67" s="1064">
        <f t="shared" si="11"/>
        <v>0</v>
      </c>
      <c r="M67" s="854">
        <f t="shared" si="2"/>
        <v>95000</v>
      </c>
      <c r="N67" s="854">
        <f t="shared" si="3"/>
        <v>95000</v>
      </c>
      <c r="O67" s="1078">
        <f t="shared" si="4"/>
        <v>1</v>
      </c>
    </row>
    <row r="68" spans="1:15" s="825" customFormat="1" ht="82.5" customHeight="1" x14ac:dyDescent="0.2">
      <c r="A68" s="1079" t="s">
        <v>77</v>
      </c>
      <c r="B68" s="1068" t="s">
        <v>14</v>
      </c>
      <c r="C68" s="1068" t="s">
        <v>14</v>
      </c>
      <c r="D68" s="1069" t="s">
        <v>446</v>
      </c>
      <c r="E68" s="1069" t="s">
        <v>14</v>
      </c>
      <c r="F68" s="1069" t="s">
        <v>14</v>
      </c>
      <c r="G68" s="1066">
        <f>G69</f>
        <v>95000</v>
      </c>
      <c r="H68" s="1066">
        <f t="shared" si="11"/>
        <v>95000</v>
      </c>
      <c r="I68" s="1066">
        <f t="shared" si="11"/>
        <v>0</v>
      </c>
      <c r="J68" s="1066">
        <f t="shared" si="11"/>
        <v>0</v>
      </c>
      <c r="K68" s="1066">
        <f t="shared" si="11"/>
        <v>0</v>
      </c>
      <c r="L68" s="1066">
        <f t="shared" si="11"/>
        <v>0</v>
      </c>
      <c r="M68" s="1066">
        <f t="shared" si="2"/>
        <v>95000</v>
      </c>
      <c r="N68" s="1066">
        <f t="shared" si="3"/>
        <v>95000</v>
      </c>
      <c r="O68" s="1080">
        <f t="shared" si="4"/>
        <v>1</v>
      </c>
    </row>
    <row r="69" spans="1:15" s="872" customFormat="1" ht="151.5" customHeight="1" thickBot="1" x14ac:dyDescent="0.25">
      <c r="A69" s="1061" t="s">
        <v>78</v>
      </c>
      <c r="B69" s="1057" t="s">
        <v>79</v>
      </c>
      <c r="C69" s="1057" t="s">
        <v>65</v>
      </c>
      <c r="D69" s="605" t="s">
        <v>80</v>
      </c>
      <c r="E69" s="1073" t="s">
        <v>202</v>
      </c>
      <c r="F69" s="606" t="s">
        <v>646</v>
      </c>
      <c r="G69" s="876">
        <v>95000</v>
      </c>
      <c r="H69" s="876">
        <v>95000</v>
      </c>
      <c r="I69" s="1060">
        <v>0</v>
      </c>
      <c r="J69" s="876">
        <v>0</v>
      </c>
      <c r="K69" s="876">
        <v>0</v>
      </c>
      <c r="L69" s="1060">
        <v>0</v>
      </c>
      <c r="M69" s="876">
        <f t="shared" si="2"/>
        <v>95000</v>
      </c>
      <c r="N69" s="876">
        <f t="shared" si="3"/>
        <v>95000</v>
      </c>
      <c r="O69" s="877">
        <f t="shared" si="4"/>
        <v>1</v>
      </c>
    </row>
    <row r="70" spans="1:15" s="825" customFormat="1" ht="109.5" customHeight="1" thickBot="1" x14ac:dyDescent="0.25">
      <c r="A70" s="583" t="s">
        <v>81</v>
      </c>
      <c r="B70" s="598" t="s">
        <v>14</v>
      </c>
      <c r="C70" s="598" t="s">
        <v>14</v>
      </c>
      <c r="D70" s="599" t="s">
        <v>447</v>
      </c>
      <c r="E70" s="599" t="s">
        <v>14</v>
      </c>
      <c r="F70" s="599" t="s">
        <v>14</v>
      </c>
      <c r="G70" s="873">
        <f>G71</f>
        <v>42577417</v>
      </c>
      <c r="H70" s="873">
        <f t="shared" ref="H70:L70" si="12">H71</f>
        <v>24683233.029999997</v>
      </c>
      <c r="I70" s="873">
        <f t="shared" si="12"/>
        <v>0</v>
      </c>
      <c r="J70" s="873">
        <f t="shared" si="12"/>
        <v>0</v>
      </c>
      <c r="K70" s="873">
        <f t="shared" si="12"/>
        <v>0</v>
      </c>
      <c r="L70" s="873">
        <f t="shared" si="12"/>
        <v>0</v>
      </c>
      <c r="M70" s="867">
        <f t="shared" si="2"/>
        <v>42577417</v>
      </c>
      <c r="N70" s="867">
        <f t="shared" si="3"/>
        <v>24683233.029999997</v>
      </c>
      <c r="O70" s="570">
        <f t="shared" si="4"/>
        <v>0.57972593851806453</v>
      </c>
    </row>
    <row r="71" spans="1:15" s="864" customFormat="1" ht="98.25" customHeight="1" thickBot="1" x14ac:dyDescent="0.25">
      <c r="A71" s="588" t="s">
        <v>82</v>
      </c>
      <c r="B71" s="600" t="s">
        <v>14</v>
      </c>
      <c r="C71" s="600" t="s">
        <v>14</v>
      </c>
      <c r="D71" s="601" t="s">
        <v>447</v>
      </c>
      <c r="E71" s="601" t="s">
        <v>14</v>
      </c>
      <c r="F71" s="601" t="s">
        <v>14</v>
      </c>
      <c r="G71" s="849">
        <f>G72+G73+G74+G75+G76+G77+G78+G79+G80+G81+G82+G83</f>
        <v>42577417</v>
      </c>
      <c r="H71" s="849">
        <f t="shared" ref="H71:L71" si="13">H72+H73+H74+H75+H76+H77+H78+H79+H80+H81+H82+H83</f>
        <v>24683233.029999997</v>
      </c>
      <c r="I71" s="849">
        <f t="shared" si="13"/>
        <v>0</v>
      </c>
      <c r="J71" s="849">
        <f t="shared" si="13"/>
        <v>0</v>
      </c>
      <c r="K71" s="849">
        <f t="shared" si="13"/>
        <v>0</v>
      </c>
      <c r="L71" s="849">
        <f t="shared" si="13"/>
        <v>0</v>
      </c>
      <c r="M71" s="861">
        <f t="shared" si="2"/>
        <v>42577417</v>
      </c>
      <c r="N71" s="861">
        <f t="shared" si="3"/>
        <v>24683233.029999997</v>
      </c>
      <c r="O71" s="850">
        <f t="shared" si="4"/>
        <v>0.57972593851806453</v>
      </c>
    </row>
    <row r="72" spans="1:15" s="864" customFormat="1" ht="150" customHeight="1" x14ac:dyDescent="0.2">
      <c r="A72" s="581" t="s">
        <v>83</v>
      </c>
      <c r="B72" s="582" t="s">
        <v>84</v>
      </c>
      <c r="C72" s="582" t="s">
        <v>53</v>
      </c>
      <c r="D72" s="575" t="s">
        <v>85</v>
      </c>
      <c r="E72" s="575" t="s">
        <v>603</v>
      </c>
      <c r="F72" s="1074" t="s">
        <v>713</v>
      </c>
      <c r="G72" s="874">
        <v>27060</v>
      </c>
      <c r="H72" s="874">
        <v>0</v>
      </c>
      <c r="I72" s="874">
        <v>0</v>
      </c>
      <c r="J72" s="874">
        <v>0</v>
      </c>
      <c r="K72" s="874">
        <v>0</v>
      </c>
      <c r="L72" s="874">
        <v>0</v>
      </c>
      <c r="M72" s="852">
        <f t="shared" si="2"/>
        <v>27060</v>
      </c>
      <c r="N72" s="852">
        <f t="shared" si="3"/>
        <v>0</v>
      </c>
      <c r="O72" s="862">
        <f t="shared" si="4"/>
        <v>0</v>
      </c>
    </row>
    <row r="73" spans="1:15" s="864" customFormat="1" ht="113.25" customHeight="1" x14ac:dyDescent="0.2">
      <c r="A73" s="580" t="s">
        <v>86</v>
      </c>
      <c r="B73" s="579" t="s">
        <v>87</v>
      </c>
      <c r="C73" s="579" t="s">
        <v>65</v>
      </c>
      <c r="D73" s="856" t="s">
        <v>541</v>
      </c>
      <c r="E73" s="856" t="s">
        <v>220</v>
      </c>
      <c r="F73" s="578" t="s">
        <v>233</v>
      </c>
      <c r="G73" s="863">
        <v>41035</v>
      </c>
      <c r="H73" s="863">
        <v>27984</v>
      </c>
      <c r="I73" s="863">
        <v>0</v>
      </c>
      <c r="J73" s="863">
        <v>0</v>
      </c>
      <c r="K73" s="863">
        <v>0</v>
      </c>
      <c r="L73" s="863">
        <v>0</v>
      </c>
      <c r="M73" s="854">
        <f t="shared" si="2"/>
        <v>41035</v>
      </c>
      <c r="N73" s="854">
        <f t="shared" si="3"/>
        <v>27984</v>
      </c>
      <c r="O73" s="865">
        <f t="shared" si="4"/>
        <v>0.68195442914585114</v>
      </c>
    </row>
    <row r="74" spans="1:15" s="864" customFormat="1" ht="72.75" customHeight="1" x14ac:dyDescent="0.2">
      <c r="A74" s="580" t="s">
        <v>86</v>
      </c>
      <c r="B74" s="579" t="s">
        <v>87</v>
      </c>
      <c r="C74" s="579" t="s">
        <v>65</v>
      </c>
      <c r="D74" s="578" t="s">
        <v>88</v>
      </c>
      <c r="E74" s="856" t="s">
        <v>578</v>
      </c>
      <c r="F74" s="578" t="s">
        <v>579</v>
      </c>
      <c r="G74" s="863">
        <v>299728</v>
      </c>
      <c r="H74" s="863">
        <v>242531</v>
      </c>
      <c r="I74" s="863">
        <v>0</v>
      </c>
      <c r="J74" s="863">
        <v>0</v>
      </c>
      <c r="K74" s="863">
        <v>0</v>
      </c>
      <c r="L74" s="863">
        <v>0</v>
      </c>
      <c r="M74" s="854">
        <f t="shared" si="2"/>
        <v>299728</v>
      </c>
      <c r="N74" s="854">
        <f t="shared" si="3"/>
        <v>242531</v>
      </c>
      <c r="O74" s="865">
        <f t="shared" si="4"/>
        <v>0.80917031441840603</v>
      </c>
    </row>
    <row r="75" spans="1:15" s="864" customFormat="1" ht="150" customHeight="1" x14ac:dyDescent="0.2">
      <c r="A75" s="580" t="s">
        <v>89</v>
      </c>
      <c r="B75" s="579" t="s">
        <v>90</v>
      </c>
      <c r="C75" s="579" t="s">
        <v>91</v>
      </c>
      <c r="D75" s="578" t="s">
        <v>92</v>
      </c>
      <c r="E75" s="578" t="s">
        <v>603</v>
      </c>
      <c r="F75" s="856" t="s">
        <v>713</v>
      </c>
      <c r="G75" s="863">
        <v>5760</v>
      </c>
      <c r="H75" s="863">
        <v>4944.2299999999996</v>
      </c>
      <c r="I75" s="863">
        <v>0</v>
      </c>
      <c r="J75" s="863">
        <v>0</v>
      </c>
      <c r="K75" s="863">
        <v>0</v>
      </c>
      <c r="L75" s="863">
        <v>0</v>
      </c>
      <c r="M75" s="854">
        <f t="shared" si="2"/>
        <v>5760</v>
      </c>
      <c r="N75" s="854">
        <f t="shared" si="3"/>
        <v>4944.2299999999996</v>
      </c>
      <c r="O75" s="865">
        <f t="shared" si="4"/>
        <v>0.85837326388888879</v>
      </c>
    </row>
    <row r="76" spans="1:15" s="864" customFormat="1" ht="150" customHeight="1" x14ac:dyDescent="0.2">
      <c r="A76" s="580" t="s">
        <v>93</v>
      </c>
      <c r="B76" s="579" t="s">
        <v>94</v>
      </c>
      <c r="C76" s="579" t="s">
        <v>91</v>
      </c>
      <c r="D76" s="578" t="s">
        <v>95</v>
      </c>
      <c r="E76" s="578" t="s">
        <v>603</v>
      </c>
      <c r="F76" s="856" t="s">
        <v>713</v>
      </c>
      <c r="G76" s="863">
        <v>1920</v>
      </c>
      <c r="H76" s="863">
        <v>1517.25</v>
      </c>
      <c r="I76" s="863">
        <v>0</v>
      </c>
      <c r="J76" s="863">
        <v>0</v>
      </c>
      <c r="K76" s="863">
        <v>0</v>
      </c>
      <c r="L76" s="863">
        <v>0</v>
      </c>
      <c r="M76" s="854">
        <f t="shared" si="2"/>
        <v>1920</v>
      </c>
      <c r="N76" s="854">
        <f t="shared" si="3"/>
        <v>1517.25</v>
      </c>
      <c r="O76" s="865">
        <f t="shared" si="4"/>
        <v>0.79023437500000004</v>
      </c>
    </row>
    <row r="77" spans="1:15" s="864" customFormat="1" ht="147" customHeight="1" x14ac:dyDescent="0.2">
      <c r="A77" s="580" t="s">
        <v>96</v>
      </c>
      <c r="B77" s="579" t="s">
        <v>97</v>
      </c>
      <c r="C77" s="579" t="s">
        <v>98</v>
      </c>
      <c r="D77" s="578" t="s">
        <v>99</v>
      </c>
      <c r="E77" s="578" t="s">
        <v>603</v>
      </c>
      <c r="F77" s="856" t="s">
        <v>713</v>
      </c>
      <c r="G77" s="863">
        <v>25600</v>
      </c>
      <c r="H77" s="863">
        <v>2369.4699999999998</v>
      </c>
      <c r="I77" s="863">
        <v>0</v>
      </c>
      <c r="J77" s="863">
        <v>0</v>
      </c>
      <c r="K77" s="863">
        <v>0</v>
      </c>
      <c r="L77" s="863">
        <v>0</v>
      </c>
      <c r="M77" s="854">
        <f t="shared" si="2"/>
        <v>25600</v>
      </c>
      <c r="N77" s="854">
        <f t="shared" si="3"/>
        <v>2369.4699999999998</v>
      </c>
      <c r="O77" s="865">
        <f t="shared" si="4"/>
        <v>9.255742187499999E-2</v>
      </c>
    </row>
    <row r="78" spans="1:15" s="864" customFormat="1" ht="149.25" customHeight="1" x14ac:dyDescent="0.2">
      <c r="A78" s="580" t="s">
        <v>101</v>
      </c>
      <c r="B78" s="579" t="s">
        <v>102</v>
      </c>
      <c r="C78" s="579" t="s">
        <v>100</v>
      </c>
      <c r="D78" s="578" t="s">
        <v>103</v>
      </c>
      <c r="E78" s="578" t="s">
        <v>603</v>
      </c>
      <c r="F78" s="856" t="s">
        <v>713</v>
      </c>
      <c r="G78" s="863">
        <v>316106</v>
      </c>
      <c r="H78" s="863">
        <v>207758</v>
      </c>
      <c r="I78" s="863">
        <v>0</v>
      </c>
      <c r="J78" s="863">
        <v>0</v>
      </c>
      <c r="K78" s="863">
        <v>0</v>
      </c>
      <c r="L78" s="863">
        <v>0</v>
      </c>
      <c r="M78" s="854">
        <f t="shared" si="2"/>
        <v>316106</v>
      </c>
      <c r="N78" s="854">
        <f t="shared" si="3"/>
        <v>207758</v>
      </c>
      <c r="O78" s="865">
        <f t="shared" si="4"/>
        <v>0.657241558211486</v>
      </c>
    </row>
    <row r="79" spans="1:15" s="864" customFormat="1" ht="148.5" customHeight="1" x14ac:dyDescent="0.2">
      <c r="A79" s="580" t="s">
        <v>104</v>
      </c>
      <c r="B79" s="579" t="s">
        <v>105</v>
      </c>
      <c r="C79" s="579" t="s">
        <v>106</v>
      </c>
      <c r="D79" s="578" t="s">
        <v>107</v>
      </c>
      <c r="E79" s="578" t="s">
        <v>205</v>
      </c>
      <c r="F79" s="597" t="s">
        <v>714</v>
      </c>
      <c r="G79" s="863">
        <v>90000</v>
      </c>
      <c r="H79" s="863">
        <v>77900</v>
      </c>
      <c r="I79" s="863">
        <v>0</v>
      </c>
      <c r="J79" s="863">
        <v>0</v>
      </c>
      <c r="K79" s="863">
        <v>0</v>
      </c>
      <c r="L79" s="863">
        <v>0</v>
      </c>
      <c r="M79" s="854">
        <f t="shared" si="2"/>
        <v>90000</v>
      </c>
      <c r="N79" s="854">
        <f t="shared" si="3"/>
        <v>77900</v>
      </c>
      <c r="O79" s="855">
        <f t="shared" si="4"/>
        <v>0.86555555555555552</v>
      </c>
    </row>
    <row r="80" spans="1:15" s="864" customFormat="1" ht="150" customHeight="1" x14ac:dyDescent="0.2">
      <c r="A80" s="580" t="s">
        <v>108</v>
      </c>
      <c r="B80" s="579" t="s">
        <v>109</v>
      </c>
      <c r="C80" s="579" t="s">
        <v>106</v>
      </c>
      <c r="D80" s="578" t="s">
        <v>647</v>
      </c>
      <c r="E80" s="578" t="s">
        <v>205</v>
      </c>
      <c r="F80" s="597" t="s">
        <v>714</v>
      </c>
      <c r="G80" s="863">
        <v>4658468</v>
      </c>
      <c r="H80" s="863">
        <v>1278251.22</v>
      </c>
      <c r="I80" s="863">
        <v>0</v>
      </c>
      <c r="J80" s="863">
        <v>0</v>
      </c>
      <c r="K80" s="863">
        <v>0</v>
      </c>
      <c r="L80" s="863">
        <v>0</v>
      </c>
      <c r="M80" s="854">
        <f t="shared" si="2"/>
        <v>4658468</v>
      </c>
      <c r="N80" s="854">
        <f t="shared" si="3"/>
        <v>1278251.22</v>
      </c>
      <c r="O80" s="855">
        <f t="shared" si="4"/>
        <v>0.2743930450955121</v>
      </c>
    </row>
    <row r="81" spans="1:16" s="864" customFormat="1" ht="154.5" customHeight="1" x14ac:dyDescent="0.2">
      <c r="A81" s="580">
        <v>1015041</v>
      </c>
      <c r="B81" s="579">
        <v>5041</v>
      </c>
      <c r="C81" s="579" t="s">
        <v>106</v>
      </c>
      <c r="D81" s="578" t="s">
        <v>543</v>
      </c>
      <c r="E81" s="578" t="s">
        <v>205</v>
      </c>
      <c r="F81" s="597" t="s">
        <v>714</v>
      </c>
      <c r="G81" s="863">
        <v>34958996</v>
      </c>
      <c r="H81" s="863">
        <v>21912807.41</v>
      </c>
      <c r="I81" s="863">
        <v>0</v>
      </c>
      <c r="J81" s="863">
        <v>0</v>
      </c>
      <c r="K81" s="863">
        <v>0</v>
      </c>
      <c r="L81" s="863">
        <v>0</v>
      </c>
      <c r="M81" s="854">
        <f t="shared" si="2"/>
        <v>34958996</v>
      </c>
      <c r="N81" s="854">
        <f t="shared" si="3"/>
        <v>21912807.41</v>
      </c>
      <c r="O81" s="855">
        <f t="shared" si="4"/>
        <v>0.62681455182522972</v>
      </c>
    </row>
    <row r="82" spans="1:16" s="864" customFormat="1" ht="147.75" customHeight="1" x14ac:dyDescent="0.2">
      <c r="A82" s="580" t="s">
        <v>110</v>
      </c>
      <c r="B82" s="579" t="s">
        <v>111</v>
      </c>
      <c r="C82" s="579" t="s">
        <v>106</v>
      </c>
      <c r="D82" s="578" t="s">
        <v>112</v>
      </c>
      <c r="E82" s="578" t="s">
        <v>205</v>
      </c>
      <c r="F82" s="597" t="s">
        <v>714</v>
      </c>
      <c r="G82" s="863">
        <v>1624744</v>
      </c>
      <c r="H82" s="863">
        <v>531170.44999999995</v>
      </c>
      <c r="I82" s="863">
        <v>0</v>
      </c>
      <c r="J82" s="863">
        <v>0</v>
      </c>
      <c r="K82" s="863">
        <v>0</v>
      </c>
      <c r="L82" s="863">
        <v>0</v>
      </c>
      <c r="M82" s="854">
        <f t="shared" si="2"/>
        <v>1624744</v>
      </c>
      <c r="N82" s="854">
        <f t="shared" si="3"/>
        <v>531170.44999999995</v>
      </c>
      <c r="O82" s="855">
        <f t="shared" si="4"/>
        <v>0.32692562643714945</v>
      </c>
    </row>
    <row r="83" spans="1:16" s="864" customFormat="1" ht="150.75" customHeight="1" thickBot="1" x14ac:dyDescent="0.25">
      <c r="A83" s="1061" t="s">
        <v>113</v>
      </c>
      <c r="B83" s="1057" t="s">
        <v>114</v>
      </c>
      <c r="C83" s="1057" t="s">
        <v>106</v>
      </c>
      <c r="D83" s="605" t="s">
        <v>115</v>
      </c>
      <c r="E83" s="605" t="s">
        <v>205</v>
      </c>
      <c r="F83" s="606" t="s">
        <v>714</v>
      </c>
      <c r="G83" s="875">
        <v>528000</v>
      </c>
      <c r="H83" s="875">
        <v>396000</v>
      </c>
      <c r="I83" s="875">
        <v>0</v>
      </c>
      <c r="J83" s="875">
        <v>0</v>
      </c>
      <c r="K83" s="875">
        <v>0</v>
      </c>
      <c r="L83" s="875">
        <v>0</v>
      </c>
      <c r="M83" s="876">
        <f t="shared" si="2"/>
        <v>528000</v>
      </c>
      <c r="N83" s="876">
        <f t="shared" si="3"/>
        <v>396000</v>
      </c>
      <c r="O83" s="877">
        <f t="shared" si="4"/>
        <v>0.75</v>
      </c>
    </row>
    <row r="84" spans="1:16" s="864" customFormat="1" ht="113.25" customHeight="1" thickBot="1" x14ac:dyDescent="0.25">
      <c r="A84" s="583" t="s">
        <v>116</v>
      </c>
      <c r="B84" s="598" t="s">
        <v>14</v>
      </c>
      <c r="C84" s="598" t="s">
        <v>14</v>
      </c>
      <c r="D84" s="599" t="s">
        <v>117</v>
      </c>
      <c r="E84" s="599" t="s">
        <v>14</v>
      </c>
      <c r="F84" s="599" t="s">
        <v>14</v>
      </c>
      <c r="G84" s="569">
        <f>G85</f>
        <v>65902549</v>
      </c>
      <c r="H84" s="569">
        <f t="shared" ref="H84:L84" si="14">H85</f>
        <v>48637733.380000003</v>
      </c>
      <c r="I84" s="569">
        <f t="shared" si="14"/>
        <v>2755726</v>
      </c>
      <c r="J84" s="569">
        <f t="shared" si="14"/>
        <v>2296426</v>
      </c>
      <c r="K84" s="569">
        <f t="shared" si="14"/>
        <v>688321</v>
      </c>
      <c r="L84" s="569">
        <f t="shared" si="14"/>
        <v>419911</v>
      </c>
      <c r="M84" s="569">
        <f t="shared" si="2"/>
        <v>68658275</v>
      </c>
      <c r="N84" s="569">
        <f t="shared" si="3"/>
        <v>49326054.380000003</v>
      </c>
      <c r="O84" s="570">
        <f t="shared" si="4"/>
        <v>0.71842839599451058</v>
      </c>
    </row>
    <row r="85" spans="1:16" s="864" customFormat="1" ht="118.5" customHeight="1" thickBot="1" x14ac:dyDescent="0.25">
      <c r="A85" s="602">
        <v>1210000</v>
      </c>
      <c r="B85" s="600" t="s">
        <v>14</v>
      </c>
      <c r="C85" s="600" t="s">
        <v>14</v>
      </c>
      <c r="D85" s="601" t="s">
        <v>117</v>
      </c>
      <c r="E85" s="601" t="s">
        <v>14</v>
      </c>
      <c r="F85" s="601" t="s">
        <v>14</v>
      </c>
      <c r="G85" s="849">
        <f>G86+G87+G88+G89+G90+G92+G93+G94+G95+G96+G97</f>
        <v>65902549</v>
      </c>
      <c r="H85" s="849">
        <f t="shared" ref="H85:L85" si="15">H86+H87+H88+H89+H90+H92+H93+H94+H95+H96+H97</f>
        <v>48637733.380000003</v>
      </c>
      <c r="I85" s="849">
        <f>I86+I87+I88+I89+I90+I92+I93+I94+I95+I96+I97</f>
        <v>2755726</v>
      </c>
      <c r="J85" s="849">
        <f t="shared" si="15"/>
        <v>2296426</v>
      </c>
      <c r="K85" s="849">
        <f t="shared" si="15"/>
        <v>688321</v>
      </c>
      <c r="L85" s="849">
        <f t="shared" si="15"/>
        <v>419911</v>
      </c>
      <c r="M85" s="861">
        <f t="shared" si="2"/>
        <v>68658275</v>
      </c>
      <c r="N85" s="861">
        <f t="shared" si="3"/>
        <v>49326054.380000003</v>
      </c>
      <c r="O85" s="850">
        <f t="shared" si="4"/>
        <v>0.71842839599451058</v>
      </c>
      <c r="P85" s="1045"/>
    </row>
    <row r="86" spans="1:16" s="825" customFormat="1" ht="156" customHeight="1" x14ac:dyDescent="0.2">
      <c r="A86" s="581" t="s">
        <v>120</v>
      </c>
      <c r="B86" s="582" t="s">
        <v>121</v>
      </c>
      <c r="C86" s="582" t="s">
        <v>122</v>
      </c>
      <c r="D86" s="575" t="s">
        <v>123</v>
      </c>
      <c r="E86" s="575" t="s">
        <v>591</v>
      </c>
      <c r="F86" s="1051" t="s">
        <v>707</v>
      </c>
      <c r="G86" s="852">
        <v>9760</v>
      </c>
      <c r="H86" s="852">
        <v>9582.5400000000009</v>
      </c>
      <c r="I86" s="852">
        <v>0</v>
      </c>
      <c r="J86" s="852">
        <f>I86</f>
        <v>0</v>
      </c>
      <c r="K86" s="852">
        <v>0</v>
      </c>
      <c r="L86" s="1052">
        <v>0</v>
      </c>
      <c r="M86" s="852">
        <f t="shared" si="2"/>
        <v>9760</v>
      </c>
      <c r="N86" s="852">
        <f t="shared" si="3"/>
        <v>9582.5400000000009</v>
      </c>
      <c r="O86" s="862">
        <f>N86/M86</f>
        <v>0.98181762295081976</v>
      </c>
    </row>
    <row r="87" spans="1:16" s="825" customFormat="1" ht="157.5" customHeight="1" x14ac:dyDescent="0.2">
      <c r="A87" s="580">
        <v>1216012</v>
      </c>
      <c r="B87" s="579">
        <v>6012</v>
      </c>
      <c r="C87" s="574" t="s">
        <v>26</v>
      </c>
      <c r="D87" s="578" t="s">
        <v>208</v>
      </c>
      <c r="E87" s="578" t="s">
        <v>591</v>
      </c>
      <c r="F87" s="597" t="s">
        <v>707</v>
      </c>
      <c r="G87" s="854">
        <v>6551345</v>
      </c>
      <c r="H87" s="854">
        <v>6551344.0199999996</v>
      </c>
      <c r="I87" s="854">
        <v>0</v>
      </c>
      <c r="J87" s="854">
        <v>0</v>
      </c>
      <c r="K87" s="854">
        <v>0</v>
      </c>
      <c r="L87" s="1055">
        <v>0</v>
      </c>
      <c r="M87" s="854">
        <f t="shared" si="2"/>
        <v>6551345</v>
      </c>
      <c r="N87" s="854">
        <f t="shared" si="3"/>
        <v>6551344.0199999996</v>
      </c>
      <c r="O87" s="865">
        <f>N87/M87</f>
        <v>0.99999985041239614</v>
      </c>
    </row>
    <row r="88" spans="1:16" s="864" customFormat="1" ht="156" customHeight="1" x14ac:dyDescent="0.2">
      <c r="A88" s="580" t="s">
        <v>124</v>
      </c>
      <c r="B88" s="579" t="s">
        <v>125</v>
      </c>
      <c r="C88" s="579" t="s">
        <v>26</v>
      </c>
      <c r="D88" s="578" t="s">
        <v>126</v>
      </c>
      <c r="E88" s="578" t="s">
        <v>591</v>
      </c>
      <c r="F88" s="597" t="s">
        <v>707</v>
      </c>
      <c r="G88" s="854">
        <v>1269500</v>
      </c>
      <c r="H88" s="863">
        <v>477747.22</v>
      </c>
      <c r="I88" s="854">
        <v>0</v>
      </c>
      <c r="J88" s="854">
        <f t="shared" ref="J88:J95" si="16">I88</f>
        <v>0</v>
      </c>
      <c r="K88" s="854">
        <v>0</v>
      </c>
      <c r="L88" s="854">
        <v>0</v>
      </c>
      <c r="M88" s="854">
        <f t="shared" si="2"/>
        <v>1269500</v>
      </c>
      <c r="N88" s="854">
        <f t="shared" si="3"/>
        <v>477747.22</v>
      </c>
      <c r="O88" s="855">
        <f t="shared" ref="O88:O103" si="17">N88/M88</f>
        <v>0.37632707365104368</v>
      </c>
    </row>
    <row r="89" spans="1:16" s="864" customFormat="1" ht="150.75" customHeight="1" x14ac:dyDescent="0.2">
      <c r="A89" s="580">
        <v>1216015</v>
      </c>
      <c r="B89" s="579">
        <v>6015</v>
      </c>
      <c r="C89" s="579" t="s">
        <v>26</v>
      </c>
      <c r="D89" s="578" t="s">
        <v>476</v>
      </c>
      <c r="E89" s="578" t="s">
        <v>583</v>
      </c>
      <c r="F89" s="856" t="s">
        <v>594</v>
      </c>
      <c r="G89" s="854">
        <v>0</v>
      </c>
      <c r="H89" s="863">
        <v>0</v>
      </c>
      <c r="I89" s="854">
        <v>1835036</v>
      </c>
      <c r="J89" s="854">
        <f t="shared" si="16"/>
        <v>1835036</v>
      </c>
      <c r="K89" s="854">
        <v>0</v>
      </c>
      <c r="L89" s="854">
        <v>0</v>
      </c>
      <c r="M89" s="854">
        <f t="shared" si="2"/>
        <v>1835036</v>
      </c>
      <c r="N89" s="854">
        <f t="shared" si="3"/>
        <v>0</v>
      </c>
      <c r="O89" s="855">
        <f t="shared" si="17"/>
        <v>0</v>
      </c>
    </row>
    <row r="90" spans="1:16" s="825" customFormat="1" ht="154.5" customHeight="1" x14ac:dyDescent="0.2">
      <c r="A90" s="580" t="s">
        <v>127</v>
      </c>
      <c r="B90" s="579" t="s">
        <v>25</v>
      </c>
      <c r="C90" s="579" t="s">
        <v>26</v>
      </c>
      <c r="D90" s="578" t="s">
        <v>27</v>
      </c>
      <c r="E90" s="578" t="s">
        <v>591</v>
      </c>
      <c r="F90" s="597" t="s">
        <v>708</v>
      </c>
      <c r="G90" s="854">
        <v>45370866</v>
      </c>
      <c r="H90" s="854">
        <v>33035547.16</v>
      </c>
      <c r="I90" s="854">
        <v>461390</v>
      </c>
      <c r="J90" s="854">
        <f t="shared" si="16"/>
        <v>461390</v>
      </c>
      <c r="K90" s="854">
        <v>419911</v>
      </c>
      <c r="L90" s="854">
        <f>K90</f>
        <v>419911</v>
      </c>
      <c r="M90" s="854">
        <f t="shared" si="2"/>
        <v>45832256</v>
      </c>
      <c r="N90" s="854">
        <f t="shared" si="3"/>
        <v>33455458.16</v>
      </c>
      <c r="O90" s="855">
        <f t="shared" si="17"/>
        <v>0.72995442685605527</v>
      </c>
    </row>
    <row r="91" spans="1:16" s="825" customFormat="1" ht="70.5" hidden="1" customHeight="1" x14ac:dyDescent="0.2">
      <c r="A91" s="580" t="s">
        <v>586</v>
      </c>
      <c r="B91" s="579" t="s">
        <v>587</v>
      </c>
      <c r="C91" s="579" t="s">
        <v>588</v>
      </c>
      <c r="D91" s="578" t="s">
        <v>27</v>
      </c>
      <c r="E91" s="578" t="s">
        <v>424</v>
      </c>
      <c r="F91" s="578" t="s">
        <v>425</v>
      </c>
      <c r="G91" s="854"/>
      <c r="H91" s="854"/>
      <c r="I91" s="854"/>
      <c r="J91" s="854">
        <f t="shared" si="16"/>
        <v>0</v>
      </c>
      <c r="K91" s="854"/>
      <c r="L91" s="854"/>
      <c r="M91" s="854">
        <f t="shared" si="2"/>
        <v>0</v>
      </c>
      <c r="N91" s="854">
        <f t="shared" si="3"/>
        <v>0</v>
      </c>
      <c r="O91" s="855" t="e">
        <f t="shared" si="17"/>
        <v>#DIV/0!</v>
      </c>
    </row>
    <row r="92" spans="1:16" s="825" customFormat="1" ht="113.25" customHeight="1" x14ac:dyDescent="0.2">
      <c r="A92" s="580" t="s">
        <v>127</v>
      </c>
      <c r="B92" s="579" t="s">
        <v>25</v>
      </c>
      <c r="C92" s="579" t="s">
        <v>26</v>
      </c>
      <c r="D92" s="578" t="s">
        <v>27</v>
      </c>
      <c r="E92" s="868" t="s">
        <v>584</v>
      </c>
      <c r="F92" s="597" t="s">
        <v>585</v>
      </c>
      <c r="G92" s="854">
        <v>175102</v>
      </c>
      <c r="H92" s="854">
        <v>172768.47</v>
      </c>
      <c r="I92" s="854">
        <v>0</v>
      </c>
      <c r="J92" s="854">
        <f t="shared" si="16"/>
        <v>0</v>
      </c>
      <c r="K92" s="854">
        <v>0</v>
      </c>
      <c r="L92" s="854">
        <v>0</v>
      </c>
      <c r="M92" s="854">
        <f t="shared" si="2"/>
        <v>175102</v>
      </c>
      <c r="N92" s="854">
        <f t="shared" si="3"/>
        <v>172768.47</v>
      </c>
      <c r="O92" s="855">
        <f t="shared" si="17"/>
        <v>0.98667331041335904</v>
      </c>
    </row>
    <row r="93" spans="1:16" s="825" customFormat="1" ht="282" customHeight="1" x14ac:dyDescent="0.2">
      <c r="A93" s="1081">
        <v>1216071</v>
      </c>
      <c r="B93" s="596">
        <v>6071</v>
      </c>
      <c r="C93" s="1059" t="s">
        <v>234</v>
      </c>
      <c r="D93" s="868" t="s">
        <v>232</v>
      </c>
      <c r="E93" s="578" t="s">
        <v>591</v>
      </c>
      <c r="F93" s="597" t="s">
        <v>708</v>
      </c>
      <c r="G93" s="854">
        <v>9284334</v>
      </c>
      <c r="H93" s="854">
        <v>6367777.8399999999</v>
      </c>
      <c r="I93" s="854">
        <v>0</v>
      </c>
      <c r="J93" s="854">
        <f t="shared" si="16"/>
        <v>0</v>
      </c>
      <c r="K93" s="854">
        <v>0</v>
      </c>
      <c r="L93" s="854">
        <v>0</v>
      </c>
      <c r="M93" s="854">
        <f t="shared" si="2"/>
        <v>9284334</v>
      </c>
      <c r="N93" s="854">
        <f t="shared" si="3"/>
        <v>6367777.8399999999</v>
      </c>
      <c r="O93" s="855">
        <f t="shared" si="17"/>
        <v>0.68586264130523522</v>
      </c>
    </row>
    <row r="94" spans="1:16" s="825" customFormat="1" ht="150" customHeight="1" x14ac:dyDescent="0.2">
      <c r="A94" s="580" t="s">
        <v>128</v>
      </c>
      <c r="B94" s="579" t="s">
        <v>129</v>
      </c>
      <c r="C94" s="579" t="s">
        <v>130</v>
      </c>
      <c r="D94" s="578" t="s">
        <v>131</v>
      </c>
      <c r="E94" s="578" t="s">
        <v>591</v>
      </c>
      <c r="F94" s="597" t="s">
        <v>708</v>
      </c>
      <c r="G94" s="854">
        <v>2968087</v>
      </c>
      <c r="H94" s="854">
        <v>1815978.13</v>
      </c>
      <c r="I94" s="1055">
        <v>0</v>
      </c>
      <c r="J94" s="854">
        <f t="shared" si="16"/>
        <v>0</v>
      </c>
      <c r="K94" s="854">
        <v>0</v>
      </c>
      <c r="L94" s="1055">
        <v>0</v>
      </c>
      <c r="M94" s="854">
        <f t="shared" si="2"/>
        <v>2968087</v>
      </c>
      <c r="N94" s="854">
        <f t="shared" si="3"/>
        <v>1815978.13</v>
      </c>
      <c r="O94" s="855">
        <f t="shared" si="17"/>
        <v>0.61183453517366571</v>
      </c>
    </row>
    <row r="95" spans="1:16" s="825" customFormat="1" ht="149.25" customHeight="1" x14ac:dyDescent="0.2">
      <c r="A95" s="580">
        <v>1218110</v>
      </c>
      <c r="B95" s="579">
        <v>8110</v>
      </c>
      <c r="C95" s="574" t="s">
        <v>206</v>
      </c>
      <c r="D95" s="578" t="s">
        <v>207</v>
      </c>
      <c r="E95" s="578" t="s">
        <v>582</v>
      </c>
      <c r="F95" s="578" t="s">
        <v>709</v>
      </c>
      <c r="G95" s="854">
        <v>207555</v>
      </c>
      <c r="H95" s="854">
        <v>206988</v>
      </c>
      <c r="I95" s="1055">
        <v>0</v>
      </c>
      <c r="J95" s="854">
        <f t="shared" si="16"/>
        <v>0</v>
      </c>
      <c r="K95" s="854">
        <v>0</v>
      </c>
      <c r="L95" s="1055">
        <v>0</v>
      </c>
      <c r="M95" s="854">
        <f t="shared" si="2"/>
        <v>207555</v>
      </c>
      <c r="N95" s="854">
        <f t="shared" si="3"/>
        <v>206988</v>
      </c>
      <c r="O95" s="855">
        <f t="shared" si="17"/>
        <v>0.99726819397268196</v>
      </c>
    </row>
    <row r="96" spans="1:16" s="825" customFormat="1" ht="157.5" customHeight="1" x14ac:dyDescent="0.2">
      <c r="A96" s="580">
        <v>1218311</v>
      </c>
      <c r="B96" s="579">
        <v>8311</v>
      </c>
      <c r="C96" s="574" t="s">
        <v>546</v>
      </c>
      <c r="D96" s="578" t="s">
        <v>545</v>
      </c>
      <c r="E96" s="578" t="s">
        <v>591</v>
      </c>
      <c r="F96" s="597" t="s">
        <v>708</v>
      </c>
      <c r="G96" s="854">
        <v>66000</v>
      </c>
      <c r="H96" s="854">
        <v>0</v>
      </c>
      <c r="I96" s="1055">
        <v>0</v>
      </c>
      <c r="J96" s="854">
        <v>0</v>
      </c>
      <c r="K96" s="854">
        <v>0</v>
      </c>
      <c r="L96" s="1055">
        <v>0</v>
      </c>
      <c r="M96" s="854">
        <f t="shared" si="2"/>
        <v>66000</v>
      </c>
      <c r="N96" s="854">
        <f t="shared" si="3"/>
        <v>0</v>
      </c>
      <c r="O96" s="855">
        <f t="shared" si="17"/>
        <v>0</v>
      </c>
    </row>
    <row r="97" spans="1:15" s="857" customFormat="1" ht="153" customHeight="1" thickBot="1" x14ac:dyDescent="0.25">
      <c r="A97" s="1061" t="s">
        <v>132</v>
      </c>
      <c r="B97" s="1057" t="s">
        <v>133</v>
      </c>
      <c r="C97" s="1057" t="s">
        <v>134</v>
      </c>
      <c r="D97" s="605" t="s">
        <v>135</v>
      </c>
      <c r="E97" s="605" t="s">
        <v>604</v>
      </c>
      <c r="F97" s="1075" t="s">
        <v>605</v>
      </c>
      <c r="G97" s="876">
        <v>0</v>
      </c>
      <c r="H97" s="876">
        <v>0</v>
      </c>
      <c r="I97" s="876">
        <v>459300</v>
      </c>
      <c r="J97" s="876">
        <v>0</v>
      </c>
      <c r="K97" s="876">
        <v>268410</v>
      </c>
      <c r="L97" s="1060">
        <v>0</v>
      </c>
      <c r="M97" s="876">
        <f t="shared" si="2"/>
        <v>459300</v>
      </c>
      <c r="N97" s="876">
        <f t="shared" si="3"/>
        <v>268410</v>
      </c>
      <c r="O97" s="877">
        <f t="shared" si="17"/>
        <v>0.58438928804702805</v>
      </c>
    </row>
    <row r="98" spans="1:15" s="857" customFormat="1" ht="90.75" customHeight="1" thickBot="1" x14ac:dyDescent="0.25">
      <c r="A98" s="583" t="s">
        <v>136</v>
      </c>
      <c r="B98" s="598" t="s">
        <v>14</v>
      </c>
      <c r="C98" s="598" t="s">
        <v>14</v>
      </c>
      <c r="D98" s="599" t="s">
        <v>448</v>
      </c>
      <c r="E98" s="599" t="s">
        <v>14</v>
      </c>
      <c r="F98" s="599" t="s">
        <v>14</v>
      </c>
      <c r="G98" s="569">
        <v>0</v>
      </c>
      <c r="H98" s="569">
        <v>0</v>
      </c>
      <c r="I98" s="569">
        <f>I99</f>
        <v>55034036</v>
      </c>
      <c r="J98" s="569">
        <f>J99</f>
        <v>55034036</v>
      </c>
      <c r="K98" s="569">
        <f>K99</f>
        <v>27475073.199999999</v>
      </c>
      <c r="L98" s="569">
        <f>L99</f>
        <v>27475073.199999999</v>
      </c>
      <c r="M98" s="569">
        <f t="shared" si="2"/>
        <v>55034036</v>
      </c>
      <c r="N98" s="569">
        <f t="shared" si="3"/>
        <v>27475073.199999999</v>
      </c>
      <c r="O98" s="570">
        <f t="shared" si="17"/>
        <v>0.49923783892571499</v>
      </c>
    </row>
    <row r="99" spans="1:15" s="825" customFormat="1" ht="91.5" customHeight="1" thickBot="1" x14ac:dyDescent="0.25">
      <c r="A99" s="602">
        <v>1510000</v>
      </c>
      <c r="B99" s="600" t="s">
        <v>14</v>
      </c>
      <c r="C99" s="600" t="s">
        <v>14</v>
      </c>
      <c r="D99" s="601" t="s">
        <v>448</v>
      </c>
      <c r="E99" s="601" t="s">
        <v>14</v>
      </c>
      <c r="F99" s="601" t="s">
        <v>14</v>
      </c>
      <c r="G99" s="849">
        <v>0</v>
      </c>
      <c r="H99" s="861">
        <v>0</v>
      </c>
      <c r="I99" s="849">
        <f>SUM(I100:I108)</f>
        <v>55034036</v>
      </c>
      <c r="J99" s="849">
        <f t="shared" ref="J99:L99" si="18">SUM(J100:J108)</f>
        <v>55034036</v>
      </c>
      <c r="K99" s="849">
        <f t="shared" si="18"/>
        <v>27475073.199999999</v>
      </c>
      <c r="L99" s="849">
        <f t="shared" si="18"/>
        <v>27475073.199999999</v>
      </c>
      <c r="M99" s="861">
        <f t="shared" si="2"/>
        <v>55034036</v>
      </c>
      <c r="N99" s="861">
        <f t="shared" si="3"/>
        <v>27475073.199999999</v>
      </c>
      <c r="O99" s="850">
        <f t="shared" si="17"/>
        <v>0.49923783892571499</v>
      </c>
    </row>
    <row r="100" spans="1:15" s="825" customFormat="1" ht="153.75" customHeight="1" x14ac:dyDescent="0.2">
      <c r="A100" s="581">
        <v>1510150</v>
      </c>
      <c r="B100" s="591" t="s">
        <v>148</v>
      </c>
      <c r="C100" s="582" t="s">
        <v>16</v>
      </c>
      <c r="D100" s="575" t="s">
        <v>149</v>
      </c>
      <c r="E100" s="575" t="s">
        <v>589</v>
      </c>
      <c r="F100" s="1051" t="s">
        <v>716</v>
      </c>
      <c r="G100" s="1071">
        <v>0</v>
      </c>
      <c r="H100" s="1072">
        <v>0</v>
      </c>
      <c r="I100" s="1071">
        <v>250000</v>
      </c>
      <c r="J100" s="1071">
        <v>250000</v>
      </c>
      <c r="K100" s="1071">
        <v>0</v>
      </c>
      <c r="L100" s="1071">
        <f>K100</f>
        <v>0</v>
      </c>
      <c r="M100" s="1072">
        <f>G100+I100</f>
        <v>250000</v>
      </c>
      <c r="N100" s="1072">
        <f>H100+K100</f>
        <v>0</v>
      </c>
      <c r="O100" s="1082">
        <f t="shared" si="17"/>
        <v>0</v>
      </c>
    </row>
    <row r="101" spans="1:15" s="825" customFormat="1" ht="149.25" customHeight="1" x14ac:dyDescent="0.2">
      <c r="A101" s="576">
        <v>1511021</v>
      </c>
      <c r="B101" s="577">
        <v>1021</v>
      </c>
      <c r="C101" s="574" t="s">
        <v>49</v>
      </c>
      <c r="D101" s="578" t="s">
        <v>478</v>
      </c>
      <c r="E101" s="578" t="s">
        <v>589</v>
      </c>
      <c r="F101" s="856" t="s">
        <v>711</v>
      </c>
      <c r="G101" s="863">
        <v>0</v>
      </c>
      <c r="H101" s="854">
        <v>0</v>
      </c>
      <c r="I101" s="863">
        <v>26127892</v>
      </c>
      <c r="J101" s="863">
        <f t="shared" ref="J101:J108" si="19">I101</f>
        <v>26127892</v>
      </c>
      <c r="K101" s="863">
        <v>18629066.48</v>
      </c>
      <c r="L101" s="863">
        <f>K101</f>
        <v>18629066.48</v>
      </c>
      <c r="M101" s="854">
        <f>G101+I101</f>
        <v>26127892</v>
      </c>
      <c r="N101" s="854">
        <f t="shared" ref="N101:N120" si="20">H101+K101</f>
        <v>18629066.48</v>
      </c>
      <c r="O101" s="855">
        <f>N101/M101</f>
        <v>0.7129953874579702</v>
      </c>
    </row>
    <row r="102" spans="1:15" s="825" customFormat="1" ht="148.5" customHeight="1" x14ac:dyDescent="0.2">
      <c r="A102" s="580">
        <v>1512010</v>
      </c>
      <c r="B102" s="579">
        <v>2010</v>
      </c>
      <c r="C102" s="574" t="s">
        <v>19</v>
      </c>
      <c r="D102" s="578" t="s">
        <v>20</v>
      </c>
      <c r="E102" s="578" t="s">
        <v>589</v>
      </c>
      <c r="F102" s="597" t="s">
        <v>717</v>
      </c>
      <c r="G102" s="863">
        <v>0</v>
      </c>
      <c r="H102" s="854">
        <v>0</v>
      </c>
      <c r="I102" s="863">
        <v>3000000</v>
      </c>
      <c r="J102" s="863">
        <f>I102</f>
        <v>3000000</v>
      </c>
      <c r="K102" s="863">
        <v>0</v>
      </c>
      <c r="L102" s="863">
        <f>K102</f>
        <v>0</v>
      </c>
      <c r="M102" s="854">
        <f>G102+I102</f>
        <v>3000000</v>
      </c>
      <c r="N102" s="854">
        <f t="shared" si="20"/>
        <v>0</v>
      </c>
      <c r="O102" s="855">
        <f>N102/M102</f>
        <v>0</v>
      </c>
    </row>
    <row r="103" spans="1:15" s="825" customFormat="1" ht="148.5" customHeight="1" x14ac:dyDescent="0.2">
      <c r="A103" s="576" t="s">
        <v>486</v>
      </c>
      <c r="B103" s="577" t="s">
        <v>487</v>
      </c>
      <c r="C103" s="574" t="s">
        <v>204</v>
      </c>
      <c r="D103" s="578" t="s">
        <v>606</v>
      </c>
      <c r="E103" s="578" t="s">
        <v>590</v>
      </c>
      <c r="F103" s="578" t="s">
        <v>710</v>
      </c>
      <c r="G103" s="863">
        <v>0</v>
      </c>
      <c r="H103" s="854">
        <v>0</v>
      </c>
      <c r="I103" s="863">
        <v>173444</v>
      </c>
      <c r="J103" s="863">
        <f t="shared" si="19"/>
        <v>173444</v>
      </c>
      <c r="K103" s="863">
        <v>0</v>
      </c>
      <c r="L103" s="863">
        <f>K103</f>
        <v>0</v>
      </c>
      <c r="M103" s="854">
        <f t="shared" ref="M103:M120" si="21">G103+I103</f>
        <v>173444</v>
      </c>
      <c r="N103" s="854">
        <f t="shared" si="20"/>
        <v>0</v>
      </c>
      <c r="O103" s="855">
        <f t="shared" si="17"/>
        <v>0</v>
      </c>
    </row>
    <row r="104" spans="1:15" s="825" customFormat="1" ht="150.75" customHeight="1" x14ac:dyDescent="0.2">
      <c r="A104" s="576" t="s">
        <v>494</v>
      </c>
      <c r="B104" s="577" t="s">
        <v>495</v>
      </c>
      <c r="C104" s="577" t="s">
        <v>26</v>
      </c>
      <c r="D104" s="1070" t="s">
        <v>208</v>
      </c>
      <c r="E104" s="578" t="s">
        <v>591</v>
      </c>
      <c r="F104" s="597" t="s">
        <v>708</v>
      </c>
      <c r="G104" s="880">
        <v>0</v>
      </c>
      <c r="H104" s="863">
        <v>0</v>
      </c>
      <c r="I104" s="863">
        <v>16296000</v>
      </c>
      <c r="J104" s="863">
        <f t="shared" si="19"/>
        <v>16296000</v>
      </c>
      <c r="K104" s="863">
        <v>4195162.72</v>
      </c>
      <c r="L104" s="863">
        <f t="shared" ref="L104:L105" si="22">K104</f>
        <v>4195162.72</v>
      </c>
      <c r="M104" s="854">
        <f t="shared" si="21"/>
        <v>16296000</v>
      </c>
      <c r="N104" s="854">
        <f t="shared" si="20"/>
        <v>4195162.72</v>
      </c>
      <c r="O104" s="865">
        <f t="shared" si="4"/>
        <v>0.25743512027491405</v>
      </c>
    </row>
    <row r="105" spans="1:15" s="825" customFormat="1" ht="153" customHeight="1" x14ac:dyDescent="0.2">
      <c r="A105" s="576" t="s">
        <v>554</v>
      </c>
      <c r="B105" s="577" t="s">
        <v>125</v>
      </c>
      <c r="C105" s="1059" t="s">
        <v>26</v>
      </c>
      <c r="D105" s="597" t="s">
        <v>126</v>
      </c>
      <c r="E105" s="578" t="s">
        <v>591</v>
      </c>
      <c r="F105" s="597" t="s">
        <v>708</v>
      </c>
      <c r="G105" s="880">
        <v>0</v>
      </c>
      <c r="H105" s="863">
        <v>0</v>
      </c>
      <c r="I105" s="863">
        <v>198440</v>
      </c>
      <c r="J105" s="863">
        <f t="shared" si="19"/>
        <v>198440</v>
      </c>
      <c r="K105" s="863">
        <v>0</v>
      </c>
      <c r="L105" s="863">
        <f t="shared" si="22"/>
        <v>0</v>
      </c>
      <c r="M105" s="854">
        <f t="shared" si="21"/>
        <v>198440</v>
      </c>
      <c r="N105" s="854">
        <f t="shared" si="20"/>
        <v>0</v>
      </c>
      <c r="O105" s="865">
        <f t="shared" si="4"/>
        <v>0</v>
      </c>
    </row>
    <row r="106" spans="1:15" s="825" customFormat="1" ht="155.25" customHeight="1" x14ac:dyDescent="0.2">
      <c r="A106" s="576" t="s">
        <v>426</v>
      </c>
      <c r="B106" s="577" t="s">
        <v>25</v>
      </c>
      <c r="C106" s="1059" t="s">
        <v>26</v>
      </c>
      <c r="D106" s="597" t="s">
        <v>27</v>
      </c>
      <c r="E106" s="578" t="s">
        <v>591</v>
      </c>
      <c r="F106" s="597" t="s">
        <v>708</v>
      </c>
      <c r="G106" s="882">
        <v>0</v>
      </c>
      <c r="H106" s="863">
        <v>0</v>
      </c>
      <c r="I106" s="863">
        <v>1250370</v>
      </c>
      <c r="J106" s="863">
        <f t="shared" si="19"/>
        <v>1250370</v>
      </c>
      <c r="K106" s="863">
        <v>966004.54</v>
      </c>
      <c r="L106" s="854">
        <f>K106</f>
        <v>966004.54</v>
      </c>
      <c r="M106" s="854">
        <f t="shared" si="21"/>
        <v>1250370</v>
      </c>
      <c r="N106" s="854">
        <f t="shared" si="20"/>
        <v>966004.54</v>
      </c>
      <c r="O106" s="865">
        <f t="shared" si="4"/>
        <v>0.77257494981485486</v>
      </c>
    </row>
    <row r="107" spans="1:15" s="825" customFormat="1" ht="149.25" customHeight="1" x14ac:dyDescent="0.2">
      <c r="A107" s="576" t="s">
        <v>426</v>
      </c>
      <c r="B107" s="577" t="s">
        <v>25</v>
      </c>
      <c r="C107" s="1059" t="s">
        <v>26</v>
      </c>
      <c r="D107" s="597" t="s">
        <v>27</v>
      </c>
      <c r="E107" s="578" t="s">
        <v>589</v>
      </c>
      <c r="F107" s="856" t="s">
        <v>711</v>
      </c>
      <c r="G107" s="882">
        <v>0</v>
      </c>
      <c r="H107" s="863">
        <v>0</v>
      </c>
      <c r="I107" s="863">
        <v>251111</v>
      </c>
      <c r="J107" s="863">
        <f t="shared" si="19"/>
        <v>251111</v>
      </c>
      <c r="K107" s="863">
        <v>0</v>
      </c>
      <c r="L107" s="854">
        <v>0</v>
      </c>
      <c r="M107" s="854">
        <f t="shared" si="21"/>
        <v>251111</v>
      </c>
      <c r="N107" s="854">
        <f t="shared" si="20"/>
        <v>0</v>
      </c>
      <c r="O107" s="865">
        <f t="shared" si="4"/>
        <v>0</v>
      </c>
    </row>
    <row r="108" spans="1:15" s="825" customFormat="1" ht="150.75" customHeight="1" thickBot="1" x14ac:dyDescent="0.25">
      <c r="A108" s="903">
        <v>1517461</v>
      </c>
      <c r="B108" s="1042">
        <v>7461</v>
      </c>
      <c r="C108" s="1042" t="s">
        <v>130</v>
      </c>
      <c r="D108" s="606" t="s">
        <v>131</v>
      </c>
      <c r="E108" s="605" t="s">
        <v>591</v>
      </c>
      <c r="F108" s="606" t="s">
        <v>708</v>
      </c>
      <c r="G108" s="883">
        <v>0</v>
      </c>
      <c r="H108" s="875">
        <v>0</v>
      </c>
      <c r="I108" s="875">
        <v>7486779</v>
      </c>
      <c r="J108" s="875">
        <f t="shared" si="19"/>
        <v>7486779</v>
      </c>
      <c r="K108" s="875">
        <v>3684839.46</v>
      </c>
      <c r="L108" s="876">
        <f>K108</f>
        <v>3684839.46</v>
      </c>
      <c r="M108" s="876">
        <f t="shared" si="21"/>
        <v>7486779</v>
      </c>
      <c r="N108" s="876">
        <f t="shared" si="20"/>
        <v>3684839.46</v>
      </c>
      <c r="O108" s="877">
        <f t="shared" si="4"/>
        <v>0.49217954209680825</v>
      </c>
    </row>
    <row r="109" spans="1:15" s="825" customFormat="1" ht="92.25" customHeight="1" thickBot="1" x14ac:dyDescent="0.25">
      <c r="A109" s="583">
        <v>1600000</v>
      </c>
      <c r="B109" s="598" t="s">
        <v>14</v>
      </c>
      <c r="C109" s="598" t="s">
        <v>14</v>
      </c>
      <c r="D109" s="599" t="s">
        <v>180</v>
      </c>
      <c r="E109" s="599" t="s">
        <v>14</v>
      </c>
      <c r="F109" s="599" t="s">
        <v>14</v>
      </c>
      <c r="G109" s="884">
        <f>G110</f>
        <v>0</v>
      </c>
      <c r="H109" s="884">
        <f t="shared" ref="H109:L110" si="23">H110</f>
        <v>0</v>
      </c>
      <c r="I109" s="885">
        <f t="shared" si="23"/>
        <v>9099316</v>
      </c>
      <c r="J109" s="885">
        <f t="shared" si="23"/>
        <v>9099316</v>
      </c>
      <c r="K109" s="885">
        <f t="shared" si="23"/>
        <v>9099315.0199999996</v>
      </c>
      <c r="L109" s="885">
        <f t="shared" si="23"/>
        <v>9099315.0199999996</v>
      </c>
      <c r="M109" s="867">
        <f t="shared" si="21"/>
        <v>9099316</v>
      </c>
      <c r="N109" s="867">
        <f t="shared" si="20"/>
        <v>9099315.0199999996</v>
      </c>
      <c r="O109" s="869">
        <f t="shared" si="4"/>
        <v>0.99999989229959696</v>
      </c>
    </row>
    <row r="110" spans="1:15" s="825" customFormat="1" ht="99.75" customHeight="1" thickBot="1" x14ac:dyDescent="0.25">
      <c r="A110" s="602">
        <v>1610000</v>
      </c>
      <c r="B110" s="600" t="s">
        <v>14</v>
      </c>
      <c r="C110" s="600" t="s">
        <v>14</v>
      </c>
      <c r="D110" s="601" t="s">
        <v>180</v>
      </c>
      <c r="E110" s="601" t="s">
        <v>14</v>
      </c>
      <c r="F110" s="601" t="s">
        <v>14</v>
      </c>
      <c r="G110" s="886">
        <f>G111</f>
        <v>0</v>
      </c>
      <c r="H110" s="886">
        <f t="shared" si="23"/>
        <v>0</v>
      </c>
      <c r="I110" s="887">
        <f t="shared" si="23"/>
        <v>9099316</v>
      </c>
      <c r="J110" s="887">
        <f t="shared" si="23"/>
        <v>9099316</v>
      </c>
      <c r="K110" s="887">
        <f t="shared" si="23"/>
        <v>9099315.0199999996</v>
      </c>
      <c r="L110" s="887">
        <f t="shared" si="23"/>
        <v>9099315.0199999996</v>
      </c>
      <c r="M110" s="861">
        <f t="shared" si="21"/>
        <v>9099316</v>
      </c>
      <c r="N110" s="861">
        <f t="shared" si="20"/>
        <v>9099315.0199999996</v>
      </c>
      <c r="O110" s="870">
        <f t="shared" si="4"/>
        <v>0.99999989229959696</v>
      </c>
    </row>
    <row r="111" spans="1:15" s="825" customFormat="1" ht="166.5" customHeight="1" thickBot="1" x14ac:dyDescent="0.25">
      <c r="A111" s="858" t="s">
        <v>521</v>
      </c>
      <c r="B111" s="859" t="s">
        <v>522</v>
      </c>
      <c r="C111" s="859" t="s">
        <v>258</v>
      </c>
      <c r="D111" s="888" t="s">
        <v>523</v>
      </c>
      <c r="E111" s="607" t="s">
        <v>592</v>
      </c>
      <c r="F111" s="1062" t="s">
        <v>648</v>
      </c>
      <c r="G111" s="889">
        <v>0</v>
      </c>
      <c r="H111" s="890">
        <v>0</v>
      </c>
      <c r="I111" s="890">
        <v>9099316</v>
      </c>
      <c r="J111" s="890">
        <f>I111</f>
        <v>9099316</v>
      </c>
      <c r="K111" s="890">
        <v>9099315.0199999996</v>
      </c>
      <c r="L111" s="860">
        <f>K111</f>
        <v>9099315.0199999996</v>
      </c>
      <c r="M111" s="860">
        <f t="shared" si="21"/>
        <v>9099316</v>
      </c>
      <c r="N111" s="860">
        <f t="shared" si="20"/>
        <v>9099315.0199999996</v>
      </c>
      <c r="O111" s="871">
        <f t="shared" si="4"/>
        <v>0.99999989229959696</v>
      </c>
    </row>
    <row r="112" spans="1:15" s="825" customFormat="1" ht="73.5" customHeight="1" thickBot="1" x14ac:dyDescent="0.25">
      <c r="A112" s="891">
        <v>2700000</v>
      </c>
      <c r="B112" s="892"/>
      <c r="C112" s="892"/>
      <c r="D112" s="893" t="s">
        <v>184</v>
      </c>
      <c r="E112" s="599"/>
      <c r="F112" s="599"/>
      <c r="G112" s="885">
        <f>G113</f>
        <v>5543818</v>
      </c>
      <c r="H112" s="885">
        <f t="shared" ref="H112:K112" si="24">H113</f>
        <v>3731722</v>
      </c>
      <c r="I112" s="884">
        <f t="shared" si="24"/>
        <v>0</v>
      </c>
      <c r="J112" s="884">
        <f t="shared" si="24"/>
        <v>0</v>
      </c>
      <c r="K112" s="884">
        <f t="shared" si="24"/>
        <v>0</v>
      </c>
      <c r="L112" s="569">
        <f>K112</f>
        <v>0</v>
      </c>
      <c r="M112" s="569">
        <f t="shared" si="21"/>
        <v>5543818</v>
      </c>
      <c r="N112" s="569">
        <f t="shared" si="20"/>
        <v>3731722</v>
      </c>
      <c r="O112" s="869">
        <f t="shared" si="4"/>
        <v>0.67313212663186273</v>
      </c>
    </row>
    <row r="113" spans="1:256" s="825" customFormat="1" ht="81" customHeight="1" thickBot="1" x14ac:dyDescent="0.25">
      <c r="A113" s="894">
        <v>2710000</v>
      </c>
      <c r="B113" s="895"/>
      <c r="C113" s="895"/>
      <c r="D113" s="896" t="s">
        <v>184</v>
      </c>
      <c r="E113" s="897"/>
      <c r="F113" s="897"/>
      <c r="G113" s="887">
        <f>G114+G115</f>
        <v>5543818</v>
      </c>
      <c r="H113" s="887">
        <f t="shared" ref="H113:L113" si="25">H114+H115</f>
        <v>3731722</v>
      </c>
      <c r="I113" s="887">
        <f t="shared" si="25"/>
        <v>0</v>
      </c>
      <c r="J113" s="887">
        <f t="shared" si="25"/>
        <v>0</v>
      </c>
      <c r="K113" s="887">
        <f t="shared" si="25"/>
        <v>0</v>
      </c>
      <c r="L113" s="887">
        <f t="shared" si="25"/>
        <v>0</v>
      </c>
      <c r="M113" s="861">
        <f t="shared" si="21"/>
        <v>5543818</v>
      </c>
      <c r="N113" s="861">
        <f t="shared" si="20"/>
        <v>3731722</v>
      </c>
      <c r="O113" s="870">
        <f t="shared" si="4"/>
        <v>0.67313212663186273</v>
      </c>
    </row>
    <row r="114" spans="1:256" s="825" customFormat="1" ht="169.5" customHeight="1" x14ac:dyDescent="0.2">
      <c r="A114" s="581">
        <v>2717413</v>
      </c>
      <c r="B114" s="582">
        <v>7413</v>
      </c>
      <c r="C114" s="591" t="s">
        <v>211</v>
      </c>
      <c r="D114" s="575" t="s">
        <v>210</v>
      </c>
      <c r="E114" s="575" t="s">
        <v>209</v>
      </c>
      <c r="F114" s="851" t="s">
        <v>712</v>
      </c>
      <c r="G114" s="904">
        <v>5362968</v>
      </c>
      <c r="H114" s="904">
        <v>3550872</v>
      </c>
      <c r="I114" s="874">
        <v>0</v>
      </c>
      <c r="J114" s="874">
        <f>I114</f>
        <v>0</v>
      </c>
      <c r="K114" s="874">
        <v>0</v>
      </c>
      <c r="L114" s="852">
        <f>K114</f>
        <v>0</v>
      </c>
      <c r="M114" s="852">
        <f t="shared" si="21"/>
        <v>5362968</v>
      </c>
      <c r="N114" s="852">
        <f t="shared" si="20"/>
        <v>3550872</v>
      </c>
      <c r="O114" s="862">
        <f t="shared" si="4"/>
        <v>0.66210948862644714</v>
      </c>
    </row>
    <row r="115" spans="1:256" s="825" customFormat="1" ht="168" customHeight="1" thickBot="1" x14ac:dyDescent="0.25">
      <c r="A115" s="1061">
        <v>2717693</v>
      </c>
      <c r="B115" s="1057">
        <v>7693</v>
      </c>
      <c r="C115" s="603" t="s">
        <v>152</v>
      </c>
      <c r="D115" s="605" t="s">
        <v>509</v>
      </c>
      <c r="E115" s="605" t="s">
        <v>649</v>
      </c>
      <c r="F115" s="1073" t="s">
        <v>650</v>
      </c>
      <c r="G115" s="906">
        <v>180850</v>
      </c>
      <c r="H115" s="906">
        <v>180850</v>
      </c>
      <c r="I115" s="875">
        <v>0</v>
      </c>
      <c r="J115" s="875">
        <v>0</v>
      </c>
      <c r="K115" s="875">
        <v>0</v>
      </c>
      <c r="L115" s="876">
        <f>K115</f>
        <v>0</v>
      </c>
      <c r="M115" s="876">
        <f t="shared" si="21"/>
        <v>180850</v>
      </c>
      <c r="N115" s="876">
        <f t="shared" si="20"/>
        <v>180850</v>
      </c>
      <c r="O115" s="877">
        <f t="shared" si="4"/>
        <v>1</v>
      </c>
    </row>
    <row r="116" spans="1:256" s="825" customFormat="1" ht="72.75" customHeight="1" thickBot="1" x14ac:dyDescent="0.25">
      <c r="A116" s="583">
        <v>3100000</v>
      </c>
      <c r="B116" s="598"/>
      <c r="C116" s="898"/>
      <c r="D116" s="599" t="s">
        <v>449</v>
      </c>
      <c r="E116" s="599"/>
      <c r="F116" s="599"/>
      <c r="G116" s="885">
        <f>G117</f>
        <v>798472</v>
      </c>
      <c r="H116" s="885">
        <f>H117</f>
        <v>561166.16</v>
      </c>
      <c r="I116" s="885">
        <f t="shared" ref="I116:L116" si="26">I117</f>
        <v>0</v>
      </c>
      <c r="J116" s="885">
        <f t="shared" si="26"/>
        <v>0</v>
      </c>
      <c r="K116" s="885">
        <f t="shared" si="26"/>
        <v>0</v>
      </c>
      <c r="L116" s="885">
        <f t="shared" si="26"/>
        <v>0</v>
      </c>
      <c r="M116" s="569">
        <f t="shared" si="21"/>
        <v>798472</v>
      </c>
      <c r="N116" s="569">
        <f t="shared" si="20"/>
        <v>561166.16</v>
      </c>
      <c r="O116" s="869">
        <f t="shared" si="4"/>
        <v>0.70280004809185548</v>
      </c>
    </row>
    <row r="117" spans="1:256" s="825" customFormat="1" ht="72.75" customHeight="1" thickBot="1" x14ac:dyDescent="0.25">
      <c r="A117" s="899">
        <v>3110000</v>
      </c>
      <c r="B117" s="900"/>
      <c r="C117" s="901"/>
      <c r="D117" s="572" t="s">
        <v>593</v>
      </c>
      <c r="E117" s="902"/>
      <c r="F117" s="902"/>
      <c r="G117" s="887">
        <f>G118+G119+G120</f>
        <v>798472</v>
      </c>
      <c r="H117" s="887">
        <f t="shared" ref="H117:L117" si="27">H118+H119+H120</f>
        <v>561166.16</v>
      </c>
      <c r="I117" s="887">
        <f t="shared" si="27"/>
        <v>0</v>
      </c>
      <c r="J117" s="887">
        <f t="shared" si="27"/>
        <v>0</v>
      </c>
      <c r="K117" s="887">
        <f t="shared" si="27"/>
        <v>0</v>
      </c>
      <c r="L117" s="887">
        <f t="shared" si="27"/>
        <v>0</v>
      </c>
      <c r="M117" s="861">
        <f t="shared" si="21"/>
        <v>798472</v>
      </c>
      <c r="N117" s="861">
        <f t="shared" si="20"/>
        <v>561166.16</v>
      </c>
      <c r="O117" s="870">
        <f t="shared" si="4"/>
        <v>0.70280004809185548</v>
      </c>
    </row>
    <row r="118" spans="1:256" s="825" customFormat="1" ht="261" customHeight="1" x14ac:dyDescent="0.2">
      <c r="A118" s="878">
        <v>3117693</v>
      </c>
      <c r="B118" s="1043">
        <v>7693</v>
      </c>
      <c r="C118" s="879" t="s">
        <v>152</v>
      </c>
      <c r="D118" s="1051" t="s">
        <v>509</v>
      </c>
      <c r="E118" s="851" t="s">
        <v>199</v>
      </c>
      <c r="F118" s="1051" t="s">
        <v>651</v>
      </c>
      <c r="G118" s="904">
        <v>177000</v>
      </c>
      <c r="H118" s="904">
        <v>170000</v>
      </c>
      <c r="I118" s="874">
        <v>0</v>
      </c>
      <c r="J118" s="874">
        <v>0</v>
      </c>
      <c r="K118" s="874">
        <v>0</v>
      </c>
      <c r="L118" s="852">
        <f t="shared" ref="L118:L120" si="28">K118</f>
        <v>0</v>
      </c>
      <c r="M118" s="852">
        <f t="shared" si="21"/>
        <v>177000</v>
      </c>
      <c r="N118" s="852">
        <f t="shared" si="20"/>
        <v>170000</v>
      </c>
      <c r="O118" s="862">
        <f t="shared" si="4"/>
        <v>0.96045197740112997</v>
      </c>
    </row>
    <row r="119" spans="1:256" s="825" customFormat="1" ht="150" customHeight="1" x14ac:dyDescent="0.2">
      <c r="A119" s="1081">
        <v>3117693</v>
      </c>
      <c r="B119" s="596">
        <v>7693</v>
      </c>
      <c r="C119" s="1059" t="s">
        <v>152</v>
      </c>
      <c r="D119" s="597" t="s">
        <v>509</v>
      </c>
      <c r="E119" s="578" t="s">
        <v>591</v>
      </c>
      <c r="F119" s="597" t="s">
        <v>708</v>
      </c>
      <c r="G119" s="905">
        <v>500000</v>
      </c>
      <c r="H119" s="905">
        <v>330930.18</v>
      </c>
      <c r="I119" s="863">
        <v>0</v>
      </c>
      <c r="J119" s="863">
        <v>0</v>
      </c>
      <c r="K119" s="863">
        <v>0</v>
      </c>
      <c r="L119" s="854">
        <f t="shared" si="28"/>
        <v>0</v>
      </c>
      <c r="M119" s="854">
        <f t="shared" si="21"/>
        <v>500000</v>
      </c>
      <c r="N119" s="854">
        <f t="shared" si="20"/>
        <v>330930.18</v>
      </c>
      <c r="O119" s="865">
        <f t="shared" si="4"/>
        <v>0.66186036000000004</v>
      </c>
    </row>
    <row r="120" spans="1:256" s="825" customFormat="1" ht="150.75" customHeight="1" thickBot="1" x14ac:dyDescent="0.25">
      <c r="A120" s="903">
        <v>3118110</v>
      </c>
      <c r="B120" s="1042">
        <v>8110</v>
      </c>
      <c r="C120" s="881" t="s">
        <v>206</v>
      </c>
      <c r="D120" s="606" t="s">
        <v>207</v>
      </c>
      <c r="E120" s="605" t="s">
        <v>591</v>
      </c>
      <c r="F120" s="606" t="s">
        <v>708</v>
      </c>
      <c r="G120" s="906">
        <v>121472</v>
      </c>
      <c r="H120" s="906">
        <v>60235.98</v>
      </c>
      <c r="I120" s="875">
        <v>0</v>
      </c>
      <c r="J120" s="875">
        <v>0</v>
      </c>
      <c r="K120" s="875">
        <v>0</v>
      </c>
      <c r="L120" s="876">
        <f t="shared" si="28"/>
        <v>0</v>
      </c>
      <c r="M120" s="876">
        <f t="shared" si="21"/>
        <v>121472</v>
      </c>
      <c r="N120" s="876">
        <f t="shared" si="20"/>
        <v>60235.98</v>
      </c>
      <c r="O120" s="877">
        <f t="shared" si="4"/>
        <v>0.49588366043203375</v>
      </c>
    </row>
    <row r="121" spans="1:256" s="908" customFormat="1" ht="24" customHeight="1" thickBot="1" x14ac:dyDescent="0.25">
      <c r="A121" s="571" t="s">
        <v>188</v>
      </c>
      <c r="B121" s="844" t="s">
        <v>257</v>
      </c>
      <c r="C121" s="584" t="s">
        <v>257</v>
      </c>
      <c r="D121" s="584" t="s">
        <v>138</v>
      </c>
      <c r="E121" s="907" t="s">
        <v>257</v>
      </c>
      <c r="F121" s="907" t="s">
        <v>257</v>
      </c>
      <c r="G121" s="569">
        <f>G19+G41+G57+G67+G70+G84+G98+G112+G116</f>
        <v>261876523</v>
      </c>
      <c r="H121" s="569">
        <f>H19+H41+H57+H67+H70+H84+H98+H112+H116</f>
        <v>183744040.71000001</v>
      </c>
      <c r="I121" s="569">
        <f>I19+I41+I57+I67+I70+I84+I98+I109+I112+I116</f>
        <v>94640878</v>
      </c>
      <c r="J121" s="569">
        <f>J19+J41+J57+J67+J70+J84+J98+J109+J112+J116</f>
        <v>90680978</v>
      </c>
      <c r="K121" s="569">
        <f>K19+K41+K57+K67+K70+K84+K98+K109+K112+K116</f>
        <v>55850488.659999996</v>
      </c>
      <c r="L121" s="569">
        <f>L19+L41+L57+L67+L70+L84+L98+L109+L112+L116</f>
        <v>50081478.819999993</v>
      </c>
      <c r="M121" s="569">
        <f>G121+I121</f>
        <v>356517401</v>
      </c>
      <c r="N121" s="569">
        <f>H121+K121</f>
        <v>239594529.37</v>
      </c>
      <c r="O121" s="570">
        <f t="shared" si="4"/>
        <v>0.67204161339098289</v>
      </c>
    </row>
    <row r="122" spans="1:256" s="825" customFormat="1" ht="15" customHeight="1" x14ac:dyDescent="0.2">
      <c r="A122" s="909"/>
      <c r="B122" s="831"/>
      <c r="C122" s="910"/>
      <c r="D122" s="910"/>
      <c r="E122" s="832"/>
      <c r="F122" s="832"/>
      <c r="G122" s="1083"/>
      <c r="H122" s="1084"/>
      <c r="I122" s="911"/>
      <c r="J122" s="911"/>
      <c r="K122" s="912"/>
      <c r="L122" s="834"/>
      <c r="M122" s="834"/>
      <c r="N122" s="834"/>
      <c r="O122" s="835"/>
    </row>
    <row r="123" spans="1:256" s="917" customFormat="1" ht="49.5" customHeight="1" x14ac:dyDescent="0.3">
      <c r="A123" s="1278" t="s">
        <v>441</v>
      </c>
      <c r="B123" s="1278"/>
      <c r="C123" s="1278"/>
      <c r="D123" s="1278"/>
      <c r="E123" s="1039"/>
      <c r="F123" s="1039"/>
      <c r="H123" s="913"/>
      <c r="I123" s="1039"/>
      <c r="J123" s="1039" t="s">
        <v>413</v>
      </c>
      <c r="K123" s="1039"/>
      <c r="L123" s="833"/>
      <c r="M123" s="914"/>
      <c r="N123" s="1039"/>
      <c r="O123" s="1039"/>
      <c r="P123" s="915"/>
      <c r="Q123" s="916"/>
      <c r="R123" s="832"/>
      <c r="S123" s="832"/>
      <c r="T123" s="832"/>
      <c r="U123" s="832"/>
      <c r="V123" s="832"/>
      <c r="W123" s="832"/>
      <c r="X123" s="832"/>
      <c r="Y123" s="832"/>
      <c r="Z123" s="832"/>
      <c r="AA123" s="832"/>
      <c r="AB123" s="832"/>
      <c r="AC123" s="832"/>
      <c r="AD123" s="832"/>
      <c r="AE123" s="832"/>
      <c r="AF123" s="832"/>
      <c r="AG123" s="832"/>
      <c r="AH123" s="832"/>
      <c r="AI123" s="832"/>
      <c r="AJ123" s="832"/>
      <c r="AK123" s="832"/>
      <c r="AL123" s="832"/>
      <c r="AM123" s="832"/>
      <c r="AN123" s="832"/>
      <c r="AO123" s="832"/>
      <c r="AP123" s="832"/>
      <c r="AQ123" s="832"/>
      <c r="AR123" s="832"/>
      <c r="AS123" s="832"/>
      <c r="AT123" s="832"/>
      <c r="AU123" s="832"/>
      <c r="AV123" s="832"/>
      <c r="AW123" s="832"/>
      <c r="AX123" s="832"/>
      <c r="AY123" s="832"/>
      <c r="AZ123" s="832"/>
      <c r="BA123" s="832"/>
      <c r="BB123" s="832"/>
      <c r="BC123" s="832"/>
      <c r="BD123" s="832"/>
      <c r="BE123" s="832"/>
      <c r="BF123" s="832"/>
      <c r="BG123" s="832"/>
      <c r="BH123" s="832"/>
      <c r="BI123" s="832"/>
      <c r="BJ123" s="832"/>
      <c r="BK123" s="832"/>
      <c r="BL123" s="832"/>
      <c r="BM123" s="832"/>
      <c r="BN123" s="832"/>
      <c r="BO123" s="832"/>
      <c r="BP123" s="832"/>
      <c r="BQ123" s="832"/>
      <c r="BR123" s="832"/>
      <c r="BS123" s="832"/>
      <c r="BT123" s="832"/>
      <c r="BU123" s="832"/>
      <c r="BV123" s="832"/>
      <c r="BW123" s="832"/>
      <c r="BX123" s="832"/>
      <c r="BY123" s="832"/>
      <c r="BZ123" s="832"/>
      <c r="CA123" s="832"/>
      <c r="CB123" s="832"/>
      <c r="CC123" s="832"/>
      <c r="CD123" s="832"/>
      <c r="CE123" s="832"/>
      <c r="CF123" s="832"/>
      <c r="CG123" s="832"/>
      <c r="CH123" s="832"/>
      <c r="CI123" s="832"/>
      <c r="CJ123" s="832"/>
      <c r="CK123" s="832"/>
      <c r="CL123" s="832"/>
      <c r="CM123" s="832"/>
      <c r="CN123" s="832"/>
      <c r="CO123" s="832"/>
      <c r="CP123" s="832"/>
      <c r="CQ123" s="832"/>
      <c r="CR123" s="832"/>
      <c r="CS123" s="832"/>
      <c r="CT123" s="832"/>
      <c r="CU123" s="832"/>
      <c r="CV123" s="832"/>
      <c r="CW123" s="832"/>
      <c r="CX123" s="832"/>
      <c r="CY123" s="832"/>
      <c r="CZ123" s="832"/>
      <c r="DA123" s="832"/>
      <c r="DB123" s="832"/>
      <c r="DC123" s="832"/>
      <c r="DD123" s="832"/>
      <c r="DE123" s="832"/>
      <c r="DF123" s="832"/>
      <c r="DG123" s="832"/>
      <c r="DH123" s="832"/>
      <c r="DI123" s="832"/>
      <c r="DJ123" s="832"/>
      <c r="DK123" s="832"/>
      <c r="DL123" s="832"/>
      <c r="DM123" s="832"/>
      <c r="DN123" s="832"/>
      <c r="DO123" s="832"/>
      <c r="DP123" s="832"/>
      <c r="DQ123" s="832"/>
      <c r="DR123" s="832"/>
      <c r="DS123" s="832"/>
      <c r="DT123" s="832"/>
      <c r="DU123" s="832"/>
      <c r="DV123" s="832"/>
      <c r="DW123" s="832"/>
      <c r="DX123" s="832"/>
      <c r="DY123" s="832"/>
      <c r="DZ123" s="832"/>
      <c r="EA123" s="832"/>
      <c r="EB123" s="832"/>
      <c r="EC123" s="832"/>
      <c r="ED123" s="832"/>
      <c r="EE123" s="832"/>
      <c r="EF123" s="832"/>
      <c r="EG123" s="832"/>
      <c r="EH123" s="832"/>
      <c r="EI123" s="832"/>
      <c r="EJ123" s="832"/>
      <c r="EK123" s="832"/>
      <c r="EL123" s="832"/>
      <c r="EM123" s="832"/>
      <c r="EN123" s="832"/>
      <c r="EO123" s="832"/>
      <c r="EP123" s="832"/>
      <c r="EQ123" s="832"/>
      <c r="ER123" s="832"/>
      <c r="ES123" s="832"/>
      <c r="ET123" s="832"/>
      <c r="EU123" s="832"/>
      <c r="EV123" s="832"/>
      <c r="EW123" s="832"/>
      <c r="EX123" s="832"/>
      <c r="EY123" s="832"/>
      <c r="EZ123" s="832"/>
      <c r="FA123" s="832"/>
      <c r="FB123" s="832"/>
      <c r="FC123" s="832"/>
      <c r="FD123" s="832"/>
      <c r="FE123" s="832"/>
      <c r="FF123" s="832"/>
      <c r="FG123" s="832"/>
      <c r="FH123" s="832"/>
      <c r="FI123" s="832"/>
      <c r="FJ123" s="832"/>
      <c r="FK123" s="832"/>
      <c r="FL123" s="832"/>
      <c r="FM123" s="832"/>
      <c r="FN123" s="832"/>
      <c r="FO123" s="832"/>
      <c r="FP123" s="832"/>
      <c r="FQ123" s="832"/>
      <c r="FR123" s="832"/>
      <c r="FS123" s="832"/>
      <c r="FT123" s="832"/>
      <c r="FU123" s="832"/>
      <c r="FV123" s="832"/>
      <c r="FW123" s="832"/>
      <c r="FX123" s="832"/>
      <c r="FY123" s="832"/>
      <c r="FZ123" s="832"/>
      <c r="GA123" s="832"/>
      <c r="GB123" s="832"/>
      <c r="GC123" s="832"/>
      <c r="GD123" s="832"/>
      <c r="GE123" s="832"/>
      <c r="GF123" s="832"/>
      <c r="GG123" s="832"/>
      <c r="GH123" s="832"/>
      <c r="GI123" s="832"/>
      <c r="GJ123" s="832"/>
      <c r="GK123" s="832"/>
      <c r="GL123" s="832"/>
      <c r="GM123" s="832"/>
      <c r="GN123" s="832"/>
      <c r="GO123" s="832"/>
      <c r="GP123" s="832"/>
      <c r="GQ123" s="832"/>
      <c r="GR123" s="832"/>
      <c r="GS123" s="832"/>
      <c r="GT123" s="832"/>
      <c r="GU123" s="832"/>
      <c r="GV123" s="832"/>
      <c r="GW123" s="832"/>
      <c r="GX123" s="832"/>
      <c r="GY123" s="832"/>
      <c r="GZ123" s="832"/>
      <c r="HA123" s="832"/>
      <c r="HB123" s="832"/>
      <c r="HC123" s="832"/>
      <c r="HD123" s="832"/>
      <c r="HE123" s="832"/>
      <c r="HF123" s="832"/>
      <c r="HG123" s="832"/>
      <c r="HH123" s="832"/>
      <c r="HI123" s="832"/>
      <c r="HJ123" s="832"/>
      <c r="HK123" s="832"/>
      <c r="HL123" s="832"/>
      <c r="HM123" s="832"/>
      <c r="HN123" s="832"/>
      <c r="HO123" s="832"/>
      <c r="HP123" s="832"/>
      <c r="HQ123" s="832"/>
      <c r="HR123" s="832"/>
      <c r="HS123" s="832"/>
      <c r="HT123" s="832"/>
      <c r="HU123" s="832"/>
      <c r="HV123" s="832"/>
      <c r="HW123" s="832"/>
      <c r="HX123" s="832"/>
      <c r="HY123" s="832"/>
      <c r="HZ123" s="832"/>
      <c r="IA123" s="832"/>
      <c r="IB123" s="832"/>
      <c r="IC123" s="832"/>
      <c r="ID123" s="832"/>
      <c r="IE123" s="832"/>
      <c r="IF123" s="832"/>
      <c r="IG123" s="832"/>
      <c r="IH123" s="832"/>
      <c r="II123" s="832"/>
      <c r="IJ123" s="832"/>
      <c r="IK123" s="832"/>
      <c r="IL123" s="832"/>
      <c r="IM123" s="832"/>
      <c r="IN123" s="832"/>
      <c r="IO123" s="832"/>
      <c r="IP123" s="832"/>
      <c r="IQ123" s="832"/>
      <c r="IR123" s="832"/>
      <c r="IS123" s="832"/>
      <c r="IT123" s="832"/>
      <c r="IU123" s="832"/>
      <c r="IV123" s="832"/>
    </row>
    <row r="124" spans="1:256" s="825" customFormat="1" ht="33" customHeight="1" x14ac:dyDescent="0.3">
      <c r="C124" s="918"/>
      <c r="D124" s="919"/>
      <c r="E124" s="1039"/>
      <c r="F124" s="1039"/>
      <c r="H124" s="1039"/>
      <c r="I124" s="837"/>
      <c r="J124" s="920"/>
      <c r="K124" s="920"/>
      <c r="L124" s="921"/>
      <c r="M124" s="921"/>
      <c r="N124" s="826"/>
      <c r="O124" s="922"/>
    </row>
    <row r="125" spans="1:256" s="825" customFormat="1" ht="33" customHeight="1" x14ac:dyDescent="0.3">
      <c r="C125" s="918"/>
      <c r="D125" s="919"/>
      <c r="E125" s="1039"/>
      <c r="F125" s="1039"/>
      <c r="H125" s="920"/>
      <c r="I125" s="837"/>
      <c r="J125" s="920"/>
      <c r="K125" s="920"/>
      <c r="L125" s="921"/>
      <c r="M125" s="921"/>
      <c r="N125" s="826"/>
      <c r="O125" s="922"/>
    </row>
    <row r="126" spans="1:256" s="825" customFormat="1" x14ac:dyDescent="0.2">
      <c r="C126" s="923"/>
      <c r="G126" s="924"/>
      <c r="H126" s="837"/>
      <c r="I126" s="924"/>
      <c r="J126" s="924"/>
      <c r="K126" s="925"/>
      <c r="L126" s="924"/>
      <c r="M126" s="924"/>
      <c r="N126" s="926"/>
      <c r="O126" s="922"/>
    </row>
    <row r="127" spans="1:256" x14ac:dyDescent="0.2">
      <c r="A127" s="825"/>
      <c r="H127" s="837"/>
    </row>
    <row r="128" spans="1:256" x14ac:dyDescent="0.2">
      <c r="A128" s="825"/>
      <c r="G128" s="927"/>
      <c r="H128" s="837"/>
      <c r="I128" s="927"/>
      <c r="J128" s="927"/>
      <c r="K128" s="927"/>
      <c r="L128" s="927"/>
      <c r="N128" s="927"/>
    </row>
    <row r="129" spans="7:9" x14ac:dyDescent="0.2">
      <c r="H129" s="924"/>
    </row>
    <row r="130" spans="7:9" x14ac:dyDescent="0.2">
      <c r="G130" s="924"/>
      <c r="I130" s="928"/>
    </row>
    <row r="131" spans="7:9" x14ac:dyDescent="0.2">
      <c r="H131" s="927"/>
      <c r="I131" s="928"/>
    </row>
  </sheetData>
  <mergeCells count="18">
    <mergeCell ref="L1:M6"/>
    <mergeCell ref="L7:O7"/>
    <mergeCell ref="L9:O9"/>
    <mergeCell ref="L10:O10"/>
    <mergeCell ref="I16:L16"/>
    <mergeCell ref="M16:O16"/>
    <mergeCell ref="L8:N8"/>
    <mergeCell ref="A123:D123"/>
    <mergeCell ref="G11:I11"/>
    <mergeCell ref="A14:C14"/>
    <mergeCell ref="A15:C15"/>
    <mergeCell ref="A16:A17"/>
    <mergeCell ref="B16:B17"/>
    <mergeCell ref="C16:C17"/>
    <mergeCell ref="D16:D17"/>
    <mergeCell ref="E16:E17"/>
    <mergeCell ref="F16:F17"/>
    <mergeCell ref="G16:H16"/>
  </mergeCells>
  <hyperlinks>
    <hyperlink ref="D50" r:id="rId1" location="n8" display="https://zakon.rada.gov.ua/rada/show/988-2016-%D1%80 - n8" xr:uid="{00000000-0004-0000-0600-000000000000}"/>
    <hyperlink ref="D51" r:id="rId2" location="n8" display="https://zakon.rada.gov.ua/rada/show/988-2016-%D1%80 - n8" xr:uid="{00000000-0004-0000-0600-000001000000}"/>
  </hyperlinks>
  <pageMargins left="0.78740157480314965" right="0.78740157480314965" top="1.1811023622047245" bottom="0.39370078740157483" header="0.31496062992125984" footer="0.31496062992125984"/>
  <pageSetup paperSize="9" scale="58"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L103"/>
  <sheetViews>
    <sheetView view="pageBreakPreview" topLeftCell="A91" zoomScale="60" zoomScaleNormal="100" workbookViewId="0">
      <selection activeCell="U98" sqref="U98"/>
    </sheetView>
  </sheetViews>
  <sheetFormatPr defaultColWidth="9.28515625" defaultRowHeight="15" x14ac:dyDescent="0.25"/>
  <cols>
    <col min="1" max="1" width="14.5703125" style="62" customWidth="1"/>
    <col min="2" max="2" width="15.140625" style="63" customWidth="1"/>
    <col min="3" max="3" width="15.85546875" style="64" customWidth="1"/>
    <col min="4" max="4" width="51.42578125" style="65" customWidth="1"/>
    <col min="5" max="5" width="60.140625" style="66" customWidth="1"/>
    <col min="6" max="6" width="15.28515625" style="64" customWidth="1"/>
    <col min="7" max="7" width="18" style="120" customWidth="1"/>
    <col min="8" max="8" width="22.28515625" style="120" customWidth="1"/>
    <col min="9" max="9" width="13.85546875" style="120" customWidth="1"/>
    <col min="10" max="11" width="28.140625" style="68" customWidth="1"/>
    <col min="12" max="12" width="13.85546875" style="68" customWidth="1"/>
    <col min="13" max="16384" width="9.28515625" style="62"/>
  </cols>
  <sheetData>
    <row r="1" spans="1:12" ht="15.75" x14ac:dyDescent="0.25">
      <c r="J1" s="963" t="s">
        <v>399</v>
      </c>
      <c r="K1" s="4"/>
    </row>
    <row r="2" spans="1:12" ht="15.75" x14ac:dyDescent="0.25">
      <c r="J2" s="963" t="s">
        <v>654</v>
      </c>
      <c r="K2" s="4"/>
    </row>
    <row r="3" spans="1:12" ht="15.75" x14ac:dyDescent="0.25">
      <c r="J3" s="965" t="s">
        <v>655</v>
      </c>
      <c r="K3" s="565"/>
    </row>
    <row r="4" spans="1:12" ht="15.75" x14ac:dyDescent="0.25">
      <c r="J4" s="6" t="s">
        <v>656</v>
      </c>
      <c r="K4" s="565"/>
    </row>
    <row r="5" spans="1:12" ht="15.75" x14ac:dyDescent="0.25">
      <c r="I5" s="1137"/>
      <c r="J5" s="1137"/>
      <c r="K5" s="963"/>
    </row>
    <row r="6" spans="1:12" ht="15.75" x14ac:dyDescent="0.25">
      <c r="G6" s="66"/>
      <c r="H6" s="66"/>
      <c r="I6" s="67"/>
      <c r="L6" s="62"/>
    </row>
    <row r="7" spans="1:12" ht="15.75" x14ac:dyDescent="0.25">
      <c r="G7" s="66"/>
      <c r="H7" s="66"/>
      <c r="I7" s="67"/>
      <c r="L7" s="62"/>
    </row>
    <row r="8" spans="1:12" ht="15.75" x14ac:dyDescent="0.25">
      <c r="G8" s="66"/>
      <c r="H8" s="66"/>
      <c r="I8" s="121"/>
      <c r="L8" s="62"/>
    </row>
    <row r="9" spans="1:12" ht="20.25" customHeight="1" x14ac:dyDescent="0.25">
      <c r="A9" s="1344" t="s">
        <v>657</v>
      </c>
      <c r="B9" s="1344"/>
      <c r="C9" s="1344"/>
      <c r="D9" s="1344"/>
      <c r="E9" s="1344"/>
      <c r="F9" s="1344"/>
      <c r="G9" s="1344"/>
      <c r="H9" s="1344"/>
      <c r="I9" s="1344"/>
      <c r="J9" s="1344"/>
      <c r="K9" s="1344"/>
      <c r="L9" s="1344"/>
    </row>
    <row r="10" spans="1:12" ht="18.75" x14ac:dyDescent="0.25">
      <c r="A10" s="1264">
        <v>1559100000</v>
      </c>
      <c r="B10" s="1264"/>
      <c r="C10" s="1264"/>
      <c r="D10" s="1265"/>
      <c r="E10" s="1265"/>
      <c r="F10" s="1265"/>
      <c r="G10" s="1265"/>
      <c r="H10" s="1265"/>
      <c r="I10" s="1265"/>
      <c r="J10" s="1265"/>
      <c r="K10" s="1265"/>
      <c r="L10" s="1265"/>
    </row>
    <row r="11" spans="1:12" ht="19.5" customHeight="1" thickBot="1" x14ac:dyDescent="0.3">
      <c r="A11" s="1269" t="s">
        <v>0</v>
      </c>
      <c r="B11" s="1269"/>
      <c r="C11" s="1269"/>
      <c r="D11" s="984"/>
      <c r="E11" s="984"/>
      <c r="F11" s="70"/>
      <c r="G11" s="984"/>
      <c r="H11" s="984"/>
      <c r="I11" s="984"/>
      <c r="J11" s="984"/>
      <c r="K11" s="984"/>
      <c r="L11" s="71" t="s">
        <v>235</v>
      </c>
    </row>
    <row r="12" spans="1:12" ht="15" customHeight="1" x14ac:dyDescent="0.25">
      <c r="A12" s="1270" t="s">
        <v>8</v>
      </c>
      <c r="B12" s="1267" t="s">
        <v>9</v>
      </c>
      <c r="C12" s="1272" t="s">
        <v>236</v>
      </c>
      <c r="D12" s="1267" t="s">
        <v>237</v>
      </c>
      <c r="E12" s="1272" t="s">
        <v>460</v>
      </c>
      <c r="F12" s="1267" t="s">
        <v>238</v>
      </c>
      <c r="G12" s="1272" t="s">
        <v>239</v>
      </c>
      <c r="H12" s="1274" t="s">
        <v>240</v>
      </c>
      <c r="I12" s="1267" t="s">
        <v>241</v>
      </c>
      <c r="J12" s="1274" t="s">
        <v>242</v>
      </c>
      <c r="K12" s="1342" t="s">
        <v>658</v>
      </c>
      <c r="L12" s="1276" t="s">
        <v>243</v>
      </c>
    </row>
    <row r="13" spans="1:12" ht="156" customHeight="1" thickBot="1" x14ac:dyDescent="0.3">
      <c r="A13" s="1271"/>
      <c r="B13" s="1268"/>
      <c r="C13" s="1273"/>
      <c r="D13" s="1268"/>
      <c r="E13" s="1273"/>
      <c r="F13" s="1268"/>
      <c r="G13" s="1273"/>
      <c r="H13" s="1275"/>
      <c r="I13" s="1268"/>
      <c r="J13" s="1275"/>
      <c r="K13" s="1343"/>
      <c r="L13" s="1277"/>
    </row>
    <row r="14" spans="1:12" ht="16.5" thickBot="1" x14ac:dyDescent="0.3">
      <c r="A14" s="396" t="s">
        <v>244</v>
      </c>
      <c r="B14" s="72" t="s">
        <v>245</v>
      </c>
      <c r="C14" s="397" t="s">
        <v>246</v>
      </c>
      <c r="D14" s="72" t="s">
        <v>402</v>
      </c>
      <c r="E14" s="72" t="s">
        <v>247</v>
      </c>
      <c r="F14" s="72" t="s">
        <v>248</v>
      </c>
      <c r="G14" s="72" t="s">
        <v>249</v>
      </c>
      <c r="H14" s="397" t="s">
        <v>250</v>
      </c>
      <c r="I14" s="397" t="s">
        <v>251</v>
      </c>
      <c r="J14" s="398">
        <v>10</v>
      </c>
      <c r="K14" s="399">
        <v>11</v>
      </c>
      <c r="L14" s="400">
        <v>12</v>
      </c>
    </row>
    <row r="15" spans="1:12" ht="57" thickBot="1" x14ac:dyDescent="0.3">
      <c r="A15" s="401" t="s">
        <v>13</v>
      </c>
      <c r="B15" s="402"/>
      <c r="C15" s="403"/>
      <c r="D15" s="750" t="s">
        <v>461</v>
      </c>
      <c r="E15" s="74"/>
      <c r="F15" s="75"/>
      <c r="G15" s="404"/>
      <c r="H15" s="405"/>
      <c r="I15" s="405"/>
      <c r="J15" s="406">
        <f>J16</f>
        <v>20391257</v>
      </c>
      <c r="K15" s="406">
        <f>K16</f>
        <v>13087179.6</v>
      </c>
      <c r="L15" s="407"/>
    </row>
    <row r="16" spans="1:12" ht="56.25" x14ac:dyDescent="0.25">
      <c r="A16" s="408" t="s">
        <v>15</v>
      </c>
      <c r="B16" s="409"/>
      <c r="C16" s="409"/>
      <c r="D16" s="562" t="s">
        <v>453</v>
      </c>
      <c r="E16" s="410"/>
      <c r="F16" s="411"/>
      <c r="G16" s="412"/>
      <c r="H16" s="413"/>
      <c r="I16" s="413"/>
      <c r="J16" s="414">
        <f>SUM(J17:J23)</f>
        <v>20391257</v>
      </c>
      <c r="K16" s="414">
        <f>SUM(K17:K23)</f>
        <v>13087179.6</v>
      </c>
      <c r="L16" s="415"/>
    </row>
    <row r="17" spans="1:12" ht="40.5" x14ac:dyDescent="0.25">
      <c r="A17" s="416" t="s">
        <v>17</v>
      </c>
      <c r="B17" s="417" t="s">
        <v>18</v>
      </c>
      <c r="C17" s="417" t="s">
        <v>19</v>
      </c>
      <c r="D17" s="418" t="s">
        <v>20</v>
      </c>
      <c r="E17" s="419" t="s">
        <v>462</v>
      </c>
      <c r="F17" s="79"/>
      <c r="G17" s="80"/>
      <c r="H17" s="80"/>
      <c r="I17" s="80"/>
      <c r="J17" s="81">
        <v>1548687</v>
      </c>
      <c r="K17" s="420"/>
      <c r="L17" s="82"/>
    </row>
    <row r="18" spans="1:12" ht="56.25" x14ac:dyDescent="0.25">
      <c r="A18" s="416" t="s">
        <v>21</v>
      </c>
      <c r="B18" s="417" t="s">
        <v>22</v>
      </c>
      <c r="C18" s="85" t="s">
        <v>23</v>
      </c>
      <c r="D18" s="421" t="s">
        <v>24</v>
      </c>
      <c r="E18" s="419" t="s">
        <v>462</v>
      </c>
      <c r="F18" s="79"/>
      <c r="G18" s="80"/>
      <c r="H18" s="80"/>
      <c r="I18" s="80"/>
      <c r="J18" s="81">
        <f>173298</f>
        <v>173298</v>
      </c>
      <c r="K18" s="420">
        <v>147302</v>
      </c>
      <c r="L18" s="82"/>
    </row>
    <row r="19" spans="1:12" ht="40.5" x14ac:dyDescent="0.25">
      <c r="A19" s="416" t="s">
        <v>28</v>
      </c>
      <c r="B19" s="417" t="s">
        <v>29</v>
      </c>
      <c r="C19" s="85" t="s">
        <v>30</v>
      </c>
      <c r="D19" s="421" t="s">
        <v>628</v>
      </c>
      <c r="E19" s="78" t="s">
        <v>252</v>
      </c>
      <c r="F19" s="79"/>
      <c r="G19" s="80"/>
      <c r="H19" s="80"/>
      <c r="I19" s="80"/>
      <c r="J19" s="81">
        <v>657194</v>
      </c>
      <c r="K19" s="420"/>
      <c r="L19" s="82"/>
    </row>
    <row r="20" spans="1:12" ht="60.75" x14ac:dyDescent="0.25">
      <c r="A20" s="416" t="s">
        <v>215</v>
      </c>
      <c r="B20" s="85">
        <v>7650</v>
      </c>
      <c r="C20" s="85" t="s">
        <v>152</v>
      </c>
      <c r="D20" s="421" t="s">
        <v>216</v>
      </c>
      <c r="E20" s="78" t="s">
        <v>253</v>
      </c>
      <c r="F20" s="79"/>
      <c r="G20" s="80"/>
      <c r="H20" s="80"/>
      <c r="I20" s="80"/>
      <c r="J20" s="81">
        <v>57000</v>
      </c>
      <c r="K20" s="420"/>
      <c r="L20" s="82"/>
    </row>
    <row r="21" spans="1:12" ht="93.75" x14ac:dyDescent="0.25">
      <c r="A21" s="395" t="s">
        <v>217</v>
      </c>
      <c r="B21" s="85" t="s">
        <v>218</v>
      </c>
      <c r="C21" s="85" t="s">
        <v>152</v>
      </c>
      <c r="D21" s="421" t="s">
        <v>219</v>
      </c>
      <c r="E21" s="78" t="s">
        <v>253</v>
      </c>
      <c r="F21" s="79"/>
      <c r="G21" s="80"/>
      <c r="H21" s="80"/>
      <c r="I21" s="80"/>
      <c r="J21" s="81">
        <v>15200</v>
      </c>
      <c r="K21" s="420"/>
      <c r="L21" s="82"/>
    </row>
    <row r="22" spans="1:12" ht="40.5" x14ac:dyDescent="0.25">
      <c r="A22" s="395" t="s">
        <v>463</v>
      </c>
      <c r="B22" s="85" t="s">
        <v>464</v>
      </c>
      <c r="C22" s="85" t="s">
        <v>34</v>
      </c>
      <c r="D22" s="421" t="s">
        <v>465</v>
      </c>
      <c r="E22" s="78" t="s">
        <v>252</v>
      </c>
      <c r="F22" s="79"/>
      <c r="G22" s="80"/>
      <c r="H22" s="80"/>
      <c r="I22" s="80"/>
      <c r="J22" s="81">
        <f>400444-216846</f>
        <v>183598</v>
      </c>
      <c r="K22" s="420">
        <v>183597.6</v>
      </c>
      <c r="L22" s="82"/>
    </row>
    <row r="23" spans="1:12" ht="75.75" thickBot="1" x14ac:dyDescent="0.3">
      <c r="A23" s="751" t="s">
        <v>629</v>
      </c>
      <c r="B23" s="432" t="s">
        <v>630</v>
      </c>
      <c r="C23" s="721" t="s">
        <v>197</v>
      </c>
      <c r="D23" s="421" t="s">
        <v>622</v>
      </c>
      <c r="E23" s="434" t="s">
        <v>631</v>
      </c>
      <c r="F23" s="722"/>
      <c r="G23" s="435"/>
      <c r="H23" s="435"/>
      <c r="I23" s="435"/>
      <c r="J23" s="470">
        <f>4560280+13196000</f>
        <v>17756280</v>
      </c>
      <c r="K23" s="471">
        <f>4560280+1345600+182400+668000+3000000+3000000</f>
        <v>12756280</v>
      </c>
      <c r="L23" s="438"/>
    </row>
    <row r="24" spans="1:12" ht="57" thickBot="1" x14ac:dyDescent="0.3">
      <c r="A24" s="439" t="s">
        <v>40</v>
      </c>
      <c r="B24" s="440"/>
      <c r="C24" s="440"/>
      <c r="D24" s="752" t="s">
        <v>466</v>
      </c>
      <c r="E24" s="441"/>
      <c r="F24" s="442"/>
      <c r="G24" s="443"/>
      <c r="H24" s="443"/>
      <c r="I24" s="443"/>
      <c r="J24" s="422">
        <f>J25</f>
        <v>4697031</v>
      </c>
      <c r="K24" s="422">
        <f>K25</f>
        <v>2607405</v>
      </c>
      <c r="L24" s="444"/>
    </row>
    <row r="25" spans="1:12" ht="37.5" x14ac:dyDescent="0.25">
      <c r="A25" s="463" t="s">
        <v>40</v>
      </c>
      <c r="B25" s="446"/>
      <c r="C25" s="446"/>
      <c r="D25" s="753" t="s">
        <v>466</v>
      </c>
      <c r="E25" s="447"/>
      <c r="F25" s="448"/>
      <c r="G25" s="449"/>
      <c r="H25" s="449"/>
      <c r="I25" s="449"/>
      <c r="J25" s="427">
        <f>J26+J28+J29+J30+J27</f>
        <v>4697031</v>
      </c>
      <c r="K25" s="427">
        <f>K26+K28+K29+K30+K27</f>
        <v>2607405</v>
      </c>
      <c r="L25" s="459"/>
    </row>
    <row r="26" spans="1:12" ht="40.5" x14ac:dyDescent="0.25">
      <c r="A26" s="83" t="s">
        <v>43</v>
      </c>
      <c r="B26" s="84" t="s">
        <v>44</v>
      </c>
      <c r="C26" s="84" t="s">
        <v>45</v>
      </c>
      <c r="D26" s="754" t="s">
        <v>46</v>
      </c>
      <c r="E26" s="985" t="s">
        <v>252</v>
      </c>
      <c r="F26" s="448"/>
      <c r="G26" s="449"/>
      <c r="H26" s="449"/>
      <c r="I26" s="449"/>
      <c r="J26" s="986">
        <v>61425</v>
      </c>
      <c r="K26" s="987">
        <v>61425</v>
      </c>
      <c r="L26" s="459"/>
    </row>
    <row r="27" spans="1:12" ht="56.25" x14ac:dyDescent="0.25">
      <c r="A27" s="395" t="s">
        <v>47</v>
      </c>
      <c r="B27" s="84">
        <v>1021</v>
      </c>
      <c r="C27" s="84">
        <v>921</v>
      </c>
      <c r="D27" s="988" t="s">
        <v>478</v>
      </c>
      <c r="E27" s="985" t="s">
        <v>252</v>
      </c>
      <c r="F27" s="448"/>
      <c r="G27" s="449"/>
      <c r="H27" s="449"/>
      <c r="I27" s="449"/>
      <c r="J27" s="986">
        <v>703463</v>
      </c>
      <c r="K27" s="987">
        <v>545980</v>
      </c>
      <c r="L27" s="459"/>
    </row>
    <row r="28" spans="1:12" ht="150" x14ac:dyDescent="0.25">
      <c r="A28" s="395" t="s">
        <v>467</v>
      </c>
      <c r="B28" s="85" t="s">
        <v>468</v>
      </c>
      <c r="C28" s="85" t="s">
        <v>55</v>
      </c>
      <c r="D28" s="568" t="s">
        <v>469</v>
      </c>
      <c r="E28" s="985" t="s">
        <v>252</v>
      </c>
      <c r="F28" s="79"/>
      <c r="G28" s="80"/>
      <c r="H28" s="80"/>
      <c r="I28" s="80"/>
      <c r="J28" s="81">
        <v>579643</v>
      </c>
      <c r="K28" s="420"/>
      <c r="L28" s="82"/>
    </row>
    <row r="29" spans="1:12" ht="131.25" x14ac:dyDescent="0.25">
      <c r="A29" s="395" t="s">
        <v>470</v>
      </c>
      <c r="B29" s="85" t="s">
        <v>471</v>
      </c>
      <c r="C29" s="85" t="s">
        <v>55</v>
      </c>
      <c r="D29" s="568" t="s">
        <v>472</v>
      </c>
      <c r="E29" s="985" t="s">
        <v>252</v>
      </c>
      <c r="F29" s="79"/>
      <c r="G29" s="80"/>
      <c r="H29" s="80"/>
      <c r="I29" s="80"/>
      <c r="J29" s="81">
        <v>1352500</v>
      </c>
      <c r="K29" s="420"/>
      <c r="L29" s="82"/>
    </row>
    <row r="30" spans="1:12" ht="41.25" thickBot="1" x14ac:dyDescent="0.3">
      <c r="A30" s="755" t="s">
        <v>625</v>
      </c>
      <c r="B30" s="724">
        <v>9750</v>
      </c>
      <c r="C30" s="721" t="s">
        <v>197</v>
      </c>
      <c r="D30" s="756" t="s">
        <v>626</v>
      </c>
      <c r="E30" s="434" t="s">
        <v>631</v>
      </c>
      <c r="F30" s="722"/>
      <c r="G30" s="435"/>
      <c r="H30" s="435"/>
      <c r="I30" s="435"/>
      <c r="J30" s="436">
        <v>2000000</v>
      </c>
      <c r="K30" s="437">
        <v>2000000</v>
      </c>
      <c r="L30" s="438"/>
    </row>
    <row r="31" spans="1:12" ht="57" thickBot="1" x14ac:dyDescent="0.3">
      <c r="A31" s="450" t="s">
        <v>66</v>
      </c>
      <c r="B31" s="451" t="s">
        <v>14</v>
      </c>
      <c r="C31" s="451" t="s">
        <v>14</v>
      </c>
      <c r="D31" s="757" t="s">
        <v>445</v>
      </c>
      <c r="E31" s="441"/>
      <c r="F31" s="442"/>
      <c r="G31" s="443"/>
      <c r="H31" s="443"/>
      <c r="I31" s="443"/>
      <c r="J31" s="422">
        <f>J32</f>
        <v>392800</v>
      </c>
      <c r="K31" s="422">
        <f>K32</f>
        <v>46000</v>
      </c>
      <c r="L31" s="444"/>
    </row>
    <row r="32" spans="1:12" ht="56.25" x14ac:dyDescent="0.25">
      <c r="A32" s="452" t="s">
        <v>67</v>
      </c>
      <c r="B32" s="423" t="s">
        <v>14</v>
      </c>
      <c r="C32" s="423" t="s">
        <v>14</v>
      </c>
      <c r="D32" s="424" t="s">
        <v>445</v>
      </c>
      <c r="E32" s="453"/>
      <c r="F32" s="723"/>
      <c r="G32" s="454"/>
      <c r="H32" s="454"/>
      <c r="I32" s="454"/>
      <c r="J32" s="427">
        <f>J34+J35</f>
        <v>392800</v>
      </c>
      <c r="K32" s="427">
        <f>K34+K35</f>
        <v>46000</v>
      </c>
      <c r="L32" s="455"/>
    </row>
    <row r="33" spans="1:12" ht="56.25" x14ac:dyDescent="0.25">
      <c r="A33" s="83" t="s">
        <v>162</v>
      </c>
      <c r="B33" s="84" t="s">
        <v>42</v>
      </c>
      <c r="C33" s="84" t="s">
        <v>16</v>
      </c>
      <c r="D33" s="421" t="s">
        <v>156</v>
      </c>
      <c r="E33" s="78" t="s">
        <v>252</v>
      </c>
      <c r="F33" s="79"/>
      <c r="G33" s="80"/>
      <c r="H33" s="80"/>
      <c r="I33" s="80"/>
      <c r="J33" s="81"/>
      <c r="K33" s="420"/>
      <c r="L33" s="82"/>
    </row>
    <row r="34" spans="1:12" ht="40.5" x14ac:dyDescent="0.25">
      <c r="A34" s="86" t="s">
        <v>163</v>
      </c>
      <c r="B34" s="87" t="s">
        <v>164</v>
      </c>
      <c r="C34" s="87" t="s">
        <v>44</v>
      </c>
      <c r="D34" s="433" t="s">
        <v>165</v>
      </c>
      <c r="E34" s="456" t="s">
        <v>252</v>
      </c>
      <c r="F34" s="722"/>
      <c r="G34" s="435"/>
      <c r="H34" s="435"/>
      <c r="I34" s="435"/>
      <c r="J34" s="436">
        <f>58000+254000</f>
        <v>312000</v>
      </c>
      <c r="K34" s="471"/>
      <c r="L34" s="438"/>
    </row>
    <row r="35" spans="1:12" ht="75.75" thickBot="1" x14ac:dyDescent="0.3">
      <c r="A35" s="982" t="s">
        <v>169</v>
      </c>
      <c r="B35" s="87">
        <v>3241</v>
      </c>
      <c r="C35" s="87">
        <v>1090</v>
      </c>
      <c r="D35" s="433" t="s">
        <v>473</v>
      </c>
      <c r="E35" s="456" t="s">
        <v>252</v>
      </c>
      <c r="F35" s="721"/>
      <c r="G35" s="428"/>
      <c r="H35" s="428"/>
      <c r="I35" s="428"/>
      <c r="J35" s="429">
        <f>34800+46000</f>
        <v>80800</v>
      </c>
      <c r="K35" s="430">
        <v>46000</v>
      </c>
      <c r="L35" s="431"/>
    </row>
    <row r="36" spans="1:12" ht="57" thickBot="1" x14ac:dyDescent="0.3">
      <c r="A36" s="457" t="s">
        <v>76</v>
      </c>
      <c r="B36" s="451" t="s">
        <v>14</v>
      </c>
      <c r="C36" s="451" t="s">
        <v>14</v>
      </c>
      <c r="D36" s="757" t="s">
        <v>446</v>
      </c>
      <c r="E36" s="441"/>
      <c r="F36" s="442"/>
      <c r="G36" s="443"/>
      <c r="H36" s="443"/>
      <c r="I36" s="443"/>
      <c r="J36" s="422">
        <f>J37</f>
        <v>23000</v>
      </c>
      <c r="K36" s="422">
        <f>K37</f>
        <v>0</v>
      </c>
      <c r="L36" s="444"/>
    </row>
    <row r="37" spans="1:12" ht="56.25" x14ac:dyDescent="0.25">
      <c r="A37" s="458" t="s">
        <v>77</v>
      </c>
      <c r="B37" s="423" t="s">
        <v>14</v>
      </c>
      <c r="C37" s="423" t="s">
        <v>14</v>
      </c>
      <c r="D37" s="424" t="s">
        <v>446</v>
      </c>
      <c r="E37" s="453"/>
      <c r="F37" s="723"/>
      <c r="G37" s="454"/>
      <c r="H37" s="454"/>
      <c r="I37" s="454"/>
      <c r="J37" s="427">
        <f>J39</f>
        <v>23000</v>
      </c>
      <c r="K37" s="427">
        <f>K39</f>
        <v>0</v>
      </c>
      <c r="L37" s="455"/>
    </row>
    <row r="38" spans="1:12" ht="56.25" x14ac:dyDescent="0.25">
      <c r="A38" s="395" t="s">
        <v>162</v>
      </c>
      <c r="B38" s="84" t="s">
        <v>42</v>
      </c>
      <c r="C38" s="84" t="s">
        <v>16</v>
      </c>
      <c r="D38" s="421" t="s">
        <v>156</v>
      </c>
      <c r="E38" s="78" t="s">
        <v>252</v>
      </c>
      <c r="F38" s="79"/>
      <c r="G38" s="80"/>
      <c r="H38" s="80"/>
      <c r="I38" s="80"/>
      <c r="J38" s="81"/>
      <c r="K38" s="420"/>
      <c r="L38" s="82"/>
    </row>
    <row r="39" spans="1:12" ht="57" thickBot="1" x14ac:dyDescent="0.3">
      <c r="A39" s="395" t="s">
        <v>171</v>
      </c>
      <c r="B39" s="85" t="s">
        <v>42</v>
      </c>
      <c r="C39" s="85" t="s">
        <v>16</v>
      </c>
      <c r="D39" s="421" t="s">
        <v>156</v>
      </c>
      <c r="E39" s="419" t="s">
        <v>252</v>
      </c>
      <c r="F39" s="79"/>
      <c r="G39" s="80"/>
      <c r="H39" s="80"/>
      <c r="I39" s="80"/>
      <c r="J39" s="81">
        <v>23000</v>
      </c>
      <c r="K39" s="420"/>
      <c r="L39" s="82"/>
    </row>
    <row r="40" spans="1:12" ht="75.75" thickBot="1" x14ac:dyDescent="0.3">
      <c r="A40" s="450" t="s">
        <v>81</v>
      </c>
      <c r="B40" s="451" t="s">
        <v>14</v>
      </c>
      <c r="C40" s="451" t="s">
        <v>14</v>
      </c>
      <c r="D40" s="757" t="s">
        <v>447</v>
      </c>
      <c r="E40" s="441"/>
      <c r="F40" s="442"/>
      <c r="G40" s="443"/>
      <c r="H40" s="443"/>
      <c r="I40" s="443"/>
      <c r="J40" s="422">
        <f>J41</f>
        <v>66262</v>
      </c>
      <c r="K40" s="422">
        <f>K41</f>
        <v>0</v>
      </c>
      <c r="L40" s="444"/>
    </row>
    <row r="41" spans="1:12" ht="75" x14ac:dyDescent="0.25">
      <c r="A41" s="452" t="s">
        <v>82</v>
      </c>
      <c r="B41" s="423" t="s">
        <v>14</v>
      </c>
      <c r="C41" s="423" t="s">
        <v>14</v>
      </c>
      <c r="D41" s="424" t="s">
        <v>447</v>
      </c>
      <c r="E41" s="447"/>
      <c r="F41" s="448"/>
      <c r="G41" s="449"/>
      <c r="H41" s="449"/>
      <c r="I41" s="449"/>
      <c r="J41" s="427">
        <f>J42+J43</f>
        <v>66262</v>
      </c>
      <c r="K41" s="427">
        <f>K42+K43</f>
        <v>0</v>
      </c>
      <c r="L41" s="459"/>
    </row>
    <row r="42" spans="1:12" ht="40.5" x14ac:dyDescent="0.25">
      <c r="A42" s="83" t="s">
        <v>89</v>
      </c>
      <c r="B42" s="84" t="s">
        <v>90</v>
      </c>
      <c r="C42" s="84" t="s">
        <v>91</v>
      </c>
      <c r="D42" s="421" t="s">
        <v>92</v>
      </c>
      <c r="E42" s="78" t="s">
        <v>252</v>
      </c>
      <c r="F42" s="88"/>
      <c r="G42" s="89"/>
      <c r="H42" s="89"/>
      <c r="I42" s="89"/>
      <c r="J42" s="81">
        <v>43262</v>
      </c>
      <c r="K42" s="420"/>
      <c r="L42" s="90"/>
    </row>
    <row r="43" spans="1:12" ht="41.25" thickBot="1" x14ac:dyDescent="0.3">
      <c r="A43" s="83" t="s">
        <v>93</v>
      </c>
      <c r="B43" s="84" t="s">
        <v>94</v>
      </c>
      <c r="C43" s="84" t="s">
        <v>91</v>
      </c>
      <c r="D43" s="421" t="s">
        <v>95</v>
      </c>
      <c r="E43" s="78" t="s">
        <v>252</v>
      </c>
      <c r="F43" s="88"/>
      <c r="G43" s="89"/>
      <c r="H43" s="89"/>
      <c r="I43" s="89"/>
      <c r="J43" s="81">
        <v>23000</v>
      </c>
      <c r="K43" s="420"/>
      <c r="L43" s="90"/>
    </row>
    <row r="44" spans="1:12" ht="75.75" thickBot="1" x14ac:dyDescent="0.3">
      <c r="A44" s="439" t="s">
        <v>116</v>
      </c>
      <c r="B44" s="402"/>
      <c r="C44" s="402"/>
      <c r="D44" s="758" t="s">
        <v>117</v>
      </c>
      <c r="E44" s="460"/>
      <c r="F44" s="75"/>
      <c r="G44" s="461"/>
      <c r="H44" s="461"/>
      <c r="I44" s="461"/>
      <c r="J44" s="462">
        <f>J45</f>
        <v>2296426</v>
      </c>
      <c r="K44" s="462">
        <f>K45</f>
        <v>419911</v>
      </c>
      <c r="L44" s="407"/>
    </row>
    <row r="45" spans="1:12" ht="56.25" x14ac:dyDescent="0.25">
      <c r="A45" s="463" t="s">
        <v>118</v>
      </c>
      <c r="B45" s="445"/>
      <c r="C45" s="445"/>
      <c r="D45" s="759" t="s">
        <v>254</v>
      </c>
      <c r="E45" s="425"/>
      <c r="F45" s="91"/>
      <c r="G45" s="464"/>
      <c r="H45" s="464"/>
      <c r="I45" s="464"/>
      <c r="J45" s="465">
        <f>SUM(J46:J47)</f>
        <v>2296426</v>
      </c>
      <c r="K45" s="465">
        <f>SUM(K46:K47)</f>
        <v>419911</v>
      </c>
      <c r="L45" s="92"/>
    </row>
    <row r="46" spans="1:12" ht="40.5" x14ac:dyDescent="0.25">
      <c r="A46" s="76" t="s">
        <v>474</v>
      </c>
      <c r="B46" s="417" t="s">
        <v>475</v>
      </c>
      <c r="C46" s="417" t="s">
        <v>26</v>
      </c>
      <c r="D46" s="418" t="s">
        <v>476</v>
      </c>
      <c r="E46" s="419" t="s">
        <v>462</v>
      </c>
      <c r="F46" s="295"/>
      <c r="G46" s="294"/>
      <c r="H46" s="294"/>
      <c r="I46" s="294"/>
      <c r="J46" s="81">
        <v>1835036</v>
      </c>
      <c r="K46" s="420"/>
      <c r="L46" s="296"/>
    </row>
    <row r="47" spans="1:12" ht="41.25" thickBot="1" x14ac:dyDescent="0.3">
      <c r="A47" s="466" t="s">
        <v>127</v>
      </c>
      <c r="B47" s="467" t="s">
        <v>25</v>
      </c>
      <c r="C47" s="467" t="s">
        <v>26</v>
      </c>
      <c r="D47" s="418" t="s">
        <v>27</v>
      </c>
      <c r="E47" s="419" t="s">
        <v>462</v>
      </c>
      <c r="F47" s="468"/>
      <c r="G47" s="469"/>
      <c r="H47" s="469"/>
      <c r="I47" s="469"/>
      <c r="J47" s="470">
        <v>461390</v>
      </c>
      <c r="K47" s="471">
        <v>419911</v>
      </c>
      <c r="L47" s="472"/>
    </row>
    <row r="48" spans="1:12" ht="57" thickBot="1" x14ac:dyDescent="0.3">
      <c r="A48" s="473" t="s">
        <v>136</v>
      </c>
      <c r="B48" s="474"/>
      <c r="C48" s="474"/>
      <c r="D48" s="760" t="s">
        <v>448</v>
      </c>
      <c r="E48" s="475"/>
      <c r="F48" s="474"/>
      <c r="G48" s="476"/>
      <c r="H48" s="476"/>
      <c r="I48" s="476"/>
      <c r="J48" s="477">
        <f>J49</f>
        <v>55034036</v>
      </c>
      <c r="K48" s="477">
        <f>K49</f>
        <v>27475073.199999996</v>
      </c>
      <c r="L48" s="478"/>
    </row>
    <row r="49" spans="1:12" ht="56.25" x14ac:dyDescent="0.25">
      <c r="A49" s="463" t="s">
        <v>137</v>
      </c>
      <c r="B49" s="723"/>
      <c r="C49" s="448"/>
      <c r="D49" s="761" t="s">
        <v>456</v>
      </c>
      <c r="E49" s="479"/>
      <c r="F49" s="426"/>
      <c r="G49" s="480"/>
      <c r="H49" s="480"/>
      <c r="I49" s="480"/>
      <c r="J49" s="480">
        <f>J50+J51+J53+J55+J56+J57+J59+J61+J63+J64+J68+J70+J72+J78+J83+J79+J84+J85+J88+J89+J87</f>
        <v>55034036</v>
      </c>
      <c r="K49" s="1032">
        <f>K50+K51+K53+K55+K56+K57+K59+K61+K63+K64+K68+K70+K72+K78+K83+K79+K84+K85+K88+K89+K87</f>
        <v>27475073.199999996</v>
      </c>
      <c r="L49" s="481"/>
    </row>
    <row r="50" spans="1:12" ht="141.75" x14ac:dyDescent="0.25">
      <c r="A50" s="466" t="s">
        <v>659</v>
      </c>
      <c r="B50" s="722" t="s">
        <v>148</v>
      </c>
      <c r="C50" s="722" t="s">
        <v>16</v>
      </c>
      <c r="D50" s="989" t="s">
        <v>149</v>
      </c>
      <c r="E50" s="817" t="s">
        <v>660</v>
      </c>
      <c r="F50" s="722" t="s">
        <v>485</v>
      </c>
      <c r="G50" s="990">
        <v>650000</v>
      </c>
      <c r="H50" s="991">
        <v>0</v>
      </c>
      <c r="I50" s="992">
        <v>0</v>
      </c>
      <c r="J50" s="991">
        <v>250000</v>
      </c>
      <c r="K50" s="123"/>
      <c r="L50" s="993">
        <v>0</v>
      </c>
    </row>
    <row r="51" spans="1:12" ht="285.75" customHeight="1" x14ac:dyDescent="0.25">
      <c r="A51" s="1329" t="s">
        <v>477</v>
      </c>
      <c r="B51" s="1315" t="s">
        <v>48</v>
      </c>
      <c r="C51" s="1315" t="s">
        <v>49</v>
      </c>
      <c r="D51" s="1331" t="s">
        <v>478</v>
      </c>
      <c r="E51" s="762" t="s">
        <v>479</v>
      </c>
      <c r="F51" s="1318" t="s">
        <v>480</v>
      </c>
      <c r="G51" s="763">
        <v>3702670</v>
      </c>
      <c r="H51" s="764">
        <f>'[1]2024'!$I$15+'[1]2024'!$I$18</f>
        <v>1070190.22</v>
      </c>
      <c r="I51" s="765">
        <f>H51/G51</f>
        <v>0.28903202823908153</v>
      </c>
      <c r="J51" s="764">
        <f>2450256+43034+10265</f>
        <v>2503555</v>
      </c>
      <c r="K51" s="994">
        <v>1657871.45</v>
      </c>
      <c r="L51" s="766">
        <f>(K51+H51)/G51*100%</f>
        <v>0.73678228683625602</v>
      </c>
    </row>
    <row r="52" spans="1:12" ht="20.25" x14ac:dyDescent="0.25">
      <c r="A52" s="1330"/>
      <c r="B52" s="1317"/>
      <c r="C52" s="1317"/>
      <c r="D52" s="1332"/>
      <c r="E52" s="767" t="s">
        <v>481</v>
      </c>
      <c r="F52" s="1319"/>
      <c r="G52" s="768">
        <v>264411</v>
      </c>
      <c r="H52" s="769">
        <f>234332.96</f>
        <v>234332.96</v>
      </c>
      <c r="I52" s="770">
        <v>1</v>
      </c>
      <c r="J52" s="771"/>
      <c r="K52" s="803"/>
      <c r="L52" s="777">
        <v>1</v>
      </c>
    </row>
    <row r="53" spans="1:12" ht="202.5" x14ac:dyDescent="0.25">
      <c r="A53" s="1329" t="s">
        <v>477</v>
      </c>
      <c r="B53" s="1315" t="s">
        <v>48</v>
      </c>
      <c r="C53" s="1315" t="s">
        <v>49</v>
      </c>
      <c r="D53" s="1331" t="s">
        <v>478</v>
      </c>
      <c r="E53" s="772" t="s">
        <v>482</v>
      </c>
      <c r="F53" s="1318" t="s">
        <v>483</v>
      </c>
      <c r="G53" s="773">
        <v>23825333</v>
      </c>
      <c r="H53" s="764">
        <f>'[1]2024'!$I$11+'[1]2024'!$I$13+H54</f>
        <v>6575752.0599999996</v>
      </c>
      <c r="I53" s="765">
        <f>H53/G53</f>
        <v>0.27599832749452019</v>
      </c>
      <c r="J53" s="764">
        <f>15048608+194696+62711-2300000-2400000</f>
        <v>10606015</v>
      </c>
      <c r="K53" s="994">
        <v>10606015</v>
      </c>
      <c r="L53" s="766">
        <f>(J53+H53)/G53</f>
        <v>0.72115537944422425</v>
      </c>
    </row>
    <row r="54" spans="1:12" ht="20.25" x14ac:dyDescent="0.25">
      <c r="A54" s="1330"/>
      <c r="B54" s="1317"/>
      <c r="C54" s="1317"/>
      <c r="D54" s="1332"/>
      <c r="E54" s="774" t="s">
        <v>255</v>
      </c>
      <c r="F54" s="1319"/>
      <c r="G54" s="775">
        <v>1675846</v>
      </c>
      <c r="H54" s="769">
        <f>274112.37+1201312.3</f>
        <v>1475424.67</v>
      </c>
      <c r="I54" s="770">
        <v>1</v>
      </c>
      <c r="J54" s="776"/>
      <c r="K54" s="802"/>
      <c r="L54" s="777">
        <v>1</v>
      </c>
    </row>
    <row r="55" spans="1:12" ht="202.5" x14ac:dyDescent="0.25">
      <c r="A55" s="778" t="s">
        <v>477</v>
      </c>
      <c r="B55" s="999" t="s">
        <v>48</v>
      </c>
      <c r="C55" s="999" t="s">
        <v>49</v>
      </c>
      <c r="D55" s="995" t="s">
        <v>478</v>
      </c>
      <c r="E55" s="779" t="s">
        <v>632</v>
      </c>
      <c r="F55" s="776" t="s">
        <v>485</v>
      </c>
      <c r="G55" s="769">
        <v>5500000</v>
      </c>
      <c r="H55" s="769">
        <v>0</v>
      </c>
      <c r="I55" s="770">
        <v>0</v>
      </c>
      <c r="J55" s="764">
        <f>2300000+2400000</f>
        <v>4700000</v>
      </c>
      <c r="K55" s="994">
        <f>4037533.31+598450.25</f>
        <v>4635983.5600000005</v>
      </c>
      <c r="L55" s="766">
        <f>(K55+H55)/G55</f>
        <v>0.84290610181818193</v>
      </c>
    </row>
    <row r="56" spans="1:12" ht="222.75" x14ac:dyDescent="0.25">
      <c r="A56" s="780" t="s">
        <v>477</v>
      </c>
      <c r="B56" s="979" t="s">
        <v>48</v>
      </c>
      <c r="C56" s="979" t="s">
        <v>49</v>
      </c>
      <c r="D56" s="996" t="s">
        <v>478</v>
      </c>
      <c r="E56" s="782" t="s">
        <v>484</v>
      </c>
      <c r="F56" s="781" t="s">
        <v>485</v>
      </c>
      <c r="G56" s="783">
        <v>248082</v>
      </c>
      <c r="H56" s="784">
        <v>0</v>
      </c>
      <c r="I56" s="785">
        <v>0</v>
      </c>
      <c r="J56" s="784">
        <v>248082</v>
      </c>
      <c r="K56" s="997">
        <v>197636.63</v>
      </c>
      <c r="L56" s="766">
        <v>1</v>
      </c>
    </row>
    <row r="57" spans="1:12" ht="202.5" x14ac:dyDescent="0.25">
      <c r="A57" s="1329" t="s">
        <v>477</v>
      </c>
      <c r="B57" s="1315" t="s">
        <v>48</v>
      </c>
      <c r="C57" s="1315" t="s">
        <v>49</v>
      </c>
      <c r="D57" s="1331" t="s">
        <v>478</v>
      </c>
      <c r="E57" s="779" t="s">
        <v>661</v>
      </c>
      <c r="F57" s="776" t="s">
        <v>485</v>
      </c>
      <c r="G57" s="998">
        <v>50245705</v>
      </c>
      <c r="H57" s="764">
        <v>0</v>
      </c>
      <c r="I57" s="765">
        <v>0</v>
      </c>
      <c r="J57" s="764">
        <f>J58+6000000</f>
        <v>7486740</v>
      </c>
      <c r="K57" s="994">
        <f>K58</f>
        <v>1483059.84</v>
      </c>
      <c r="L57" s="766">
        <f>(K57/G57)*100%</f>
        <v>2.9516151480012073E-2</v>
      </c>
    </row>
    <row r="58" spans="1:12" ht="20.25" x14ac:dyDescent="0.25">
      <c r="A58" s="1330"/>
      <c r="B58" s="1317"/>
      <c r="C58" s="1317"/>
      <c r="D58" s="1332"/>
      <c r="E58" s="787" t="s">
        <v>481</v>
      </c>
      <c r="F58" s="969"/>
      <c r="G58" s="801">
        <v>1486740</v>
      </c>
      <c r="H58" s="769">
        <v>0</v>
      </c>
      <c r="I58" s="770">
        <f>H58/G58</f>
        <v>0</v>
      </c>
      <c r="J58" s="769">
        <v>1486740</v>
      </c>
      <c r="K58" s="775">
        <v>1483059.84</v>
      </c>
      <c r="L58" s="777">
        <v>1</v>
      </c>
    </row>
    <row r="59" spans="1:12" ht="222.75" x14ac:dyDescent="0.25">
      <c r="A59" s="1329" t="s">
        <v>477</v>
      </c>
      <c r="B59" s="1315" t="s">
        <v>48</v>
      </c>
      <c r="C59" s="1315" t="s">
        <v>49</v>
      </c>
      <c r="D59" s="1331" t="s">
        <v>478</v>
      </c>
      <c r="E59" s="772" t="s">
        <v>633</v>
      </c>
      <c r="F59" s="1318">
        <v>2025</v>
      </c>
      <c r="G59" s="786">
        <v>583500</v>
      </c>
      <c r="H59" s="764">
        <v>0</v>
      </c>
      <c r="I59" s="765">
        <v>0</v>
      </c>
      <c r="J59" s="764">
        <v>583500</v>
      </c>
      <c r="K59" s="994">
        <f>K60</f>
        <v>48500</v>
      </c>
      <c r="L59" s="766">
        <f>K59/G59*100%</f>
        <v>8.3119108826049698E-2</v>
      </c>
    </row>
    <row r="60" spans="1:12" ht="20.25" x14ac:dyDescent="0.25">
      <c r="A60" s="1330"/>
      <c r="B60" s="1317"/>
      <c r="C60" s="1317"/>
      <c r="D60" s="1332"/>
      <c r="E60" s="787" t="s">
        <v>255</v>
      </c>
      <c r="F60" s="1319"/>
      <c r="G60" s="801">
        <v>48500</v>
      </c>
      <c r="H60" s="769">
        <v>0</v>
      </c>
      <c r="I60" s="770">
        <v>0</v>
      </c>
      <c r="J60" s="769">
        <v>48500</v>
      </c>
      <c r="K60" s="775">
        <v>48500</v>
      </c>
      <c r="L60" s="777">
        <v>1</v>
      </c>
    </row>
    <row r="61" spans="1:12" ht="121.5" x14ac:dyDescent="0.25">
      <c r="A61" s="1329" t="s">
        <v>662</v>
      </c>
      <c r="B61" s="1315" t="s">
        <v>18</v>
      </c>
      <c r="C61" s="1315" t="s">
        <v>19</v>
      </c>
      <c r="D61" s="1299" t="s">
        <v>20</v>
      </c>
      <c r="E61" s="808" t="s">
        <v>663</v>
      </c>
      <c r="F61" s="1341" t="s">
        <v>664</v>
      </c>
      <c r="G61" s="764">
        <v>10266433</v>
      </c>
      <c r="H61" s="764">
        <v>674544.04</v>
      </c>
      <c r="I61" s="765">
        <f>H61/G61</f>
        <v>6.5703836960704851E-2</v>
      </c>
      <c r="J61" s="764">
        <v>3000000</v>
      </c>
      <c r="K61" s="994"/>
      <c r="L61" s="766">
        <v>7.0000000000000007E-2</v>
      </c>
    </row>
    <row r="62" spans="1:12" ht="20.25" x14ac:dyDescent="0.25">
      <c r="A62" s="1330"/>
      <c r="B62" s="1317"/>
      <c r="C62" s="1317"/>
      <c r="D62" s="1300"/>
      <c r="E62" s="795" t="s">
        <v>665</v>
      </c>
      <c r="F62" s="1341"/>
      <c r="G62" s="769">
        <v>766283</v>
      </c>
      <c r="H62" s="769">
        <v>674544.04</v>
      </c>
      <c r="I62" s="770">
        <v>1</v>
      </c>
      <c r="J62" s="769"/>
      <c r="K62" s="775"/>
      <c r="L62" s="777">
        <v>1</v>
      </c>
    </row>
    <row r="63" spans="1:12" ht="141.75" x14ac:dyDescent="0.25">
      <c r="A63" s="788" t="s">
        <v>486</v>
      </c>
      <c r="B63" s="789" t="s">
        <v>487</v>
      </c>
      <c r="C63" s="789" t="s">
        <v>204</v>
      </c>
      <c r="D63" s="981" t="s">
        <v>488</v>
      </c>
      <c r="E63" s="790" t="s">
        <v>489</v>
      </c>
      <c r="F63" s="968" t="s">
        <v>485</v>
      </c>
      <c r="G63" s="764">
        <v>173444</v>
      </c>
      <c r="H63" s="764">
        <v>0</v>
      </c>
      <c r="I63" s="765">
        <v>0</v>
      </c>
      <c r="J63" s="791">
        <v>173444</v>
      </c>
      <c r="K63" s="1000"/>
      <c r="L63" s="766">
        <v>0</v>
      </c>
    </row>
    <row r="64" spans="1:12" ht="121.5" x14ac:dyDescent="0.25">
      <c r="A64" s="1333">
        <v>1516012</v>
      </c>
      <c r="B64" s="1336">
        <v>6012</v>
      </c>
      <c r="C64" s="1315" t="s">
        <v>26</v>
      </c>
      <c r="D64" s="1299" t="s">
        <v>208</v>
      </c>
      <c r="E64" s="792" t="s">
        <v>490</v>
      </c>
      <c r="F64" s="1336" t="s">
        <v>491</v>
      </c>
      <c r="G64" s="791">
        <v>14745012</v>
      </c>
      <c r="H64" s="764">
        <v>14166274.949999999</v>
      </c>
      <c r="I64" s="765">
        <v>0.99</v>
      </c>
      <c r="J64" s="793">
        <v>45000</v>
      </c>
      <c r="K64" s="1001"/>
      <c r="L64" s="794">
        <v>0.99</v>
      </c>
    </row>
    <row r="65" spans="1:12" ht="20.25" x14ac:dyDescent="0.25">
      <c r="A65" s="1334"/>
      <c r="B65" s="1337"/>
      <c r="C65" s="1316"/>
      <c r="D65" s="1339"/>
      <c r="E65" s="767" t="s">
        <v>492</v>
      </c>
      <c r="F65" s="1337"/>
      <c r="G65" s="795">
        <f>280375.62</f>
        <v>280375.62</v>
      </c>
      <c r="H65" s="795">
        <f>280375.62</f>
        <v>280375.62</v>
      </c>
      <c r="I65" s="770">
        <v>1</v>
      </c>
      <c r="J65" s="796"/>
      <c r="K65" s="1002"/>
      <c r="L65" s="797">
        <v>1</v>
      </c>
    </row>
    <row r="66" spans="1:12" ht="20.25" x14ac:dyDescent="0.25">
      <c r="A66" s="1334"/>
      <c r="B66" s="1337"/>
      <c r="C66" s="1316"/>
      <c r="D66" s="1339"/>
      <c r="E66" s="767" t="s">
        <v>256</v>
      </c>
      <c r="F66" s="1337"/>
      <c r="G66" s="795">
        <v>269445</v>
      </c>
      <c r="H66" s="795">
        <v>269445</v>
      </c>
      <c r="I66" s="770">
        <v>1</v>
      </c>
      <c r="J66" s="796"/>
      <c r="K66" s="1002"/>
      <c r="L66" s="797">
        <v>1</v>
      </c>
    </row>
    <row r="67" spans="1:12" ht="81" x14ac:dyDescent="0.25">
      <c r="A67" s="1335"/>
      <c r="B67" s="1338"/>
      <c r="C67" s="1317"/>
      <c r="D67" s="1300"/>
      <c r="E67" s="767" t="s">
        <v>493</v>
      </c>
      <c r="F67" s="1338"/>
      <c r="G67" s="795">
        <v>45000</v>
      </c>
      <c r="H67" s="795"/>
      <c r="I67" s="798"/>
      <c r="J67" s="796">
        <v>45000</v>
      </c>
      <c r="K67" s="1002"/>
      <c r="L67" s="797">
        <v>0</v>
      </c>
    </row>
    <row r="68" spans="1:12" ht="81" x14ac:dyDescent="0.25">
      <c r="A68" s="1329" t="s">
        <v>494</v>
      </c>
      <c r="B68" s="1315" t="s">
        <v>495</v>
      </c>
      <c r="C68" s="1315" t="s">
        <v>26</v>
      </c>
      <c r="D68" s="1340" t="s">
        <v>208</v>
      </c>
      <c r="E68" s="799" t="s">
        <v>496</v>
      </c>
      <c r="F68" s="1318" t="s">
        <v>497</v>
      </c>
      <c r="G68" s="786">
        <v>2880888</v>
      </c>
      <c r="H68" s="764">
        <f>'[1]2024'!$I$42+'[1]2024'!$I$43+'[1]2024'!$I$44</f>
        <v>2463355.75</v>
      </c>
      <c r="I68" s="765">
        <f>H68/G68</f>
        <v>0.85506821160697677</v>
      </c>
      <c r="J68" s="764">
        <f>326029+8644+4370+42000</f>
        <v>381043</v>
      </c>
      <c r="K68" s="994">
        <v>283441.63</v>
      </c>
      <c r="L68" s="766">
        <f>(K68+H68)/G68*100%</f>
        <v>0.95345510828605617</v>
      </c>
    </row>
    <row r="69" spans="1:12" ht="20.25" x14ac:dyDescent="0.25">
      <c r="A69" s="1330"/>
      <c r="B69" s="1317"/>
      <c r="C69" s="1317"/>
      <c r="D69" s="1332"/>
      <c r="E69" s="800" t="s">
        <v>481</v>
      </c>
      <c r="F69" s="1319"/>
      <c r="G69" s="801">
        <v>60271</v>
      </c>
      <c r="H69" s="769">
        <v>49062.16</v>
      </c>
      <c r="I69" s="770">
        <v>1</v>
      </c>
      <c r="J69" s="771"/>
      <c r="K69" s="803"/>
      <c r="L69" s="777">
        <v>1</v>
      </c>
    </row>
    <row r="70" spans="1:12" ht="182.25" x14ac:dyDescent="0.25">
      <c r="A70" s="1329" t="s">
        <v>494</v>
      </c>
      <c r="B70" s="1315" t="s">
        <v>495</v>
      </c>
      <c r="C70" s="1315" t="s">
        <v>26</v>
      </c>
      <c r="D70" s="1331" t="s">
        <v>208</v>
      </c>
      <c r="E70" s="799" t="s">
        <v>634</v>
      </c>
      <c r="F70" s="1318" t="s">
        <v>485</v>
      </c>
      <c r="G70" s="786">
        <v>5865565</v>
      </c>
      <c r="H70" s="769">
        <v>0</v>
      </c>
      <c r="I70" s="770">
        <v>0</v>
      </c>
      <c r="J70" s="764">
        <v>5865565</v>
      </c>
      <c r="K70" s="994">
        <f>K71</f>
        <v>182393.72</v>
      </c>
      <c r="L70" s="777">
        <f>K70/J70*100%</f>
        <v>3.1095677909971163E-2</v>
      </c>
    </row>
    <row r="71" spans="1:12" ht="20.25" x14ac:dyDescent="0.25">
      <c r="A71" s="1330"/>
      <c r="B71" s="1317"/>
      <c r="C71" s="1317"/>
      <c r="D71" s="1332"/>
      <c r="E71" s="800" t="s">
        <v>481</v>
      </c>
      <c r="F71" s="1319"/>
      <c r="G71" s="801">
        <v>183000</v>
      </c>
      <c r="H71" s="769">
        <v>0</v>
      </c>
      <c r="I71" s="770">
        <v>0</v>
      </c>
      <c r="J71" s="769">
        <v>183000</v>
      </c>
      <c r="K71" s="775">
        <v>182393.72</v>
      </c>
      <c r="L71" s="777">
        <v>1</v>
      </c>
    </row>
    <row r="72" spans="1:12" ht="121.5" x14ac:dyDescent="0.25">
      <c r="A72" s="1320">
        <v>1516012</v>
      </c>
      <c r="B72" s="1322">
        <v>6012</v>
      </c>
      <c r="C72" s="1307" t="s">
        <v>26</v>
      </c>
      <c r="D72" s="1325" t="s">
        <v>208</v>
      </c>
      <c r="E72" s="77" t="s">
        <v>498</v>
      </c>
      <c r="F72" s="1327" t="s">
        <v>480</v>
      </c>
      <c r="G72" s="94">
        <v>18595843</v>
      </c>
      <c r="H72" s="485">
        <f>1497526+4000000+10000000-15497526+3505666.5</f>
        <v>3505666.5</v>
      </c>
      <c r="I72" s="482">
        <f>H72/G72*100%</f>
        <v>0.1885188264925661</v>
      </c>
      <c r="J72" s="123">
        <f>3098317-1031901-2066416+10004392</f>
        <v>10004392</v>
      </c>
      <c r="K72" s="486">
        <v>3729327.37</v>
      </c>
      <c r="L72" s="487">
        <f>(K72+H72)/G72</f>
        <v>0.38906511901611562</v>
      </c>
    </row>
    <row r="73" spans="1:12" ht="20.25" x14ac:dyDescent="0.25">
      <c r="A73" s="1321"/>
      <c r="B73" s="1323"/>
      <c r="C73" s="1324"/>
      <c r="D73" s="1326"/>
      <c r="E73" s="95" t="s">
        <v>481</v>
      </c>
      <c r="F73" s="1328"/>
      <c r="G73" s="93">
        <v>1497526</v>
      </c>
      <c r="H73" s="96">
        <f>1497526-1497526+1478212.98</f>
        <v>1478212.98</v>
      </c>
      <c r="I73" s="483">
        <v>1</v>
      </c>
      <c r="J73" s="488"/>
      <c r="K73" s="489"/>
      <c r="L73" s="490">
        <v>1</v>
      </c>
    </row>
    <row r="74" spans="1:12" ht="20.25" x14ac:dyDescent="0.25">
      <c r="A74" s="491" t="s">
        <v>499</v>
      </c>
      <c r="B74" s="492"/>
      <c r="C74" s="983"/>
      <c r="D74" s="493" t="s">
        <v>500</v>
      </c>
      <c r="E74" s="494"/>
      <c r="F74" s="724"/>
      <c r="G74" s="495"/>
      <c r="H74" s="496"/>
      <c r="I74" s="497"/>
      <c r="J74" s="488"/>
      <c r="K74" s="489"/>
      <c r="L74" s="1003"/>
    </row>
    <row r="75" spans="1:12" ht="20.25" x14ac:dyDescent="0.25">
      <c r="A75" s="391"/>
      <c r="B75" s="392"/>
      <c r="C75" s="393"/>
      <c r="D75" s="498" t="s">
        <v>501</v>
      </c>
      <c r="E75" s="488"/>
      <c r="F75" s="394"/>
      <c r="G75" s="93"/>
      <c r="H75" s="96">
        <v>2002023.6</v>
      </c>
      <c r="I75" s="122"/>
      <c r="J75" s="96">
        <f>10000000-H75</f>
        <v>7997976.4000000004</v>
      </c>
      <c r="K75" s="499">
        <v>3681552</v>
      </c>
      <c r="L75" s="1003"/>
    </row>
    <row r="76" spans="1:12" ht="81" x14ac:dyDescent="0.25">
      <c r="A76" s="500" t="s">
        <v>502</v>
      </c>
      <c r="B76" s="970" t="s">
        <v>503</v>
      </c>
      <c r="C76" s="970" t="s">
        <v>258</v>
      </c>
      <c r="D76" s="501" t="s">
        <v>504</v>
      </c>
      <c r="E76" s="295" t="s">
        <v>505</v>
      </c>
      <c r="F76" s="393" t="s">
        <v>506</v>
      </c>
      <c r="G76" s="124">
        <f>J76</f>
        <v>0</v>
      </c>
      <c r="H76" s="124">
        <v>0</v>
      </c>
      <c r="I76" s="502">
        <v>0</v>
      </c>
      <c r="J76" s="124">
        <v>0</v>
      </c>
      <c r="K76" s="503"/>
      <c r="L76" s="804">
        <v>1</v>
      </c>
    </row>
    <row r="77" spans="1:12" ht="101.25" x14ac:dyDescent="0.25">
      <c r="A77" s="395" t="s">
        <v>507</v>
      </c>
      <c r="B77" s="85" t="s">
        <v>508</v>
      </c>
      <c r="C77" s="85" t="s">
        <v>152</v>
      </c>
      <c r="D77" s="418" t="s">
        <v>509</v>
      </c>
      <c r="E77" s="504" t="s">
        <v>510</v>
      </c>
      <c r="F77" s="393" t="s">
        <v>506</v>
      </c>
      <c r="G77" s="124">
        <f t="shared" ref="G77" si="0">J77</f>
        <v>0</v>
      </c>
      <c r="H77" s="485">
        <v>0</v>
      </c>
      <c r="I77" s="502">
        <v>0</v>
      </c>
      <c r="J77" s="485">
        <v>0</v>
      </c>
      <c r="K77" s="505"/>
      <c r="L77" s="805">
        <v>1</v>
      </c>
    </row>
    <row r="78" spans="1:12" ht="121.5" x14ac:dyDescent="0.25">
      <c r="A78" s="972">
        <v>1516013</v>
      </c>
      <c r="B78" s="974">
        <v>6013</v>
      </c>
      <c r="C78" s="976" t="s">
        <v>26</v>
      </c>
      <c r="D78" s="1006" t="s">
        <v>126</v>
      </c>
      <c r="E78" s="806" t="s">
        <v>511</v>
      </c>
      <c r="F78" s="978" t="s">
        <v>497</v>
      </c>
      <c r="G78" s="764">
        <v>226222</v>
      </c>
      <c r="H78" s="764">
        <v>0</v>
      </c>
      <c r="I78" s="765">
        <v>0</v>
      </c>
      <c r="J78" s="506">
        <v>198440</v>
      </c>
      <c r="K78" s="1004"/>
      <c r="L78" s="766">
        <v>0</v>
      </c>
    </row>
    <row r="79" spans="1:12" ht="81" x14ac:dyDescent="0.25">
      <c r="A79" s="1293">
        <v>1516030</v>
      </c>
      <c r="B79" s="1295">
        <v>6030</v>
      </c>
      <c r="C79" s="1297" t="s">
        <v>26</v>
      </c>
      <c r="D79" s="1312" t="s">
        <v>27</v>
      </c>
      <c r="E79" s="799" t="s">
        <v>512</v>
      </c>
      <c r="F79" s="1315" t="s">
        <v>513</v>
      </c>
      <c r="G79" s="807">
        <v>4741092</v>
      </c>
      <c r="H79" s="808">
        <v>3946243</v>
      </c>
      <c r="I79" s="809">
        <v>0.99</v>
      </c>
      <c r="J79" s="791">
        <v>45000</v>
      </c>
      <c r="K79" s="1000"/>
      <c r="L79" s="794">
        <v>0.99</v>
      </c>
    </row>
    <row r="80" spans="1:12" ht="20.25" x14ac:dyDescent="0.25">
      <c r="A80" s="1309"/>
      <c r="B80" s="1310"/>
      <c r="C80" s="1311"/>
      <c r="D80" s="1313"/>
      <c r="E80" s="800" t="s">
        <v>261</v>
      </c>
      <c r="F80" s="1316"/>
      <c r="G80" s="796">
        <v>49800</v>
      </c>
      <c r="H80" s="795">
        <v>49763</v>
      </c>
      <c r="I80" s="810">
        <v>1</v>
      </c>
      <c r="J80" s="791"/>
      <c r="K80" s="1000"/>
      <c r="L80" s="797">
        <v>1</v>
      </c>
    </row>
    <row r="81" spans="1:12" ht="40.5" x14ac:dyDescent="0.25">
      <c r="A81" s="1309"/>
      <c r="B81" s="1310"/>
      <c r="C81" s="1311"/>
      <c r="D81" s="1313"/>
      <c r="E81" s="811" t="s">
        <v>259</v>
      </c>
      <c r="F81" s="1316"/>
      <c r="G81" s="812">
        <v>140204</v>
      </c>
      <c r="H81" s="812">
        <v>123810.91</v>
      </c>
      <c r="I81" s="810">
        <v>1</v>
      </c>
      <c r="J81" s="812"/>
      <c r="K81" s="1005"/>
      <c r="L81" s="797">
        <v>1</v>
      </c>
    </row>
    <row r="82" spans="1:12" ht="81" x14ac:dyDescent="0.25">
      <c r="A82" s="1294"/>
      <c r="B82" s="1296"/>
      <c r="C82" s="1298"/>
      <c r="D82" s="1314"/>
      <c r="E82" s="811" t="s">
        <v>493</v>
      </c>
      <c r="F82" s="1317"/>
      <c r="G82" s="812">
        <v>45000</v>
      </c>
      <c r="H82" s="812"/>
      <c r="I82" s="813"/>
      <c r="J82" s="812">
        <v>45000</v>
      </c>
      <c r="K82" s="1005"/>
      <c r="L82" s="797">
        <v>0</v>
      </c>
    </row>
    <row r="83" spans="1:12" ht="162" x14ac:dyDescent="0.25">
      <c r="A83" s="814">
        <v>1516030</v>
      </c>
      <c r="B83" s="815">
        <v>6030</v>
      </c>
      <c r="C83" s="816" t="s">
        <v>26</v>
      </c>
      <c r="D83" s="1007" t="s">
        <v>27</v>
      </c>
      <c r="E83" s="817" t="s">
        <v>514</v>
      </c>
      <c r="F83" s="818" t="s">
        <v>497</v>
      </c>
      <c r="G83" s="764">
        <v>406558</v>
      </c>
      <c r="H83" s="764">
        <f>105518.95</f>
        <v>105518.95</v>
      </c>
      <c r="I83" s="765">
        <f>H83/G83</f>
        <v>0.2595421809434324</v>
      </c>
      <c r="J83" s="808">
        <v>251111</v>
      </c>
      <c r="K83" s="790"/>
      <c r="L83" s="766">
        <v>0.26</v>
      </c>
    </row>
    <row r="84" spans="1:12" ht="121.5" x14ac:dyDescent="0.25">
      <c r="A84" s="814">
        <v>1516030</v>
      </c>
      <c r="B84" s="815">
        <v>6030</v>
      </c>
      <c r="C84" s="816" t="s">
        <v>26</v>
      </c>
      <c r="D84" s="1007" t="s">
        <v>27</v>
      </c>
      <c r="E84" s="817" t="s">
        <v>515</v>
      </c>
      <c r="F84" s="818" t="s">
        <v>485</v>
      </c>
      <c r="G84" s="764">
        <v>55031</v>
      </c>
      <c r="H84" s="764">
        <v>0</v>
      </c>
      <c r="I84" s="765">
        <v>0</v>
      </c>
      <c r="J84" s="808">
        <v>55031</v>
      </c>
      <c r="K84" s="790"/>
      <c r="L84" s="766">
        <v>0</v>
      </c>
    </row>
    <row r="85" spans="1:12" ht="101.25" x14ac:dyDescent="0.25">
      <c r="A85" s="1293">
        <v>1516030</v>
      </c>
      <c r="B85" s="1295">
        <v>6030</v>
      </c>
      <c r="C85" s="1297" t="s">
        <v>26</v>
      </c>
      <c r="D85" s="1299" t="s">
        <v>27</v>
      </c>
      <c r="E85" s="779" t="s">
        <v>666</v>
      </c>
      <c r="F85" s="999" t="s">
        <v>667</v>
      </c>
      <c r="G85" s="764">
        <v>3910004</v>
      </c>
      <c r="H85" s="764">
        <v>658537.76</v>
      </c>
      <c r="I85" s="765">
        <f>H85/G85</f>
        <v>0.16842380723907188</v>
      </c>
      <c r="J85" s="791">
        <v>1000000</v>
      </c>
      <c r="K85" s="1000">
        <v>966004.54</v>
      </c>
      <c r="L85" s="766">
        <f>(K85+H85)/G85</f>
        <v>0.41548353914727454</v>
      </c>
    </row>
    <row r="86" spans="1:12" ht="20.25" x14ac:dyDescent="0.25">
      <c r="A86" s="1294"/>
      <c r="B86" s="1296"/>
      <c r="C86" s="1298"/>
      <c r="D86" s="1300"/>
      <c r="E86" s="1008" t="s">
        <v>255</v>
      </c>
      <c r="F86" s="1009"/>
      <c r="G86" s="769">
        <v>174543</v>
      </c>
      <c r="H86" s="769">
        <v>154159.98000000001</v>
      </c>
      <c r="I86" s="770">
        <v>1</v>
      </c>
      <c r="J86" s="812"/>
      <c r="K86" s="1005"/>
      <c r="L86" s="1010">
        <v>1</v>
      </c>
    </row>
    <row r="87" spans="1:12" ht="121.5" x14ac:dyDescent="0.25">
      <c r="A87" s="971">
        <v>1516030</v>
      </c>
      <c r="B87" s="973">
        <v>6030</v>
      </c>
      <c r="C87" s="975" t="s">
        <v>26</v>
      </c>
      <c r="D87" s="980" t="s">
        <v>27</v>
      </c>
      <c r="E87" s="819" t="s">
        <v>516</v>
      </c>
      <c r="F87" s="977" t="s">
        <v>485</v>
      </c>
      <c r="G87" s="763">
        <v>49800</v>
      </c>
      <c r="H87" s="763">
        <v>0</v>
      </c>
      <c r="I87" s="820">
        <v>0</v>
      </c>
      <c r="J87" s="821">
        <v>49800</v>
      </c>
      <c r="K87" s="1011"/>
      <c r="L87" s="822">
        <v>0</v>
      </c>
    </row>
    <row r="88" spans="1:12" ht="182.25" x14ac:dyDescent="0.25">
      <c r="A88" s="814">
        <v>1516030</v>
      </c>
      <c r="B88" s="815">
        <v>6030</v>
      </c>
      <c r="C88" s="816" t="s">
        <v>26</v>
      </c>
      <c r="D88" s="1007" t="s">
        <v>27</v>
      </c>
      <c r="E88" s="817" t="s">
        <v>668</v>
      </c>
      <c r="F88" s="967" t="s">
        <v>485</v>
      </c>
      <c r="G88" s="764">
        <v>100539</v>
      </c>
      <c r="H88" s="764">
        <v>0</v>
      </c>
      <c r="I88" s="765">
        <v>0</v>
      </c>
      <c r="J88" s="791">
        <v>100539</v>
      </c>
      <c r="K88" s="1000"/>
      <c r="L88" s="766">
        <v>0</v>
      </c>
    </row>
    <row r="89" spans="1:12" ht="81" x14ac:dyDescent="0.25">
      <c r="A89" s="1301" t="s">
        <v>517</v>
      </c>
      <c r="B89" s="1303" t="s">
        <v>129</v>
      </c>
      <c r="C89" s="1303" t="s">
        <v>130</v>
      </c>
      <c r="D89" s="1305" t="s">
        <v>131</v>
      </c>
      <c r="E89" s="419" t="s">
        <v>518</v>
      </c>
      <c r="F89" s="1307" t="s">
        <v>519</v>
      </c>
      <c r="G89" s="124">
        <f>45050824-45050824+41614646</f>
        <v>41614646</v>
      </c>
      <c r="H89" s="485">
        <f>2753824+7531097-2799508-7485413+2902210</f>
        <v>2902210</v>
      </c>
      <c r="I89" s="507">
        <f>H89/G89*100%</f>
        <v>6.9740110248685039E-2</v>
      </c>
      <c r="J89" s="485">
        <f>2799508-2799508+4991926+490356+1007036+997461</f>
        <v>7486779</v>
      </c>
      <c r="K89" s="505">
        <f>K90</f>
        <v>3684839.46</v>
      </c>
      <c r="L89" s="513">
        <f>(H89+K89)/G89*100%</f>
        <v>0.15828680748599905</v>
      </c>
    </row>
    <row r="90" spans="1:12" ht="102" thickBot="1" x14ac:dyDescent="0.3">
      <c r="A90" s="1302"/>
      <c r="B90" s="1304"/>
      <c r="C90" s="1304"/>
      <c r="D90" s="1306"/>
      <c r="E90" s="508" t="s">
        <v>520</v>
      </c>
      <c r="F90" s="1308"/>
      <c r="G90" s="509">
        <f>10458431-10458431+10463759</f>
        <v>10463759</v>
      </c>
      <c r="H90" s="510">
        <f>7531097-2799508-4731589+2902210</f>
        <v>2902210</v>
      </c>
      <c r="I90" s="511">
        <f>H90/G90*100%</f>
        <v>0.27735826102264016</v>
      </c>
      <c r="J90" s="510">
        <f>2799508-2799508+4991926+490356+1007036+997461</f>
        <v>7486779</v>
      </c>
      <c r="K90" s="512">
        <v>3684839.46</v>
      </c>
      <c r="L90" s="513">
        <f>(H90+K90)/G90*100%</f>
        <v>0.62951081537715081</v>
      </c>
    </row>
    <row r="91" spans="1:12" ht="75.75" thickBot="1" x14ac:dyDescent="0.3">
      <c r="A91" s="514" t="s">
        <v>179</v>
      </c>
      <c r="B91" s="515" t="s">
        <v>14</v>
      </c>
      <c r="C91" s="515" t="s">
        <v>14</v>
      </c>
      <c r="D91" s="1012" t="s">
        <v>180</v>
      </c>
      <c r="E91" s="516"/>
      <c r="F91" s="517"/>
      <c r="G91" s="518"/>
      <c r="H91" s="519"/>
      <c r="I91" s="520"/>
      <c r="J91" s="521">
        <f>J92</f>
        <v>9099316</v>
      </c>
      <c r="K91" s="422">
        <f>K92</f>
        <v>9099315.0199999996</v>
      </c>
      <c r="L91" s="522"/>
    </row>
    <row r="92" spans="1:12" ht="56.25" x14ac:dyDescent="0.25">
      <c r="A92" s="523" t="s">
        <v>181</v>
      </c>
      <c r="B92" s="524" t="s">
        <v>14</v>
      </c>
      <c r="C92" s="524" t="s">
        <v>14</v>
      </c>
      <c r="D92" s="1013" t="s">
        <v>180</v>
      </c>
      <c r="E92" s="525"/>
      <c r="F92" s="526"/>
      <c r="G92" s="527"/>
      <c r="H92" s="528"/>
      <c r="I92" s="529"/>
      <c r="J92" s="530">
        <f>J93</f>
        <v>9099316</v>
      </c>
      <c r="K92" s="427">
        <f>K93</f>
        <v>9099315.0199999996</v>
      </c>
      <c r="L92" s="531"/>
    </row>
    <row r="93" spans="1:12" ht="76.5" customHeight="1" thickBot="1" x14ac:dyDescent="0.3">
      <c r="A93" s="532" t="s">
        <v>521</v>
      </c>
      <c r="B93" s="484" t="s">
        <v>522</v>
      </c>
      <c r="C93" s="484" t="s">
        <v>258</v>
      </c>
      <c r="D93" s="1014" t="s">
        <v>523</v>
      </c>
      <c r="E93" s="1015" t="s">
        <v>524</v>
      </c>
      <c r="F93" s="983"/>
      <c r="G93" s="533"/>
      <c r="H93" s="534"/>
      <c r="I93" s="535"/>
      <c r="J93" s="536">
        <f>1031901+206381+2798176+5062858</f>
        <v>9099316</v>
      </c>
      <c r="K93" s="536">
        <v>9099315.0199999996</v>
      </c>
      <c r="L93" s="537"/>
    </row>
    <row r="94" spans="1:12" ht="21" thickBot="1" x14ac:dyDescent="0.3">
      <c r="A94" s="538" t="s">
        <v>257</v>
      </c>
      <c r="B94" s="75" t="s">
        <v>257</v>
      </c>
      <c r="C94" s="75" t="s">
        <v>257</v>
      </c>
      <c r="D94" s="74" t="s">
        <v>138</v>
      </c>
      <c r="E94" s="97" t="s">
        <v>257</v>
      </c>
      <c r="F94" s="98" t="s">
        <v>257</v>
      </c>
      <c r="G94" s="99" t="s">
        <v>257</v>
      </c>
      <c r="H94" s="99" t="s">
        <v>257</v>
      </c>
      <c r="I94" s="99" t="s">
        <v>257</v>
      </c>
      <c r="J94" s="539">
        <f>J15+J31+J40+J44+J48+J36+J91+J24</f>
        <v>92000128</v>
      </c>
      <c r="K94" s="539">
        <f>K15+K31+K40+K44+K48+K36+K91+K24</f>
        <v>52734883.819999993</v>
      </c>
      <c r="L94" s="100" t="s">
        <v>257</v>
      </c>
    </row>
    <row r="95" spans="1:12" ht="20.25" x14ac:dyDescent="0.25">
      <c r="A95" s="102"/>
      <c r="B95" s="103"/>
      <c r="C95" s="103"/>
      <c r="D95" s="104"/>
      <c r="E95" s="105"/>
      <c r="F95" s="106"/>
      <c r="G95" s="107"/>
      <c r="H95" s="107"/>
      <c r="I95" s="107"/>
      <c r="J95" s="108"/>
      <c r="K95" s="108"/>
      <c r="L95" s="109"/>
    </row>
    <row r="96" spans="1:12" ht="18.75" customHeight="1" x14ac:dyDescent="0.3">
      <c r="A96" s="1266" t="s">
        <v>525</v>
      </c>
      <c r="B96" s="1266"/>
      <c r="C96" s="1266"/>
      <c r="D96" s="1266"/>
      <c r="E96" s="1266"/>
      <c r="F96" s="1266"/>
      <c r="G96" s="1266"/>
      <c r="H96" s="1266"/>
      <c r="I96" s="1266"/>
      <c r="J96" s="1266"/>
      <c r="K96" s="966"/>
      <c r="L96" s="964"/>
    </row>
    <row r="97" spans="1:12" ht="18.75" x14ac:dyDescent="0.3">
      <c r="A97" s="1266"/>
      <c r="B97" s="1266"/>
      <c r="C97" s="1266"/>
      <c r="D97" s="1266"/>
      <c r="E97" s="1266"/>
      <c r="F97" s="1266"/>
      <c r="G97" s="1266"/>
      <c r="H97" s="1266"/>
      <c r="I97" s="1266"/>
      <c r="J97" s="1266"/>
      <c r="K97" s="966"/>
      <c r="L97" s="964"/>
    </row>
    <row r="98" spans="1:12" x14ac:dyDescent="0.25">
      <c r="J98" s="1016"/>
      <c r="K98" s="1016"/>
    </row>
    <row r="99" spans="1:12" ht="20.25" x14ac:dyDescent="0.3">
      <c r="A99" s="110"/>
      <c r="B99" s="110"/>
      <c r="C99" s="17"/>
      <c r="D99" s="17"/>
      <c r="E99" s="17"/>
      <c r="F99" s="17"/>
      <c r="G99" s="111"/>
      <c r="H99" s="17"/>
      <c r="I99" s="17"/>
      <c r="J99" s="112"/>
      <c r="K99" s="112"/>
      <c r="L99" s="17"/>
    </row>
    <row r="100" spans="1:12" ht="21" x14ac:dyDescent="0.35">
      <c r="A100" s="113"/>
      <c r="B100" s="113"/>
      <c r="C100" s="114"/>
      <c r="D100" s="114"/>
      <c r="E100" s="114"/>
      <c r="F100" s="114"/>
      <c r="G100" s="114"/>
      <c r="H100" s="114"/>
      <c r="I100" s="114"/>
      <c r="J100" s="114"/>
      <c r="K100" s="114"/>
      <c r="L100" s="114"/>
    </row>
    <row r="101" spans="1:12" ht="20.25" x14ac:dyDescent="0.3">
      <c r="A101" s="115"/>
      <c r="B101" s="116"/>
      <c r="C101" s="117"/>
      <c r="D101" s="115"/>
      <c r="E101" s="118"/>
      <c r="F101" s="117"/>
      <c r="G101" s="111"/>
      <c r="H101" s="111"/>
      <c r="I101" s="111"/>
      <c r="J101" s="540"/>
      <c r="K101" s="540"/>
      <c r="L101" s="119"/>
    </row>
    <row r="102" spans="1:12" x14ac:dyDescent="0.25">
      <c r="B102" s="62"/>
      <c r="C102" s="62"/>
      <c r="D102" s="62"/>
      <c r="E102" s="62"/>
      <c r="F102" s="62"/>
      <c r="G102" s="62"/>
      <c r="H102" s="62"/>
      <c r="I102" s="62"/>
      <c r="J102" s="62"/>
      <c r="K102" s="62"/>
      <c r="L102" s="62"/>
    </row>
    <row r="103" spans="1:12" x14ac:dyDescent="0.25">
      <c r="B103" s="62"/>
      <c r="C103" s="62"/>
      <c r="D103" s="62"/>
      <c r="E103" s="62"/>
      <c r="F103" s="62"/>
      <c r="G103" s="62"/>
      <c r="H103" s="62"/>
      <c r="I103" s="62"/>
      <c r="J103" s="62"/>
      <c r="K103" s="62"/>
      <c r="L103" s="62"/>
    </row>
  </sheetData>
  <mergeCells count="77">
    <mergeCell ref="A12:A13"/>
    <mergeCell ref="B12:B13"/>
    <mergeCell ref="C12:C13"/>
    <mergeCell ref="D12:D13"/>
    <mergeCell ref="E12:E13"/>
    <mergeCell ref="I5:J5"/>
    <mergeCell ref="A9:L9"/>
    <mergeCell ref="A10:C10"/>
    <mergeCell ref="D10:L10"/>
    <mergeCell ref="A11:C11"/>
    <mergeCell ref="A57:A58"/>
    <mergeCell ref="B57:B58"/>
    <mergeCell ref="C57:C58"/>
    <mergeCell ref="D57:D58"/>
    <mergeCell ref="L12:L13"/>
    <mergeCell ref="A51:A52"/>
    <mergeCell ref="B51:B52"/>
    <mergeCell ref="C51:C52"/>
    <mergeCell ref="D51:D52"/>
    <mergeCell ref="F51:F52"/>
    <mergeCell ref="F12:F13"/>
    <mergeCell ref="G12:G13"/>
    <mergeCell ref="H12:H13"/>
    <mergeCell ref="I12:I13"/>
    <mergeCell ref="J12:J13"/>
    <mergeCell ref="K12:K13"/>
    <mergeCell ref="A53:A54"/>
    <mergeCell ref="B53:B54"/>
    <mergeCell ref="C53:C54"/>
    <mergeCell ref="D53:D54"/>
    <mergeCell ref="F53:F54"/>
    <mergeCell ref="A61:A62"/>
    <mergeCell ref="B61:B62"/>
    <mergeCell ref="C61:C62"/>
    <mergeCell ref="D61:D62"/>
    <mergeCell ref="F61:F62"/>
    <mergeCell ref="A59:A60"/>
    <mergeCell ref="B59:B60"/>
    <mergeCell ref="C59:C60"/>
    <mergeCell ref="D59:D60"/>
    <mergeCell ref="F59:F60"/>
    <mergeCell ref="A68:A69"/>
    <mergeCell ref="B68:B69"/>
    <mergeCell ref="C68:C69"/>
    <mergeCell ref="D68:D69"/>
    <mergeCell ref="F68:F69"/>
    <mergeCell ref="A64:A67"/>
    <mergeCell ref="B64:B67"/>
    <mergeCell ref="C64:C67"/>
    <mergeCell ref="D64:D67"/>
    <mergeCell ref="F64:F67"/>
    <mergeCell ref="F70:F71"/>
    <mergeCell ref="A72:A73"/>
    <mergeCell ref="B72:B73"/>
    <mergeCell ref="C72:C73"/>
    <mergeCell ref="D72:D73"/>
    <mergeCell ref="F72:F73"/>
    <mergeCell ref="A70:A71"/>
    <mergeCell ref="B70:B71"/>
    <mergeCell ref="C70:C71"/>
    <mergeCell ref="D70:D71"/>
    <mergeCell ref="A79:A82"/>
    <mergeCell ref="B79:B82"/>
    <mergeCell ref="C79:C82"/>
    <mergeCell ref="D79:D82"/>
    <mergeCell ref="F79:F82"/>
    <mergeCell ref="A85:A86"/>
    <mergeCell ref="B85:B86"/>
    <mergeCell ref="C85:C86"/>
    <mergeCell ref="D85:D86"/>
    <mergeCell ref="A97:J97"/>
    <mergeCell ref="A89:A90"/>
    <mergeCell ref="B89:B90"/>
    <mergeCell ref="C89:C90"/>
    <mergeCell ref="D89:D90"/>
    <mergeCell ref="F89:F90"/>
    <mergeCell ref="A96:J96"/>
  </mergeCells>
  <hyperlinks>
    <hyperlink ref="D28" r:id="rId1" location="n8" display="https://zakon.rada.gov.ua/rada/show/988-2016-%D1%80 - n8" xr:uid="{00000000-0004-0000-0700-000000000000}"/>
    <hyperlink ref="D29" r:id="rId2" location="n8" display="https://zakon.rada.gov.ua/rada/show/988-2016-%D1%80 - n8" xr:uid="{00000000-0004-0000-0700-000001000000}"/>
  </hyperlinks>
  <pageMargins left="0.70866141732283472" right="0.70866141732283472" top="0.74803149606299213" bottom="0.74803149606299213" header="0.31496062992125984" footer="0.31496062992125984"/>
  <pageSetup paperSize="9" scale="49" orientation="landscape" r:id="rId3"/>
  <rowBreaks count="1" manualBreakCount="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31"/>
  <sheetViews>
    <sheetView tabSelected="1" view="pageBreakPreview" topLeftCell="A10" zoomScaleNormal="100" zoomScaleSheetLayoutView="100" workbookViewId="0">
      <selection activeCell="F3" sqref="F3:H3"/>
    </sheetView>
  </sheetViews>
  <sheetFormatPr defaultRowHeight="15.75" x14ac:dyDescent="0.25"/>
  <cols>
    <col min="1" max="1" width="12.85546875" style="67" customWidth="1"/>
    <col min="2" max="2" width="13" style="67" customWidth="1"/>
    <col min="3" max="3" width="13.42578125" style="177" customWidth="1"/>
    <col min="4" max="4" width="25.5703125" style="67" customWidth="1"/>
    <col min="5" max="5" width="50.5703125" style="67" customWidth="1"/>
    <col min="6" max="6" width="19.140625" style="67" customWidth="1"/>
    <col min="7" max="7" width="15.42578125" style="67" customWidth="1"/>
    <col min="8" max="8" width="13.7109375" style="67" customWidth="1"/>
    <col min="9" max="256" width="9.140625" style="67"/>
    <col min="257" max="257" width="12.85546875" style="67" customWidth="1"/>
    <col min="258" max="258" width="13" style="67" customWidth="1"/>
    <col min="259" max="259" width="13.42578125" style="67" customWidth="1"/>
    <col min="260" max="260" width="25.5703125" style="67" customWidth="1"/>
    <col min="261" max="261" width="50.5703125" style="67" customWidth="1"/>
    <col min="262" max="262" width="19.140625" style="67" customWidth="1"/>
    <col min="263" max="263" width="16.42578125" style="67" customWidth="1"/>
    <col min="264" max="264" width="13.7109375" style="67" customWidth="1"/>
    <col min="265" max="512" width="9.140625" style="67"/>
    <col min="513" max="513" width="12.85546875" style="67" customWidth="1"/>
    <col min="514" max="514" width="13" style="67" customWidth="1"/>
    <col min="515" max="515" width="13.42578125" style="67" customWidth="1"/>
    <col min="516" max="516" width="25.5703125" style="67" customWidth="1"/>
    <col min="517" max="517" width="50.5703125" style="67" customWidth="1"/>
    <col min="518" max="518" width="19.140625" style="67" customWidth="1"/>
    <col min="519" max="519" width="16.42578125" style="67" customWidth="1"/>
    <col min="520" max="520" width="13.7109375" style="67" customWidth="1"/>
    <col min="521" max="768" width="9.140625" style="67"/>
    <col min="769" max="769" width="12.85546875" style="67" customWidth="1"/>
    <col min="770" max="770" width="13" style="67" customWidth="1"/>
    <col min="771" max="771" width="13.42578125" style="67" customWidth="1"/>
    <col min="772" max="772" width="25.5703125" style="67" customWidth="1"/>
    <col min="773" max="773" width="50.5703125" style="67" customWidth="1"/>
    <col min="774" max="774" width="19.140625" style="67" customWidth="1"/>
    <col min="775" max="775" width="16.42578125" style="67" customWidth="1"/>
    <col min="776" max="776" width="13.7109375" style="67" customWidth="1"/>
    <col min="777" max="1024" width="9.140625" style="67"/>
    <col min="1025" max="1025" width="12.85546875" style="67" customWidth="1"/>
    <col min="1026" max="1026" width="13" style="67" customWidth="1"/>
    <col min="1027" max="1027" width="13.42578125" style="67" customWidth="1"/>
    <col min="1028" max="1028" width="25.5703125" style="67" customWidth="1"/>
    <col min="1029" max="1029" width="50.5703125" style="67" customWidth="1"/>
    <col min="1030" max="1030" width="19.140625" style="67" customWidth="1"/>
    <col min="1031" max="1031" width="16.42578125" style="67" customWidth="1"/>
    <col min="1032" max="1032" width="13.7109375" style="67" customWidth="1"/>
    <col min="1033" max="1280" width="9.140625" style="67"/>
    <col min="1281" max="1281" width="12.85546875" style="67" customWidth="1"/>
    <col min="1282" max="1282" width="13" style="67" customWidth="1"/>
    <col min="1283" max="1283" width="13.42578125" style="67" customWidth="1"/>
    <col min="1284" max="1284" width="25.5703125" style="67" customWidth="1"/>
    <col min="1285" max="1285" width="50.5703125" style="67" customWidth="1"/>
    <col min="1286" max="1286" width="19.140625" style="67" customWidth="1"/>
    <col min="1287" max="1287" width="16.42578125" style="67" customWidth="1"/>
    <col min="1288" max="1288" width="13.7109375" style="67" customWidth="1"/>
    <col min="1289" max="1536" width="9.140625" style="67"/>
    <col min="1537" max="1537" width="12.85546875" style="67" customWidth="1"/>
    <col min="1538" max="1538" width="13" style="67" customWidth="1"/>
    <col min="1539" max="1539" width="13.42578125" style="67" customWidth="1"/>
    <col min="1540" max="1540" width="25.5703125" style="67" customWidth="1"/>
    <col min="1541" max="1541" width="50.5703125" style="67" customWidth="1"/>
    <col min="1542" max="1542" width="19.140625" style="67" customWidth="1"/>
    <col min="1543" max="1543" width="16.42578125" style="67" customWidth="1"/>
    <col min="1544" max="1544" width="13.7109375" style="67" customWidth="1"/>
    <col min="1545" max="1792" width="9.140625" style="67"/>
    <col min="1793" max="1793" width="12.85546875" style="67" customWidth="1"/>
    <col min="1794" max="1794" width="13" style="67" customWidth="1"/>
    <col min="1795" max="1795" width="13.42578125" style="67" customWidth="1"/>
    <col min="1796" max="1796" width="25.5703125" style="67" customWidth="1"/>
    <col min="1797" max="1797" width="50.5703125" style="67" customWidth="1"/>
    <col min="1798" max="1798" width="19.140625" style="67" customWidth="1"/>
    <col min="1799" max="1799" width="16.42578125" style="67" customWidth="1"/>
    <col min="1800" max="1800" width="13.7109375" style="67" customWidth="1"/>
    <col min="1801" max="2048" width="9.140625" style="67"/>
    <col min="2049" max="2049" width="12.85546875" style="67" customWidth="1"/>
    <col min="2050" max="2050" width="13" style="67" customWidth="1"/>
    <col min="2051" max="2051" width="13.42578125" style="67" customWidth="1"/>
    <col min="2052" max="2052" width="25.5703125" style="67" customWidth="1"/>
    <col min="2053" max="2053" width="50.5703125" style="67" customWidth="1"/>
    <col min="2054" max="2054" width="19.140625" style="67" customWidth="1"/>
    <col min="2055" max="2055" width="16.42578125" style="67" customWidth="1"/>
    <col min="2056" max="2056" width="13.7109375" style="67" customWidth="1"/>
    <col min="2057" max="2304" width="9.140625" style="67"/>
    <col min="2305" max="2305" width="12.85546875" style="67" customWidth="1"/>
    <col min="2306" max="2306" width="13" style="67" customWidth="1"/>
    <col min="2307" max="2307" width="13.42578125" style="67" customWidth="1"/>
    <col min="2308" max="2308" width="25.5703125" style="67" customWidth="1"/>
    <col min="2309" max="2309" width="50.5703125" style="67" customWidth="1"/>
    <col min="2310" max="2310" width="19.140625" style="67" customWidth="1"/>
    <col min="2311" max="2311" width="16.42578125" style="67" customWidth="1"/>
    <col min="2312" max="2312" width="13.7109375" style="67" customWidth="1"/>
    <col min="2313" max="2560" width="9.140625" style="67"/>
    <col min="2561" max="2561" width="12.85546875" style="67" customWidth="1"/>
    <col min="2562" max="2562" width="13" style="67" customWidth="1"/>
    <col min="2563" max="2563" width="13.42578125" style="67" customWidth="1"/>
    <col min="2564" max="2564" width="25.5703125" style="67" customWidth="1"/>
    <col min="2565" max="2565" width="50.5703125" style="67" customWidth="1"/>
    <col min="2566" max="2566" width="19.140625" style="67" customWidth="1"/>
    <col min="2567" max="2567" width="16.42578125" style="67" customWidth="1"/>
    <col min="2568" max="2568" width="13.7109375" style="67" customWidth="1"/>
    <col min="2569" max="2816" width="9.140625" style="67"/>
    <col min="2817" max="2817" width="12.85546875" style="67" customWidth="1"/>
    <col min="2818" max="2818" width="13" style="67" customWidth="1"/>
    <col min="2819" max="2819" width="13.42578125" style="67" customWidth="1"/>
    <col min="2820" max="2820" width="25.5703125" style="67" customWidth="1"/>
    <col min="2821" max="2821" width="50.5703125" style="67" customWidth="1"/>
    <col min="2822" max="2822" width="19.140625" style="67" customWidth="1"/>
    <col min="2823" max="2823" width="16.42578125" style="67" customWidth="1"/>
    <col min="2824" max="2824" width="13.7109375" style="67" customWidth="1"/>
    <col min="2825" max="3072" width="9.140625" style="67"/>
    <col min="3073" max="3073" width="12.85546875" style="67" customWidth="1"/>
    <col min="3074" max="3074" width="13" style="67" customWidth="1"/>
    <col min="3075" max="3075" width="13.42578125" style="67" customWidth="1"/>
    <col min="3076" max="3076" width="25.5703125" style="67" customWidth="1"/>
    <col min="3077" max="3077" width="50.5703125" style="67" customWidth="1"/>
    <col min="3078" max="3078" width="19.140625" style="67" customWidth="1"/>
    <col min="3079" max="3079" width="16.42578125" style="67" customWidth="1"/>
    <col min="3080" max="3080" width="13.7109375" style="67" customWidth="1"/>
    <col min="3081" max="3328" width="9.140625" style="67"/>
    <col min="3329" max="3329" width="12.85546875" style="67" customWidth="1"/>
    <col min="3330" max="3330" width="13" style="67" customWidth="1"/>
    <col min="3331" max="3331" width="13.42578125" style="67" customWidth="1"/>
    <col min="3332" max="3332" width="25.5703125" style="67" customWidth="1"/>
    <col min="3333" max="3333" width="50.5703125" style="67" customWidth="1"/>
    <col min="3334" max="3334" width="19.140625" style="67" customWidth="1"/>
    <col min="3335" max="3335" width="16.42578125" style="67" customWidth="1"/>
    <col min="3336" max="3336" width="13.7109375" style="67" customWidth="1"/>
    <col min="3337" max="3584" width="9.140625" style="67"/>
    <col min="3585" max="3585" width="12.85546875" style="67" customWidth="1"/>
    <col min="3586" max="3586" width="13" style="67" customWidth="1"/>
    <col min="3587" max="3587" width="13.42578125" style="67" customWidth="1"/>
    <col min="3588" max="3588" width="25.5703125" style="67" customWidth="1"/>
    <col min="3589" max="3589" width="50.5703125" style="67" customWidth="1"/>
    <col min="3590" max="3590" width="19.140625" style="67" customWidth="1"/>
    <col min="3591" max="3591" width="16.42578125" style="67" customWidth="1"/>
    <col min="3592" max="3592" width="13.7109375" style="67" customWidth="1"/>
    <col min="3593" max="3840" width="9.140625" style="67"/>
    <col min="3841" max="3841" width="12.85546875" style="67" customWidth="1"/>
    <col min="3842" max="3842" width="13" style="67" customWidth="1"/>
    <col min="3843" max="3843" width="13.42578125" style="67" customWidth="1"/>
    <col min="3844" max="3844" width="25.5703125" style="67" customWidth="1"/>
    <col min="3845" max="3845" width="50.5703125" style="67" customWidth="1"/>
    <col min="3846" max="3846" width="19.140625" style="67" customWidth="1"/>
    <col min="3847" max="3847" width="16.42578125" style="67" customWidth="1"/>
    <col min="3848" max="3848" width="13.7109375" style="67" customWidth="1"/>
    <col min="3849" max="4096" width="9.140625" style="67"/>
    <col min="4097" max="4097" width="12.85546875" style="67" customWidth="1"/>
    <col min="4098" max="4098" width="13" style="67" customWidth="1"/>
    <col min="4099" max="4099" width="13.42578125" style="67" customWidth="1"/>
    <col min="4100" max="4100" width="25.5703125" style="67" customWidth="1"/>
    <col min="4101" max="4101" width="50.5703125" style="67" customWidth="1"/>
    <col min="4102" max="4102" width="19.140625" style="67" customWidth="1"/>
    <col min="4103" max="4103" width="16.42578125" style="67" customWidth="1"/>
    <col min="4104" max="4104" width="13.7109375" style="67" customWidth="1"/>
    <col min="4105" max="4352" width="9.140625" style="67"/>
    <col min="4353" max="4353" width="12.85546875" style="67" customWidth="1"/>
    <col min="4354" max="4354" width="13" style="67" customWidth="1"/>
    <col min="4355" max="4355" width="13.42578125" style="67" customWidth="1"/>
    <col min="4356" max="4356" width="25.5703125" style="67" customWidth="1"/>
    <col min="4357" max="4357" width="50.5703125" style="67" customWidth="1"/>
    <col min="4358" max="4358" width="19.140625" style="67" customWidth="1"/>
    <col min="4359" max="4359" width="16.42578125" style="67" customWidth="1"/>
    <col min="4360" max="4360" width="13.7109375" style="67" customWidth="1"/>
    <col min="4361" max="4608" width="9.140625" style="67"/>
    <col min="4609" max="4609" width="12.85546875" style="67" customWidth="1"/>
    <col min="4610" max="4610" width="13" style="67" customWidth="1"/>
    <col min="4611" max="4611" width="13.42578125" style="67" customWidth="1"/>
    <col min="4612" max="4612" width="25.5703125" style="67" customWidth="1"/>
    <col min="4613" max="4613" width="50.5703125" style="67" customWidth="1"/>
    <col min="4614" max="4614" width="19.140625" style="67" customWidth="1"/>
    <col min="4615" max="4615" width="16.42578125" style="67" customWidth="1"/>
    <col min="4616" max="4616" width="13.7109375" style="67" customWidth="1"/>
    <col min="4617" max="4864" width="9.140625" style="67"/>
    <col min="4865" max="4865" width="12.85546875" style="67" customWidth="1"/>
    <col min="4866" max="4866" width="13" style="67" customWidth="1"/>
    <col min="4867" max="4867" width="13.42578125" style="67" customWidth="1"/>
    <col min="4868" max="4868" width="25.5703125" style="67" customWidth="1"/>
    <col min="4869" max="4869" width="50.5703125" style="67" customWidth="1"/>
    <col min="4870" max="4870" width="19.140625" style="67" customWidth="1"/>
    <col min="4871" max="4871" width="16.42578125" style="67" customWidth="1"/>
    <col min="4872" max="4872" width="13.7109375" style="67" customWidth="1"/>
    <col min="4873" max="5120" width="9.140625" style="67"/>
    <col min="5121" max="5121" width="12.85546875" style="67" customWidth="1"/>
    <col min="5122" max="5122" width="13" style="67" customWidth="1"/>
    <col min="5123" max="5123" width="13.42578125" style="67" customWidth="1"/>
    <col min="5124" max="5124" width="25.5703125" style="67" customWidth="1"/>
    <col min="5125" max="5125" width="50.5703125" style="67" customWidth="1"/>
    <col min="5126" max="5126" width="19.140625" style="67" customWidth="1"/>
    <col min="5127" max="5127" width="16.42578125" style="67" customWidth="1"/>
    <col min="5128" max="5128" width="13.7109375" style="67" customWidth="1"/>
    <col min="5129" max="5376" width="9.140625" style="67"/>
    <col min="5377" max="5377" width="12.85546875" style="67" customWidth="1"/>
    <col min="5378" max="5378" width="13" style="67" customWidth="1"/>
    <col min="5379" max="5379" width="13.42578125" style="67" customWidth="1"/>
    <col min="5380" max="5380" width="25.5703125" style="67" customWidth="1"/>
    <col min="5381" max="5381" width="50.5703125" style="67" customWidth="1"/>
    <col min="5382" max="5382" width="19.140625" style="67" customWidth="1"/>
    <col min="5383" max="5383" width="16.42578125" style="67" customWidth="1"/>
    <col min="5384" max="5384" width="13.7109375" style="67" customWidth="1"/>
    <col min="5385" max="5632" width="9.140625" style="67"/>
    <col min="5633" max="5633" width="12.85546875" style="67" customWidth="1"/>
    <col min="5634" max="5634" width="13" style="67" customWidth="1"/>
    <col min="5635" max="5635" width="13.42578125" style="67" customWidth="1"/>
    <col min="5636" max="5636" width="25.5703125" style="67" customWidth="1"/>
    <col min="5637" max="5637" width="50.5703125" style="67" customWidth="1"/>
    <col min="5638" max="5638" width="19.140625" style="67" customWidth="1"/>
    <col min="5639" max="5639" width="16.42578125" style="67" customWidth="1"/>
    <col min="5640" max="5640" width="13.7109375" style="67" customWidth="1"/>
    <col min="5641" max="5888" width="9.140625" style="67"/>
    <col min="5889" max="5889" width="12.85546875" style="67" customWidth="1"/>
    <col min="5890" max="5890" width="13" style="67" customWidth="1"/>
    <col min="5891" max="5891" width="13.42578125" style="67" customWidth="1"/>
    <col min="5892" max="5892" width="25.5703125" style="67" customWidth="1"/>
    <col min="5893" max="5893" width="50.5703125" style="67" customWidth="1"/>
    <col min="5894" max="5894" width="19.140625" style="67" customWidth="1"/>
    <col min="5895" max="5895" width="16.42578125" style="67" customWidth="1"/>
    <col min="5896" max="5896" width="13.7109375" style="67" customWidth="1"/>
    <col min="5897" max="6144" width="9.140625" style="67"/>
    <col min="6145" max="6145" width="12.85546875" style="67" customWidth="1"/>
    <col min="6146" max="6146" width="13" style="67" customWidth="1"/>
    <col min="6147" max="6147" width="13.42578125" style="67" customWidth="1"/>
    <col min="6148" max="6148" width="25.5703125" style="67" customWidth="1"/>
    <col min="6149" max="6149" width="50.5703125" style="67" customWidth="1"/>
    <col min="6150" max="6150" width="19.140625" style="67" customWidth="1"/>
    <col min="6151" max="6151" width="16.42578125" style="67" customWidth="1"/>
    <col min="6152" max="6152" width="13.7109375" style="67" customWidth="1"/>
    <col min="6153" max="6400" width="9.140625" style="67"/>
    <col min="6401" max="6401" width="12.85546875" style="67" customWidth="1"/>
    <col min="6402" max="6402" width="13" style="67" customWidth="1"/>
    <col min="6403" max="6403" width="13.42578125" style="67" customWidth="1"/>
    <col min="6404" max="6404" width="25.5703125" style="67" customWidth="1"/>
    <col min="6405" max="6405" width="50.5703125" style="67" customWidth="1"/>
    <col min="6406" max="6406" width="19.140625" style="67" customWidth="1"/>
    <col min="6407" max="6407" width="16.42578125" style="67" customWidth="1"/>
    <col min="6408" max="6408" width="13.7109375" style="67" customWidth="1"/>
    <col min="6409" max="6656" width="9.140625" style="67"/>
    <col min="6657" max="6657" width="12.85546875" style="67" customWidth="1"/>
    <col min="6658" max="6658" width="13" style="67" customWidth="1"/>
    <col min="6659" max="6659" width="13.42578125" style="67" customWidth="1"/>
    <col min="6660" max="6660" width="25.5703125" style="67" customWidth="1"/>
    <col min="6661" max="6661" width="50.5703125" style="67" customWidth="1"/>
    <col min="6662" max="6662" width="19.140625" style="67" customWidth="1"/>
    <col min="6663" max="6663" width="16.42578125" style="67" customWidth="1"/>
    <col min="6664" max="6664" width="13.7109375" style="67" customWidth="1"/>
    <col min="6665" max="6912" width="9.140625" style="67"/>
    <col min="6913" max="6913" width="12.85546875" style="67" customWidth="1"/>
    <col min="6914" max="6914" width="13" style="67" customWidth="1"/>
    <col min="6915" max="6915" width="13.42578125" style="67" customWidth="1"/>
    <col min="6916" max="6916" width="25.5703125" style="67" customWidth="1"/>
    <col min="6917" max="6917" width="50.5703125" style="67" customWidth="1"/>
    <col min="6918" max="6918" width="19.140625" style="67" customWidth="1"/>
    <col min="6919" max="6919" width="16.42578125" style="67" customWidth="1"/>
    <col min="6920" max="6920" width="13.7109375" style="67" customWidth="1"/>
    <col min="6921" max="7168" width="9.140625" style="67"/>
    <col min="7169" max="7169" width="12.85546875" style="67" customWidth="1"/>
    <col min="7170" max="7170" width="13" style="67" customWidth="1"/>
    <col min="7171" max="7171" width="13.42578125" style="67" customWidth="1"/>
    <col min="7172" max="7172" width="25.5703125" style="67" customWidth="1"/>
    <col min="7173" max="7173" width="50.5703125" style="67" customWidth="1"/>
    <col min="7174" max="7174" width="19.140625" style="67" customWidth="1"/>
    <col min="7175" max="7175" width="16.42578125" style="67" customWidth="1"/>
    <col min="7176" max="7176" width="13.7109375" style="67" customWidth="1"/>
    <col min="7177" max="7424" width="9.140625" style="67"/>
    <col min="7425" max="7425" width="12.85546875" style="67" customWidth="1"/>
    <col min="7426" max="7426" width="13" style="67" customWidth="1"/>
    <col min="7427" max="7427" width="13.42578125" style="67" customWidth="1"/>
    <col min="7428" max="7428" width="25.5703125" style="67" customWidth="1"/>
    <col min="7429" max="7429" width="50.5703125" style="67" customWidth="1"/>
    <col min="7430" max="7430" width="19.140625" style="67" customWidth="1"/>
    <col min="7431" max="7431" width="16.42578125" style="67" customWidth="1"/>
    <col min="7432" max="7432" width="13.7109375" style="67" customWidth="1"/>
    <col min="7433" max="7680" width="9.140625" style="67"/>
    <col min="7681" max="7681" width="12.85546875" style="67" customWidth="1"/>
    <col min="7682" max="7682" width="13" style="67" customWidth="1"/>
    <col min="7683" max="7683" width="13.42578125" style="67" customWidth="1"/>
    <col min="7684" max="7684" width="25.5703125" style="67" customWidth="1"/>
    <col min="7685" max="7685" width="50.5703125" style="67" customWidth="1"/>
    <col min="7686" max="7686" width="19.140625" style="67" customWidth="1"/>
    <col min="7687" max="7687" width="16.42578125" style="67" customWidth="1"/>
    <col min="7688" max="7688" width="13.7109375" style="67" customWidth="1"/>
    <col min="7689" max="7936" width="9.140625" style="67"/>
    <col min="7937" max="7937" width="12.85546875" style="67" customWidth="1"/>
    <col min="7938" max="7938" width="13" style="67" customWidth="1"/>
    <col min="7939" max="7939" width="13.42578125" style="67" customWidth="1"/>
    <col min="7940" max="7940" width="25.5703125" style="67" customWidth="1"/>
    <col min="7941" max="7941" width="50.5703125" style="67" customWidth="1"/>
    <col min="7942" max="7942" width="19.140625" style="67" customWidth="1"/>
    <col min="7943" max="7943" width="16.42578125" style="67" customWidth="1"/>
    <col min="7944" max="7944" width="13.7109375" style="67" customWidth="1"/>
    <col min="7945" max="8192" width="9.140625" style="67"/>
    <col min="8193" max="8193" width="12.85546875" style="67" customWidth="1"/>
    <col min="8194" max="8194" width="13" style="67" customWidth="1"/>
    <col min="8195" max="8195" width="13.42578125" style="67" customWidth="1"/>
    <col min="8196" max="8196" width="25.5703125" style="67" customWidth="1"/>
    <col min="8197" max="8197" width="50.5703125" style="67" customWidth="1"/>
    <col min="8198" max="8198" width="19.140625" style="67" customWidth="1"/>
    <col min="8199" max="8199" width="16.42578125" style="67" customWidth="1"/>
    <col min="8200" max="8200" width="13.7109375" style="67" customWidth="1"/>
    <col min="8201" max="8448" width="9.140625" style="67"/>
    <col min="8449" max="8449" width="12.85546875" style="67" customWidth="1"/>
    <col min="8450" max="8450" width="13" style="67" customWidth="1"/>
    <col min="8451" max="8451" width="13.42578125" style="67" customWidth="1"/>
    <col min="8452" max="8452" width="25.5703125" style="67" customWidth="1"/>
    <col min="8453" max="8453" width="50.5703125" style="67" customWidth="1"/>
    <col min="8454" max="8454" width="19.140625" style="67" customWidth="1"/>
    <col min="8455" max="8455" width="16.42578125" style="67" customWidth="1"/>
    <col min="8456" max="8456" width="13.7109375" style="67" customWidth="1"/>
    <col min="8457" max="8704" width="9.140625" style="67"/>
    <col min="8705" max="8705" width="12.85546875" style="67" customWidth="1"/>
    <col min="8706" max="8706" width="13" style="67" customWidth="1"/>
    <col min="8707" max="8707" width="13.42578125" style="67" customWidth="1"/>
    <col min="8708" max="8708" width="25.5703125" style="67" customWidth="1"/>
    <col min="8709" max="8709" width="50.5703125" style="67" customWidth="1"/>
    <col min="8710" max="8710" width="19.140625" style="67" customWidth="1"/>
    <col min="8711" max="8711" width="16.42578125" style="67" customWidth="1"/>
    <col min="8712" max="8712" width="13.7109375" style="67" customWidth="1"/>
    <col min="8713" max="8960" width="9.140625" style="67"/>
    <col min="8961" max="8961" width="12.85546875" style="67" customWidth="1"/>
    <col min="8962" max="8962" width="13" style="67" customWidth="1"/>
    <col min="8963" max="8963" width="13.42578125" style="67" customWidth="1"/>
    <col min="8964" max="8964" width="25.5703125" style="67" customWidth="1"/>
    <col min="8965" max="8965" width="50.5703125" style="67" customWidth="1"/>
    <col min="8966" max="8966" width="19.140625" style="67" customWidth="1"/>
    <col min="8967" max="8967" width="16.42578125" style="67" customWidth="1"/>
    <col min="8968" max="8968" width="13.7109375" style="67" customWidth="1"/>
    <col min="8969" max="9216" width="9.140625" style="67"/>
    <col min="9217" max="9217" width="12.85546875" style="67" customWidth="1"/>
    <col min="9218" max="9218" width="13" style="67" customWidth="1"/>
    <col min="9219" max="9219" width="13.42578125" style="67" customWidth="1"/>
    <col min="9220" max="9220" width="25.5703125" style="67" customWidth="1"/>
    <col min="9221" max="9221" width="50.5703125" style="67" customWidth="1"/>
    <col min="9222" max="9222" width="19.140625" style="67" customWidth="1"/>
    <col min="9223" max="9223" width="16.42578125" style="67" customWidth="1"/>
    <col min="9224" max="9224" width="13.7109375" style="67" customWidth="1"/>
    <col min="9225" max="9472" width="9.140625" style="67"/>
    <col min="9473" max="9473" width="12.85546875" style="67" customWidth="1"/>
    <col min="9474" max="9474" width="13" style="67" customWidth="1"/>
    <col min="9475" max="9475" width="13.42578125" style="67" customWidth="1"/>
    <col min="9476" max="9476" width="25.5703125" style="67" customWidth="1"/>
    <col min="9477" max="9477" width="50.5703125" style="67" customWidth="1"/>
    <col min="9478" max="9478" width="19.140625" style="67" customWidth="1"/>
    <col min="9479" max="9479" width="16.42578125" style="67" customWidth="1"/>
    <col min="9480" max="9480" width="13.7109375" style="67" customWidth="1"/>
    <col min="9481" max="9728" width="9.140625" style="67"/>
    <col min="9729" max="9729" width="12.85546875" style="67" customWidth="1"/>
    <col min="9730" max="9730" width="13" style="67" customWidth="1"/>
    <col min="9731" max="9731" width="13.42578125" style="67" customWidth="1"/>
    <col min="9732" max="9732" width="25.5703125" style="67" customWidth="1"/>
    <col min="9733" max="9733" width="50.5703125" style="67" customWidth="1"/>
    <col min="9734" max="9734" width="19.140625" style="67" customWidth="1"/>
    <col min="9735" max="9735" width="16.42578125" style="67" customWidth="1"/>
    <col min="9736" max="9736" width="13.7109375" style="67" customWidth="1"/>
    <col min="9737" max="9984" width="9.140625" style="67"/>
    <col min="9985" max="9985" width="12.85546875" style="67" customWidth="1"/>
    <col min="9986" max="9986" width="13" style="67" customWidth="1"/>
    <col min="9987" max="9987" width="13.42578125" style="67" customWidth="1"/>
    <col min="9988" max="9988" width="25.5703125" style="67" customWidth="1"/>
    <col min="9989" max="9989" width="50.5703125" style="67" customWidth="1"/>
    <col min="9990" max="9990" width="19.140625" style="67" customWidth="1"/>
    <col min="9991" max="9991" width="16.42578125" style="67" customWidth="1"/>
    <col min="9992" max="9992" width="13.7109375" style="67" customWidth="1"/>
    <col min="9993" max="10240" width="9.140625" style="67"/>
    <col min="10241" max="10241" width="12.85546875" style="67" customWidth="1"/>
    <col min="10242" max="10242" width="13" style="67" customWidth="1"/>
    <col min="10243" max="10243" width="13.42578125" style="67" customWidth="1"/>
    <col min="10244" max="10244" width="25.5703125" style="67" customWidth="1"/>
    <col min="10245" max="10245" width="50.5703125" style="67" customWidth="1"/>
    <col min="10246" max="10246" width="19.140625" style="67" customWidth="1"/>
    <col min="10247" max="10247" width="16.42578125" style="67" customWidth="1"/>
    <col min="10248" max="10248" width="13.7109375" style="67" customWidth="1"/>
    <col min="10249" max="10496" width="9.140625" style="67"/>
    <col min="10497" max="10497" width="12.85546875" style="67" customWidth="1"/>
    <col min="10498" max="10498" width="13" style="67" customWidth="1"/>
    <col min="10499" max="10499" width="13.42578125" style="67" customWidth="1"/>
    <col min="10500" max="10500" width="25.5703125" style="67" customWidth="1"/>
    <col min="10501" max="10501" width="50.5703125" style="67" customWidth="1"/>
    <col min="10502" max="10502" width="19.140625" style="67" customWidth="1"/>
    <col min="10503" max="10503" width="16.42578125" style="67" customWidth="1"/>
    <col min="10504" max="10504" width="13.7109375" style="67" customWidth="1"/>
    <col min="10505" max="10752" width="9.140625" style="67"/>
    <col min="10753" max="10753" width="12.85546875" style="67" customWidth="1"/>
    <col min="10754" max="10754" width="13" style="67" customWidth="1"/>
    <col min="10755" max="10755" width="13.42578125" style="67" customWidth="1"/>
    <col min="10756" max="10756" width="25.5703125" style="67" customWidth="1"/>
    <col min="10757" max="10757" width="50.5703125" style="67" customWidth="1"/>
    <col min="10758" max="10758" width="19.140625" style="67" customWidth="1"/>
    <col min="10759" max="10759" width="16.42578125" style="67" customWidth="1"/>
    <col min="10760" max="10760" width="13.7109375" style="67" customWidth="1"/>
    <col min="10761" max="11008" width="9.140625" style="67"/>
    <col min="11009" max="11009" width="12.85546875" style="67" customWidth="1"/>
    <col min="11010" max="11010" width="13" style="67" customWidth="1"/>
    <col min="11011" max="11011" width="13.42578125" style="67" customWidth="1"/>
    <col min="11012" max="11012" width="25.5703125" style="67" customWidth="1"/>
    <col min="11013" max="11013" width="50.5703125" style="67" customWidth="1"/>
    <col min="11014" max="11014" width="19.140625" style="67" customWidth="1"/>
    <col min="11015" max="11015" width="16.42578125" style="67" customWidth="1"/>
    <col min="11016" max="11016" width="13.7109375" style="67" customWidth="1"/>
    <col min="11017" max="11264" width="9.140625" style="67"/>
    <col min="11265" max="11265" width="12.85546875" style="67" customWidth="1"/>
    <col min="11266" max="11266" width="13" style="67" customWidth="1"/>
    <col min="11267" max="11267" width="13.42578125" style="67" customWidth="1"/>
    <col min="11268" max="11268" width="25.5703125" style="67" customWidth="1"/>
    <col min="11269" max="11269" width="50.5703125" style="67" customWidth="1"/>
    <col min="11270" max="11270" width="19.140625" style="67" customWidth="1"/>
    <col min="11271" max="11271" width="16.42578125" style="67" customWidth="1"/>
    <col min="11272" max="11272" width="13.7109375" style="67" customWidth="1"/>
    <col min="11273" max="11520" width="9.140625" style="67"/>
    <col min="11521" max="11521" width="12.85546875" style="67" customWidth="1"/>
    <col min="11522" max="11522" width="13" style="67" customWidth="1"/>
    <col min="11523" max="11523" width="13.42578125" style="67" customWidth="1"/>
    <col min="11524" max="11524" width="25.5703125" style="67" customWidth="1"/>
    <col min="11525" max="11525" width="50.5703125" style="67" customWidth="1"/>
    <col min="11526" max="11526" width="19.140625" style="67" customWidth="1"/>
    <col min="11527" max="11527" width="16.42578125" style="67" customWidth="1"/>
    <col min="11528" max="11528" width="13.7109375" style="67" customWidth="1"/>
    <col min="11529" max="11776" width="9.140625" style="67"/>
    <col min="11777" max="11777" width="12.85546875" style="67" customWidth="1"/>
    <col min="11778" max="11778" width="13" style="67" customWidth="1"/>
    <col min="11779" max="11779" width="13.42578125" style="67" customWidth="1"/>
    <col min="11780" max="11780" width="25.5703125" style="67" customWidth="1"/>
    <col min="11781" max="11781" width="50.5703125" style="67" customWidth="1"/>
    <col min="11782" max="11782" width="19.140625" style="67" customWidth="1"/>
    <col min="11783" max="11783" width="16.42578125" style="67" customWidth="1"/>
    <col min="11784" max="11784" width="13.7109375" style="67" customWidth="1"/>
    <col min="11785" max="12032" width="9.140625" style="67"/>
    <col min="12033" max="12033" width="12.85546875" style="67" customWidth="1"/>
    <col min="12034" max="12034" width="13" style="67" customWidth="1"/>
    <col min="12035" max="12035" width="13.42578125" style="67" customWidth="1"/>
    <col min="12036" max="12036" width="25.5703125" style="67" customWidth="1"/>
    <col min="12037" max="12037" width="50.5703125" style="67" customWidth="1"/>
    <col min="12038" max="12038" width="19.140625" style="67" customWidth="1"/>
    <col min="12039" max="12039" width="16.42578125" style="67" customWidth="1"/>
    <col min="12040" max="12040" width="13.7109375" style="67" customWidth="1"/>
    <col min="12041" max="12288" width="9.140625" style="67"/>
    <col min="12289" max="12289" width="12.85546875" style="67" customWidth="1"/>
    <col min="12290" max="12290" width="13" style="67" customWidth="1"/>
    <col min="12291" max="12291" width="13.42578125" style="67" customWidth="1"/>
    <col min="12292" max="12292" width="25.5703125" style="67" customWidth="1"/>
    <col min="12293" max="12293" width="50.5703125" style="67" customWidth="1"/>
    <col min="12294" max="12294" width="19.140625" style="67" customWidth="1"/>
    <col min="12295" max="12295" width="16.42578125" style="67" customWidth="1"/>
    <col min="12296" max="12296" width="13.7109375" style="67" customWidth="1"/>
    <col min="12297" max="12544" width="9.140625" style="67"/>
    <col min="12545" max="12545" width="12.85546875" style="67" customWidth="1"/>
    <col min="12546" max="12546" width="13" style="67" customWidth="1"/>
    <col min="12547" max="12547" width="13.42578125" style="67" customWidth="1"/>
    <col min="12548" max="12548" width="25.5703125" style="67" customWidth="1"/>
    <col min="12549" max="12549" width="50.5703125" style="67" customWidth="1"/>
    <col min="12550" max="12550" width="19.140625" style="67" customWidth="1"/>
    <col min="12551" max="12551" width="16.42578125" style="67" customWidth="1"/>
    <col min="12552" max="12552" width="13.7109375" style="67" customWidth="1"/>
    <col min="12553" max="12800" width="9.140625" style="67"/>
    <col min="12801" max="12801" width="12.85546875" style="67" customWidth="1"/>
    <col min="12802" max="12802" width="13" style="67" customWidth="1"/>
    <col min="12803" max="12803" width="13.42578125" style="67" customWidth="1"/>
    <col min="12804" max="12804" width="25.5703125" style="67" customWidth="1"/>
    <col min="12805" max="12805" width="50.5703125" style="67" customWidth="1"/>
    <col min="12806" max="12806" width="19.140625" style="67" customWidth="1"/>
    <col min="12807" max="12807" width="16.42578125" style="67" customWidth="1"/>
    <col min="12808" max="12808" width="13.7109375" style="67" customWidth="1"/>
    <col min="12809" max="13056" width="9.140625" style="67"/>
    <col min="13057" max="13057" width="12.85546875" style="67" customWidth="1"/>
    <col min="13058" max="13058" width="13" style="67" customWidth="1"/>
    <col min="13059" max="13059" width="13.42578125" style="67" customWidth="1"/>
    <col min="13060" max="13060" width="25.5703125" style="67" customWidth="1"/>
    <col min="13061" max="13061" width="50.5703125" style="67" customWidth="1"/>
    <col min="13062" max="13062" width="19.140625" style="67" customWidth="1"/>
    <col min="13063" max="13063" width="16.42578125" style="67" customWidth="1"/>
    <col min="13064" max="13064" width="13.7109375" style="67" customWidth="1"/>
    <col min="13065" max="13312" width="9.140625" style="67"/>
    <col min="13313" max="13313" width="12.85546875" style="67" customWidth="1"/>
    <col min="13314" max="13314" width="13" style="67" customWidth="1"/>
    <col min="13315" max="13315" width="13.42578125" style="67" customWidth="1"/>
    <col min="13316" max="13316" width="25.5703125" style="67" customWidth="1"/>
    <col min="13317" max="13317" width="50.5703125" style="67" customWidth="1"/>
    <col min="13318" max="13318" width="19.140625" style="67" customWidth="1"/>
    <col min="13319" max="13319" width="16.42578125" style="67" customWidth="1"/>
    <col min="13320" max="13320" width="13.7109375" style="67" customWidth="1"/>
    <col min="13321" max="13568" width="9.140625" style="67"/>
    <col min="13569" max="13569" width="12.85546875" style="67" customWidth="1"/>
    <col min="13570" max="13570" width="13" style="67" customWidth="1"/>
    <col min="13571" max="13571" width="13.42578125" style="67" customWidth="1"/>
    <col min="13572" max="13572" width="25.5703125" style="67" customWidth="1"/>
    <col min="13573" max="13573" width="50.5703125" style="67" customWidth="1"/>
    <col min="13574" max="13574" width="19.140625" style="67" customWidth="1"/>
    <col min="13575" max="13575" width="16.42578125" style="67" customWidth="1"/>
    <col min="13576" max="13576" width="13.7109375" style="67" customWidth="1"/>
    <col min="13577" max="13824" width="9.140625" style="67"/>
    <col min="13825" max="13825" width="12.85546875" style="67" customWidth="1"/>
    <col min="13826" max="13826" width="13" style="67" customWidth="1"/>
    <col min="13827" max="13827" width="13.42578125" style="67" customWidth="1"/>
    <col min="13828" max="13828" width="25.5703125" style="67" customWidth="1"/>
    <col min="13829" max="13829" width="50.5703125" style="67" customWidth="1"/>
    <col min="13830" max="13830" width="19.140625" style="67" customWidth="1"/>
    <col min="13831" max="13831" width="16.42578125" style="67" customWidth="1"/>
    <col min="13832" max="13832" width="13.7109375" style="67" customWidth="1"/>
    <col min="13833" max="14080" width="9.140625" style="67"/>
    <col min="14081" max="14081" width="12.85546875" style="67" customWidth="1"/>
    <col min="14082" max="14082" width="13" style="67" customWidth="1"/>
    <col min="14083" max="14083" width="13.42578125" style="67" customWidth="1"/>
    <col min="14084" max="14084" width="25.5703125" style="67" customWidth="1"/>
    <col min="14085" max="14085" width="50.5703125" style="67" customWidth="1"/>
    <col min="14086" max="14086" width="19.140625" style="67" customWidth="1"/>
    <col min="14087" max="14087" width="16.42578125" style="67" customWidth="1"/>
    <col min="14088" max="14088" width="13.7109375" style="67" customWidth="1"/>
    <col min="14089" max="14336" width="9.140625" style="67"/>
    <col min="14337" max="14337" width="12.85546875" style="67" customWidth="1"/>
    <col min="14338" max="14338" width="13" style="67" customWidth="1"/>
    <col min="14339" max="14339" width="13.42578125" style="67" customWidth="1"/>
    <col min="14340" max="14340" width="25.5703125" style="67" customWidth="1"/>
    <col min="14341" max="14341" width="50.5703125" style="67" customWidth="1"/>
    <col min="14342" max="14342" width="19.140625" style="67" customWidth="1"/>
    <col min="14343" max="14343" width="16.42578125" style="67" customWidth="1"/>
    <col min="14344" max="14344" width="13.7109375" style="67" customWidth="1"/>
    <col min="14345" max="14592" width="9.140625" style="67"/>
    <col min="14593" max="14593" width="12.85546875" style="67" customWidth="1"/>
    <col min="14594" max="14594" width="13" style="67" customWidth="1"/>
    <col min="14595" max="14595" width="13.42578125" style="67" customWidth="1"/>
    <col min="14596" max="14596" width="25.5703125" style="67" customWidth="1"/>
    <col min="14597" max="14597" width="50.5703125" style="67" customWidth="1"/>
    <col min="14598" max="14598" width="19.140625" style="67" customWidth="1"/>
    <col min="14599" max="14599" width="16.42578125" style="67" customWidth="1"/>
    <col min="14600" max="14600" width="13.7109375" style="67" customWidth="1"/>
    <col min="14601" max="14848" width="9.140625" style="67"/>
    <col min="14849" max="14849" width="12.85546875" style="67" customWidth="1"/>
    <col min="14850" max="14850" width="13" style="67" customWidth="1"/>
    <col min="14851" max="14851" width="13.42578125" style="67" customWidth="1"/>
    <col min="14852" max="14852" width="25.5703125" style="67" customWidth="1"/>
    <col min="14853" max="14853" width="50.5703125" style="67" customWidth="1"/>
    <col min="14854" max="14854" width="19.140625" style="67" customWidth="1"/>
    <col min="14855" max="14855" width="16.42578125" style="67" customWidth="1"/>
    <col min="14856" max="14856" width="13.7109375" style="67" customWidth="1"/>
    <col min="14857" max="15104" width="9.140625" style="67"/>
    <col min="15105" max="15105" width="12.85546875" style="67" customWidth="1"/>
    <col min="15106" max="15106" width="13" style="67" customWidth="1"/>
    <col min="15107" max="15107" width="13.42578125" style="67" customWidth="1"/>
    <col min="15108" max="15108" width="25.5703125" style="67" customWidth="1"/>
    <col min="15109" max="15109" width="50.5703125" style="67" customWidth="1"/>
    <col min="15110" max="15110" width="19.140625" style="67" customWidth="1"/>
    <col min="15111" max="15111" width="16.42578125" style="67" customWidth="1"/>
    <col min="15112" max="15112" width="13.7109375" style="67" customWidth="1"/>
    <col min="15113" max="15360" width="9.140625" style="67"/>
    <col min="15361" max="15361" width="12.85546875" style="67" customWidth="1"/>
    <col min="15362" max="15362" width="13" style="67" customWidth="1"/>
    <col min="15363" max="15363" width="13.42578125" style="67" customWidth="1"/>
    <col min="15364" max="15364" width="25.5703125" style="67" customWidth="1"/>
    <col min="15365" max="15365" width="50.5703125" style="67" customWidth="1"/>
    <col min="15366" max="15366" width="19.140625" style="67" customWidth="1"/>
    <col min="15367" max="15367" width="16.42578125" style="67" customWidth="1"/>
    <col min="15368" max="15368" width="13.7109375" style="67" customWidth="1"/>
    <col min="15369" max="15616" width="9.140625" style="67"/>
    <col min="15617" max="15617" width="12.85546875" style="67" customWidth="1"/>
    <col min="15618" max="15618" width="13" style="67" customWidth="1"/>
    <col min="15619" max="15619" width="13.42578125" style="67" customWidth="1"/>
    <col min="15620" max="15620" width="25.5703125" style="67" customWidth="1"/>
    <col min="15621" max="15621" width="50.5703125" style="67" customWidth="1"/>
    <col min="15622" max="15622" width="19.140625" style="67" customWidth="1"/>
    <col min="15623" max="15623" width="16.42578125" style="67" customWidth="1"/>
    <col min="15624" max="15624" width="13.7109375" style="67" customWidth="1"/>
    <col min="15625" max="15872" width="9.140625" style="67"/>
    <col min="15873" max="15873" width="12.85546875" style="67" customWidth="1"/>
    <col min="15874" max="15874" width="13" style="67" customWidth="1"/>
    <col min="15875" max="15875" width="13.42578125" style="67" customWidth="1"/>
    <col min="15876" max="15876" width="25.5703125" style="67" customWidth="1"/>
    <col min="15877" max="15877" width="50.5703125" style="67" customWidth="1"/>
    <col min="15878" max="15878" width="19.140625" style="67" customWidth="1"/>
    <col min="15879" max="15879" width="16.42578125" style="67" customWidth="1"/>
    <col min="15880" max="15880" width="13.7109375" style="67" customWidth="1"/>
    <col min="15881" max="16128" width="9.140625" style="67"/>
    <col min="16129" max="16129" width="12.85546875" style="67" customWidth="1"/>
    <col min="16130" max="16130" width="13" style="67" customWidth="1"/>
    <col min="16131" max="16131" width="13.42578125" style="67" customWidth="1"/>
    <col min="16132" max="16132" width="25.5703125" style="67" customWidth="1"/>
    <col min="16133" max="16133" width="50.5703125" style="67" customWidth="1"/>
    <col min="16134" max="16134" width="19.140625" style="67" customWidth="1"/>
    <col min="16135" max="16135" width="16.42578125" style="67" customWidth="1"/>
    <col min="16136" max="16136" width="13.7109375" style="67" customWidth="1"/>
    <col min="16137" max="16384" width="9.140625" style="67"/>
  </cols>
  <sheetData>
    <row r="1" spans="1:8" x14ac:dyDescent="0.25">
      <c r="F1" s="231" t="s">
        <v>568</v>
      </c>
      <c r="G1" s="65"/>
      <c r="H1" s="65"/>
    </row>
    <row r="2" spans="1:8" ht="15.6" customHeight="1" x14ac:dyDescent="0.25">
      <c r="F2" s="1126" t="s">
        <v>459</v>
      </c>
      <c r="G2" s="1126"/>
      <c r="H2" s="1126"/>
    </row>
    <row r="3" spans="1:8" ht="15.6" customHeight="1" x14ac:dyDescent="0.25">
      <c r="F3" s="1126" t="s">
        <v>653</v>
      </c>
      <c r="G3" s="1126"/>
      <c r="H3" s="1126"/>
    </row>
    <row r="4" spans="1:8" ht="15" customHeight="1" x14ac:dyDescent="0.25">
      <c r="F4" s="232" t="s">
        <v>669</v>
      </c>
      <c r="G4" s="233"/>
      <c r="H4" s="233"/>
    </row>
    <row r="5" spans="1:8" x14ac:dyDescent="0.25">
      <c r="F5" s="69" t="s">
        <v>670</v>
      </c>
      <c r="G5" s="234"/>
      <c r="H5" s="234"/>
    </row>
    <row r="6" spans="1:8" ht="15.6" customHeight="1" x14ac:dyDescent="0.25"/>
    <row r="7" spans="1:8" s="179" customFormat="1" ht="36" customHeight="1" x14ac:dyDescent="0.3">
      <c r="A7" s="1351" t="s">
        <v>671</v>
      </c>
      <c r="B7" s="1351"/>
      <c r="C7" s="1351"/>
      <c r="D7" s="1351"/>
      <c r="E7" s="1351"/>
      <c r="F7" s="1351"/>
      <c r="G7" s="1351"/>
      <c r="H7" s="1351"/>
    </row>
    <row r="8" spans="1:8" s="179" customFormat="1" ht="12.6" customHeight="1" x14ac:dyDescent="0.3">
      <c r="A8" s="1264">
        <v>15591000000</v>
      </c>
      <c r="B8" s="1264"/>
      <c r="C8" s="1264"/>
      <c r="D8" s="962"/>
      <c r="E8" s="962"/>
      <c r="F8" s="962"/>
    </row>
    <row r="9" spans="1:8" s="179" customFormat="1" ht="13.15" customHeight="1" x14ac:dyDescent="0.3">
      <c r="A9" s="1269" t="s">
        <v>0</v>
      </c>
      <c r="B9" s="1269"/>
      <c r="C9" s="1269"/>
      <c r="D9" s="962"/>
      <c r="E9" s="962"/>
      <c r="F9" s="962"/>
    </row>
    <row r="10" spans="1:8" ht="15.6" customHeight="1" thickBot="1" x14ac:dyDescent="0.3">
      <c r="A10" s="235"/>
      <c r="B10" s="235"/>
      <c r="C10" s="235"/>
      <c r="D10" s="235"/>
      <c r="E10" s="235"/>
      <c r="G10" s="180" t="s">
        <v>235</v>
      </c>
    </row>
    <row r="11" spans="1:8" ht="55.5" customHeight="1" x14ac:dyDescent="0.25">
      <c r="A11" s="1352" t="s">
        <v>8</v>
      </c>
      <c r="B11" s="1354" t="s">
        <v>9</v>
      </c>
      <c r="C11" s="1356" t="s">
        <v>236</v>
      </c>
      <c r="D11" s="1358" t="s">
        <v>237</v>
      </c>
      <c r="E11" s="1356" t="s">
        <v>400</v>
      </c>
      <c r="F11" s="1360" t="s">
        <v>401</v>
      </c>
      <c r="G11" s="1362" t="s">
        <v>672</v>
      </c>
      <c r="H11" s="1364" t="s">
        <v>405</v>
      </c>
    </row>
    <row r="12" spans="1:8" s="179" customFormat="1" ht="65.45" customHeight="1" thickBot="1" x14ac:dyDescent="0.35">
      <c r="A12" s="1353"/>
      <c r="B12" s="1355"/>
      <c r="C12" s="1357"/>
      <c r="D12" s="1359"/>
      <c r="E12" s="1357"/>
      <c r="F12" s="1361"/>
      <c r="G12" s="1363"/>
      <c r="H12" s="1365"/>
    </row>
    <row r="13" spans="1:8" s="1020" customFormat="1" ht="20.25" customHeight="1" thickBot="1" x14ac:dyDescent="0.25">
      <c r="A13" s="181" t="s">
        <v>244</v>
      </c>
      <c r="B13" s="182" t="s">
        <v>245</v>
      </c>
      <c r="C13" s="183" t="s">
        <v>246</v>
      </c>
      <c r="D13" s="183" t="s">
        <v>402</v>
      </c>
      <c r="E13" s="183" t="s">
        <v>247</v>
      </c>
      <c r="F13" s="1017" t="s">
        <v>248</v>
      </c>
      <c r="G13" s="1018">
        <v>7</v>
      </c>
      <c r="H13" s="1019">
        <v>8</v>
      </c>
    </row>
    <row r="14" spans="1:8" s="236" customFormat="1" ht="30" customHeight="1" thickBot="1" x14ac:dyDescent="0.35">
      <c r="A14" s="240">
        <v>1200000</v>
      </c>
      <c r="B14" s="241"/>
      <c r="C14" s="242"/>
      <c r="D14" s="1350" t="s">
        <v>403</v>
      </c>
      <c r="E14" s="1350"/>
      <c r="F14" s="1021">
        <f>F15</f>
        <v>459300</v>
      </c>
      <c r="G14" s="1022">
        <f>G15</f>
        <v>268410</v>
      </c>
      <c r="H14" s="1023">
        <f>G14/F14*100%</f>
        <v>0.58438928804702805</v>
      </c>
    </row>
    <row r="15" spans="1:8" s="179" customFormat="1" ht="34.5" customHeight="1" thickBot="1" x14ac:dyDescent="0.35">
      <c r="A15" s="187">
        <v>1210000</v>
      </c>
      <c r="B15" s="188"/>
      <c r="C15" s="189"/>
      <c r="D15" s="1345" t="s">
        <v>403</v>
      </c>
      <c r="E15" s="1345"/>
      <c r="F15" s="238">
        <f>F16+F19</f>
        <v>459300</v>
      </c>
      <c r="G15" s="238">
        <f>G16</f>
        <v>268410</v>
      </c>
      <c r="H15" s="1024">
        <f t="shared" ref="H15:H21" si="0">G15/F15*100%</f>
        <v>0.58438928804702805</v>
      </c>
    </row>
    <row r="16" spans="1:8" s="179" customFormat="1" ht="30" customHeight="1" x14ac:dyDescent="0.3">
      <c r="A16" s="1346" t="s">
        <v>132</v>
      </c>
      <c r="B16" s="1347">
        <v>8340</v>
      </c>
      <c r="C16" s="1348" t="s">
        <v>134</v>
      </c>
      <c r="D16" s="1349" t="s">
        <v>135</v>
      </c>
      <c r="E16" s="243" t="s">
        <v>404</v>
      </c>
      <c r="F16" s="244">
        <f>F17+F18</f>
        <v>410700</v>
      </c>
      <c r="G16" s="245">
        <f>G17+G18</f>
        <v>268410</v>
      </c>
      <c r="H16" s="1025">
        <f t="shared" si="0"/>
        <v>0.65354273192111034</v>
      </c>
    </row>
    <row r="17" spans="1:8" ht="17.25" customHeight="1" x14ac:dyDescent="0.25">
      <c r="A17" s="1346"/>
      <c r="B17" s="1347"/>
      <c r="C17" s="1348"/>
      <c r="D17" s="1349"/>
      <c r="E17" s="190" t="s">
        <v>12</v>
      </c>
      <c r="F17" s="541">
        <f>210500+62956</f>
        <v>273456</v>
      </c>
      <c r="G17" s="542">
        <f>207900+60510</f>
        <v>268410</v>
      </c>
      <c r="H17" s="1026">
        <f>G17/F17*100%</f>
        <v>0.98154730559943826</v>
      </c>
    </row>
    <row r="18" spans="1:8" ht="17.25" customHeight="1" x14ac:dyDescent="0.25">
      <c r="A18" s="1346"/>
      <c r="B18" s="1347"/>
      <c r="C18" s="1348"/>
      <c r="D18" s="1349"/>
      <c r="E18" s="190" t="s">
        <v>412</v>
      </c>
      <c r="F18" s="541">
        <v>137244</v>
      </c>
      <c r="G18" s="542">
        <v>0</v>
      </c>
      <c r="H18" s="1027">
        <f t="shared" si="0"/>
        <v>0</v>
      </c>
    </row>
    <row r="19" spans="1:8" ht="30" customHeight="1" x14ac:dyDescent="0.25">
      <c r="A19" s="1346"/>
      <c r="B19" s="1347"/>
      <c r="C19" s="1348"/>
      <c r="D19" s="1349"/>
      <c r="E19" s="25" t="s">
        <v>526</v>
      </c>
      <c r="F19" s="239">
        <f>F20</f>
        <v>48600</v>
      </c>
      <c r="G19" s="237">
        <v>0</v>
      </c>
      <c r="H19" s="1028">
        <f t="shared" si="0"/>
        <v>0</v>
      </c>
    </row>
    <row r="20" spans="1:8" ht="18.75" customHeight="1" thickBot="1" x14ac:dyDescent="0.3">
      <c r="A20" s="1346"/>
      <c r="B20" s="1347"/>
      <c r="C20" s="1348"/>
      <c r="D20" s="1349"/>
      <c r="E20" s="748" t="s">
        <v>12</v>
      </c>
      <c r="F20" s="543">
        <v>48600</v>
      </c>
      <c r="G20" s="749">
        <v>0</v>
      </c>
      <c r="H20" s="1029">
        <f t="shared" si="0"/>
        <v>0</v>
      </c>
    </row>
    <row r="21" spans="1:8" ht="16.5" thickBot="1" x14ac:dyDescent="0.3">
      <c r="A21" s="184" t="s">
        <v>257</v>
      </c>
      <c r="B21" s="185" t="s">
        <v>257</v>
      </c>
      <c r="C21" s="186" t="s">
        <v>257</v>
      </c>
      <c r="D21" s="191" t="s">
        <v>138</v>
      </c>
      <c r="E21" s="192" t="s">
        <v>257</v>
      </c>
      <c r="F21" s="1030">
        <f>F14</f>
        <v>459300</v>
      </c>
      <c r="G21" s="1031">
        <f>G20+G18+G17</f>
        <v>268410</v>
      </c>
      <c r="H21" s="1024">
        <f t="shared" si="0"/>
        <v>0.58438928804702805</v>
      </c>
    </row>
    <row r="22" spans="1:8" x14ac:dyDescent="0.25">
      <c r="A22" s="961"/>
      <c r="B22" s="195"/>
      <c r="C22" s="196"/>
      <c r="D22" s="197"/>
      <c r="E22" s="198"/>
      <c r="F22" s="199"/>
    </row>
    <row r="23" spans="1:8" customFormat="1" ht="18.75" x14ac:dyDescent="0.25">
      <c r="A23" s="23" t="s">
        <v>441</v>
      </c>
      <c r="B23" s="23"/>
      <c r="D23" s="67"/>
      <c r="F23" s="193" t="s">
        <v>413</v>
      </c>
    </row>
    <row r="31" spans="1:8" x14ac:dyDescent="0.25">
      <c r="E31" s="178"/>
    </row>
  </sheetData>
  <mergeCells count="19">
    <mergeCell ref="D14:E14"/>
    <mergeCell ref="F2:H2"/>
    <mergeCell ref="A7:H7"/>
    <mergeCell ref="A8:C8"/>
    <mergeCell ref="A9:C9"/>
    <mergeCell ref="A11:A12"/>
    <mergeCell ref="B11:B12"/>
    <mergeCell ref="C11:C12"/>
    <mergeCell ref="D11:D12"/>
    <mergeCell ref="E11:E12"/>
    <mergeCell ref="F11:F12"/>
    <mergeCell ref="G11:G12"/>
    <mergeCell ref="H11:H12"/>
    <mergeCell ref="F3:H3"/>
    <mergeCell ref="D15:E15"/>
    <mergeCell ref="A16:A20"/>
    <mergeCell ref="B16:B20"/>
    <mergeCell ref="C16:C20"/>
    <mergeCell ref="D16:D20"/>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11</vt:i4>
      </vt:variant>
    </vt:vector>
  </HeadingPairs>
  <TitlesOfParts>
    <vt:vector size="20" baseType="lpstr">
      <vt:lpstr>дод 1 Доходи</vt:lpstr>
      <vt:lpstr>дод 2 Джерела</vt:lpstr>
      <vt:lpstr>дод 3 Видатки</vt:lpstr>
      <vt:lpstr>дод 4 Кредитування</vt:lpstr>
      <vt:lpstr>дод 5 Трансферти</vt:lpstr>
      <vt:lpstr>дод 6 Капітальні вкладення</vt:lpstr>
      <vt:lpstr>дод 7 Програми</vt:lpstr>
      <vt:lpstr>дод 8 Бюджет розвитку</vt:lpstr>
      <vt:lpstr>дод 9 ФОНС </vt:lpstr>
      <vt:lpstr>'дод 1 Доходи'!Заголовки_для_друку</vt:lpstr>
      <vt:lpstr>'дод 3 Видатки'!Заголовки_для_друку</vt:lpstr>
      <vt:lpstr>'дод 6 Капітальні вкладення'!Заголовки_для_друку</vt:lpstr>
      <vt:lpstr>'дод 8 Бюджет розвитку'!Заголовки_для_друку</vt:lpstr>
      <vt:lpstr>'дод 1 Доходи'!Область_друку</vt:lpstr>
      <vt:lpstr>'дод 2 Джерела'!Область_друку</vt:lpstr>
      <vt:lpstr>'дод 3 Видатки'!Область_друку</vt:lpstr>
      <vt:lpstr>'дод 5 Трансферти'!Область_друку</vt:lpstr>
      <vt:lpstr>'дод 6 Капітальні вкладення'!Область_друку</vt:lpstr>
      <vt:lpstr>'дод 7 Програми'!Область_друку</vt:lpstr>
      <vt:lpstr>'дод 9 ФОНС '!Область_друку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2025-10-13T12:52:14Z</cp:lastPrinted>
  <dcterms:created xsi:type="dcterms:W3CDTF">2021-12-17T13:26:15Z</dcterms:created>
  <dcterms:modified xsi:type="dcterms:W3CDTF">2025-10-13T12:53:38Z</dcterms:modified>
</cp:coreProperties>
</file>