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15.12.2025\2592 фін план лікарня\"/>
    </mc:Choice>
  </mc:AlternateContent>
  <bookViews>
    <workbookView xWindow="0" yWindow="0" windowWidth="28800" windowHeight="12315" tabRatio="877"/>
  </bookViews>
  <sheets>
    <sheet name="фин.план" sheetId="1" r:id="rId1"/>
    <sheet name="обсяги витрат" sheetId="2" r:id="rId2"/>
  </sheets>
  <definedNames>
    <definedName name="_xlnm.Print_Area" localSheetId="1">'обсяги витрат'!$A$1:$Q$29</definedName>
    <definedName name="_xlnm.Print_Area" localSheetId="0">фин.план!$A$1:$G$124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1" l="1"/>
  <c r="E109" i="1"/>
  <c r="E94" i="1"/>
  <c r="E96" i="1"/>
  <c r="E27" i="2"/>
  <c r="E24" i="2"/>
  <c r="E102" i="1"/>
  <c r="E13" i="2" l="1"/>
  <c r="M14" i="2"/>
  <c r="J14" i="2"/>
  <c r="G14" i="2"/>
  <c r="D14" i="2"/>
  <c r="D41" i="1"/>
  <c r="B18" i="2"/>
  <c r="C18" i="2"/>
  <c r="F18" i="2"/>
  <c r="G10" i="2"/>
  <c r="D10" i="2"/>
  <c r="M10" i="2"/>
  <c r="J10" i="2"/>
  <c r="E14" i="2" l="1"/>
  <c r="D51" i="1" l="1"/>
  <c r="F31" i="1"/>
  <c r="G31" i="1"/>
  <c r="G46" i="1"/>
  <c r="F46" i="1"/>
  <c r="E46" i="1"/>
  <c r="D46" i="1"/>
  <c r="D37" i="1"/>
  <c r="D31" i="1" s="1"/>
  <c r="G65" i="1"/>
  <c r="F65" i="1"/>
  <c r="E65" i="1"/>
  <c r="D65" i="1"/>
  <c r="C95" i="1"/>
  <c r="C96" i="1"/>
  <c r="D93" i="1" l="1"/>
  <c r="C44" i="1"/>
  <c r="B24" i="2" l="1"/>
  <c r="O24" i="2" s="1"/>
  <c r="I24" i="2"/>
  <c r="J24" i="2"/>
  <c r="K24" i="2"/>
  <c r="L24" i="2"/>
  <c r="M24" i="2"/>
  <c r="H24" i="2"/>
  <c r="N26" i="2" l="1"/>
  <c r="F101" i="1"/>
  <c r="B13" i="2"/>
  <c r="B15" i="2"/>
  <c r="F14" i="2"/>
  <c r="C14" i="2"/>
  <c r="L14" i="2"/>
  <c r="I14" i="2"/>
  <c r="C10" i="2"/>
  <c r="C11" i="2" s="1"/>
  <c r="I10" i="2"/>
  <c r="I11" i="2" s="1"/>
  <c r="L10" i="2"/>
  <c r="F10" i="2"/>
  <c r="F11" i="2" s="1"/>
  <c r="L11" i="2" l="1"/>
  <c r="G51" i="1"/>
  <c r="G34" i="1"/>
  <c r="D11" i="2"/>
  <c r="D66" i="1" s="1"/>
  <c r="G11" i="2"/>
  <c r="E66" i="1" s="1"/>
  <c r="J11" i="2"/>
  <c r="F66" i="1" s="1"/>
  <c r="K11" i="2"/>
  <c r="M11" i="2"/>
  <c r="G66" i="1" s="1"/>
  <c r="E10" i="2"/>
  <c r="H10" i="2"/>
  <c r="B10" i="2"/>
  <c r="B11" i="2" l="1"/>
  <c r="D34" i="1"/>
  <c r="D91" i="1" s="1"/>
  <c r="G52" i="1"/>
  <c r="G35" i="1"/>
  <c r="F51" i="1"/>
  <c r="F34" i="1"/>
  <c r="E11" i="2"/>
  <c r="E34" i="1"/>
  <c r="E51" i="1"/>
  <c r="O10" i="2"/>
  <c r="H11" i="2"/>
  <c r="D18" i="2"/>
  <c r="O11" i="2" l="1"/>
  <c r="F52" i="1"/>
  <c r="F35" i="1"/>
  <c r="E35" i="1"/>
  <c r="E52" i="1"/>
  <c r="D52" i="1"/>
  <c r="D35" i="1"/>
  <c r="D92" i="1" s="1"/>
  <c r="D110" i="1"/>
  <c r="C102" i="1"/>
  <c r="D24" i="2" l="1"/>
  <c r="C101" i="1"/>
  <c r="F24" i="2"/>
  <c r="G24" i="2"/>
  <c r="Q10" i="2" l="1"/>
  <c r="C43" i="1" l="1"/>
  <c r="D54" i="1"/>
  <c r="Q19" i="2"/>
  <c r="Q21" i="2"/>
  <c r="Q22" i="2"/>
  <c r="Q23" i="2"/>
  <c r="Q17" i="2"/>
  <c r="M12" i="2"/>
  <c r="N21" i="2"/>
  <c r="N22" i="2"/>
  <c r="N16" i="2"/>
  <c r="M18" i="2"/>
  <c r="G54" i="1" s="1"/>
  <c r="J18" i="2"/>
  <c r="F54" i="1" s="1"/>
  <c r="G18" i="2"/>
  <c r="N15" i="2"/>
  <c r="E54" i="1" l="1"/>
  <c r="Q18" i="2"/>
  <c r="Q20" i="2"/>
  <c r="N10" i="2"/>
  <c r="N13" i="2"/>
  <c r="P13" i="2"/>
  <c r="N14" i="2"/>
  <c r="C46" i="1"/>
  <c r="N11" i="2" l="1"/>
  <c r="O16" i="2"/>
  <c r="O14" i="2"/>
  <c r="O17" i="2" l="1"/>
  <c r="N17" i="2"/>
  <c r="F99" i="1"/>
  <c r="G99" i="1"/>
  <c r="D99" i="1"/>
  <c r="D109" i="1" s="1"/>
  <c r="E99" i="1"/>
  <c r="C100" i="1"/>
  <c r="C99" i="1" l="1"/>
  <c r="E110" i="1"/>
  <c r="O26" i="2" l="1"/>
  <c r="N19" i="2"/>
  <c r="O19" i="2"/>
  <c r="P19" i="2"/>
  <c r="D12" i="2"/>
  <c r="D64" i="1" s="1"/>
  <c r="I9" i="2" l="1"/>
  <c r="E12" i="2"/>
  <c r="B12" i="2"/>
  <c r="O22" i="2"/>
  <c r="C12" i="2"/>
  <c r="C24" i="2" l="1"/>
  <c r="P17" i="2" l="1"/>
  <c r="L18" i="2" l="1"/>
  <c r="K18" i="2"/>
  <c r="I18" i="2"/>
  <c r="H18" i="2"/>
  <c r="F37" i="1" s="1"/>
  <c r="E18" i="2"/>
  <c r="D94" i="1"/>
  <c r="E37" i="1" l="1"/>
  <c r="G37" i="1"/>
  <c r="N20" i="2"/>
  <c r="O20" i="2"/>
  <c r="Q24" i="2"/>
  <c r="Q25" i="2"/>
  <c r="P25" i="2"/>
  <c r="P24" i="2" s="1"/>
  <c r="N25" i="2"/>
  <c r="N24" i="2" s="1"/>
  <c r="P18" i="2" l="1"/>
  <c r="N18" i="2"/>
  <c r="O18" i="2"/>
  <c r="Q15" i="2"/>
  <c r="Q14" i="2" l="1"/>
  <c r="D39" i="1" l="1"/>
  <c r="Q16" i="2"/>
  <c r="C103" i="1" l="1"/>
  <c r="C104" i="1"/>
  <c r="C105" i="1"/>
  <c r="C106" i="1"/>
  <c r="C107" i="1"/>
  <c r="C108" i="1"/>
  <c r="F109" i="1"/>
  <c r="F94" i="1" s="1"/>
  <c r="C110" i="1" l="1"/>
  <c r="Q13" i="2"/>
  <c r="Q11" i="2" l="1"/>
  <c r="P11" i="2"/>
  <c r="E92" i="1"/>
  <c r="F92" i="1"/>
  <c r="G92" i="1"/>
  <c r="C36" i="1"/>
  <c r="C35" i="1"/>
  <c r="P26" i="2"/>
  <c r="O25" i="2"/>
  <c r="P23" i="2"/>
  <c r="O23" i="2"/>
  <c r="N23" i="2"/>
  <c r="P22" i="2"/>
  <c r="K12" i="2"/>
  <c r="I12" i="2"/>
  <c r="I27" i="2" s="1"/>
  <c r="P15" i="2"/>
  <c r="O15" i="2"/>
  <c r="F12" i="2"/>
  <c r="P14" i="2"/>
  <c r="O13" i="2"/>
  <c r="L12" i="2"/>
  <c r="J12" i="2"/>
  <c r="H12" i="2"/>
  <c r="G12" i="2"/>
  <c r="P10" i="2"/>
  <c r="C9" i="2"/>
  <c r="M9" i="2"/>
  <c r="G91" i="1" s="1"/>
  <c r="L9" i="2"/>
  <c r="J9" i="2"/>
  <c r="G9" i="2"/>
  <c r="D9" i="2"/>
  <c r="G27" i="2" l="1"/>
  <c r="Q12" i="2"/>
  <c r="Q27" i="2" s="1"/>
  <c r="H9" i="2"/>
  <c r="O12" i="2"/>
  <c r="O27" i="2" s="1"/>
  <c r="Q9" i="2"/>
  <c r="J27" i="2"/>
  <c r="P20" i="2"/>
  <c r="D27" i="2"/>
  <c r="F64" i="1"/>
  <c r="M27" i="2"/>
  <c r="G64" i="1"/>
  <c r="F50" i="1"/>
  <c r="G50" i="1"/>
  <c r="L27" i="2"/>
  <c r="G30" i="1" s="1"/>
  <c r="F30" i="1"/>
  <c r="E64" i="1"/>
  <c r="E50" i="1"/>
  <c r="F33" i="1"/>
  <c r="G33" i="1"/>
  <c r="E33" i="1"/>
  <c r="E31" i="1" s="1"/>
  <c r="P16" i="2"/>
  <c r="E9" i="2"/>
  <c r="F9" i="2"/>
  <c r="P9" i="2" s="1"/>
  <c r="K9" i="2"/>
  <c r="G90" i="1" l="1"/>
  <c r="E90" i="1"/>
  <c r="F90" i="1"/>
  <c r="E62" i="1"/>
  <c r="D62" i="1"/>
  <c r="F91" i="1"/>
  <c r="H27" i="2"/>
  <c r="F29" i="1" s="1"/>
  <c r="E29" i="1"/>
  <c r="C64" i="1"/>
  <c r="C37" i="1"/>
  <c r="C65" i="1"/>
  <c r="K27" i="2"/>
  <c r="G29" i="1" s="1"/>
  <c r="C27" i="2"/>
  <c r="D30" i="1" s="1"/>
  <c r="D33" i="1"/>
  <c r="F27" i="2"/>
  <c r="E30" i="1" s="1"/>
  <c r="P12" i="2"/>
  <c r="P27" i="2" s="1"/>
  <c r="D50" i="1"/>
  <c r="G48" i="1"/>
  <c r="N12" i="2"/>
  <c r="N27" i="2" s="1"/>
  <c r="B9" i="2"/>
  <c r="B27" i="2" s="1"/>
  <c r="E91" i="1" l="1"/>
  <c r="C30" i="1"/>
  <c r="D90" i="1"/>
  <c r="D97" i="1" s="1"/>
  <c r="N9" i="2"/>
  <c r="D29" i="1"/>
  <c r="C33" i="1"/>
  <c r="D48" i="1"/>
  <c r="O9" i="2"/>
  <c r="C31" i="1" l="1"/>
  <c r="C29" i="1"/>
  <c r="D26" i="1"/>
  <c r="D22" i="1" s="1"/>
  <c r="C52" i="1"/>
  <c r="E41" i="1"/>
  <c r="E26" i="1" l="1"/>
  <c r="F62" i="1"/>
  <c r="G62" i="1" l="1"/>
  <c r="C62" i="1" s="1"/>
  <c r="E48" i="1" l="1"/>
  <c r="C109" i="1" l="1"/>
  <c r="C67" i="1"/>
  <c r="C68" i="1"/>
  <c r="C66" i="1"/>
  <c r="C54" i="1"/>
  <c r="C53" i="1"/>
  <c r="C51" i="1"/>
  <c r="C50" i="1"/>
  <c r="G93" i="1"/>
  <c r="F93" i="1"/>
  <c r="E93" i="1"/>
  <c r="E97" i="1" s="1"/>
  <c r="C90" i="1" l="1"/>
  <c r="F97" i="1"/>
  <c r="C93" i="1"/>
  <c r="F41" i="1"/>
  <c r="F26" i="1" l="1"/>
  <c r="C27" i="1"/>
  <c r="E22" i="1" l="1"/>
  <c r="E39" i="1"/>
  <c r="C47" i="1" l="1"/>
  <c r="F39" i="1"/>
  <c r="G41" i="1"/>
  <c r="C41" i="1" s="1"/>
  <c r="G26" i="1" l="1"/>
  <c r="C26" i="1" s="1"/>
  <c r="G39" i="1"/>
  <c r="C39" i="1" s="1"/>
  <c r="G22" i="1" l="1"/>
  <c r="F22" i="1" l="1"/>
  <c r="C22" i="1" s="1"/>
  <c r="F110" i="1" l="1"/>
  <c r="G110" i="1"/>
  <c r="G109" i="1"/>
  <c r="G94" i="1" s="1"/>
  <c r="C94" i="1" s="1"/>
  <c r="C97" i="1" s="1"/>
  <c r="F48" i="1"/>
  <c r="C34" i="1"/>
  <c r="G97" i="1" l="1"/>
  <c r="C91" i="1"/>
  <c r="C48" i="1"/>
  <c r="C92" i="1"/>
</calcChain>
</file>

<file path=xl/sharedStrings.xml><?xml version="1.0" encoding="utf-8"?>
<sst xmlns="http://schemas.openxmlformats.org/spreadsheetml/2006/main" count="209" uniqueCount="166">
  <si>
    <t>Підприємство</t>
  </si>
  <si>
    <t>Коди</t>
  </si>
  <si>
    <t>Орган управління</t>
  </si>
  <si>
    <t>За ЄДРПОУ</t>
  </si>
  <si>
    <t>Галузь</t>
  </si>
  <si>
    <t>Охорона здоров’я</t>
  </si>
  <si>
    <t>За СПОДУ</t>
  </si>
  <si>
    <t>Вид економічної діяльності</t>
  </si>
  <si>
    <t>Діяльність лікарняних закладів</t>
  </si>
  <si>
    <t>За ЗКНГ</t>
  </si>
  <si>
    <t>За КВЕД</t>
  </si>
  <si>
    <t>86.10</t>
  </si>
  <si>
    <t>(04842) 3-52-01</t>
  </si>
  <si>
    <t>Керівник</t>
  </si>
  <si>
    <t>Показники</t>
  </si>
  <si>
    <t>Код рядка</t>
  </si>
  <si>
    <t>Плановий рік, усього</t>
  </si>
  <si>
    <t>У тому числі за кварталами</t>
  </si>
  <si>
    <t>І</t>
  </si>
  <si>
    <t>ІІ</t>
  </si>
  <si>
    <t>ІІІ</t>
  </si>
  <si>
    <t>ІV</t>
  </si>
  <si>
    <t>І. Фінансові результати</t>
  </si>
  <si>
    <t>Дохід (виручка) від реалізації продукції (товарів, робіт, послуг)</t>
  </si>
  <si>
    <t>Податок на додану вартість</t>
  </si>
  <si>
    <t>Акцизний збір</t>
  </si>
  <si>
    <t>Інші вирахування з доходу</t>
  </si>
  <si>
    <t>за рахунок субвенції з Державного бюджету</t>
  </si>
  <si>
    <t>за рахунок місцевого бюджету</t>
  </si>
  <si>
    <t>за договорами НСЗУ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</si>
  <si>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</si>
  <si>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</si>
  <si>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</si>
  <si>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</si>
  <si>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</si>
  <si>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</si>
  <si>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</si>
  <si>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Валовий:</t>
  </si>
  <si>
    <t>прибуток</t>
  </si>
  <si>
    <t>збиток</t>
  </si>
  <si>
    <t>Інші операційні доходи</t>
  </si>
  <si>
    <t>у тому числі:</t>
  </si>
  <si>
    <t>дохід від операційної оренди активів</t>
  </si>
  <si>
    <t>одержані гранти та субсидії</t>
  </si>
  <si>
    <t>дохід від реалізації необоротних активів, утримуваних для продажу</t>
  </si>
  <si>
    <t>дохід від платних послуг</t>
  </si>
  <si>
    <t>Витрати на збут (сума рядків зі 101 по 105)</t>
  </si>
  <si>
    <t>Фінансові результати від операційної діяльності:</t>
  </si>
  <si>
    <t>Дохід від участі в капіталі</t>
  </si>
  <si>
    <t>Інші фінансові доходи</t>
  </si>
  <si>
    <t>Інші доходи</t>
  </si>
  <si>
    <t>від реалізації фінансових інвестицій</t>
  </si>
  <si>
    <t>від безплатно одержаних активів</t>
  </si>
  <si>
    <t>Фінансові витрати</t>
  </si>
  <si>
    <t>Витрати від участі в капіталі</t>
  </si>
  <si>
    <t>Інші витрати</t>
  </si>
  <si>
    <t>Фінансові результати від звичайної діяльності до оподаткування:</t>
  </si>
  <si>
    <t>Податок на прибуток</t>
  </si>
  <si>
    <t>Чистий:</t>
  </si>
  <si>
    <t>Відрахування частини прибутку до бюджету</t>
  </si>
  <si>
    <t>ІІ. Елементи операційних витрат (разом)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</si>
  <si>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</si>
  <si>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</si>
  <si>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</si>
  <si>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</si>
  <si>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(сума рядків із 310 по 350)</t>
  </si>
  <si>
    <t>ІІІ. Капітальні інвестиції протягом року</t>
  </si>
  <si>
    <t>Капітальне будівництво</t>
  </si>
  <si>
    <t>у тому числі за рахунок бюджетних коштів</t>
  </si>
  <si>
    <t>Придбання (виготовлення) основних засобів та інших необоротних матеріальних активів</t>
  </si>
  <si>
    <t>Придбання (створення) нематеріальних активів)</t>
  </si>
  <si>
    <t>Погашення отриманих на капітальні інвестиції позик</t>
  </si>
  <si>
    <t>Модернізація, модифікація, дообладнання, реконструкція, інші види поліпшення необоротних активів</t>
  </si>
  <si>
    <t>Разом (сума рядків 410,420, 430, 440, 450)</t>
  </si>
  <si>
    <t>у тому числі за рахунок бюджетних коштів (сума рядків 411, 421, 431, 441, 451)</t>
  </si>
  <si>
    <t>ІV. Додаткова інформація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</si>
  <si>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</si>
  <si>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</si>
  <si>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</si>
  <si>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одиниця виміру: тис. грн.</t>
  </si>
  <si>
    <t xml:space="preserve">Місцезнаходження  </t>
  </si>
  <si>
    <t xml:space="preserve">Телефон </t>
  </si>
  <si>
    <t>010</t>
  </si>
  <si>
    <t>020</t>
  </si>
  <si>
    <t>030</t>
  </si>
  <si>
    <t>040</t>
  </si>
  <si>
    <t>050</t>
  </si>
  <si>
    <t>051</t>
  </si>
  <si>
    <t>052</t>
  </si>
  <si>
    <t>053</t>
  </si>
  <si>
    <t>060</t>
  </si>
  <si>
    <t>061</t>
  </si>
  <si>
    <t>062</t>
  </si>
  <si>
    <t>063</t>
  </si>
  <si>
    <t>064</t>
  </si>
  <si>
    <t>065</t>
  </si>
  <si>
    <t>071</t>
  </si>
  <si>
    <t>072</t>
  </si>
  <si>
    <t>080</t>
  </si>
  <si>
    <t>081</t>
  </si>
  <si>
    <t>082</t>
  </si>
  <si>
    <t>083</t>
  </si>
  <si>
    <t>084</t>
  </si>
  <si>
    <t>Адміністративні витрати
(сума рядків із 091 по 095)</t>
  </si>
  <si>
    <t>090</t>
  </si>
  <si>
    <t>091</t>
  </si>
  <si>
    <t>092</t>
  </si>
  <si>
    <t>093</t>
  </si>
  <si>
    <t>094</t>
  </si>
  <si>
    <t>095</t>
  </si>
  <si>
    <t>Інші операційні витрати
(сума рядків з 111 по 115)</t>
  </si>
  <si>
    <t>Керуюча справами міськвиконкому</t>
  </si>
  <si>
    <t>Шегида Л.Г.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</si>
  <si>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</si>
  <si>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085</t>
  </si>
  <si>
    <t>благодійні внески, гранти та дарунки</t>
  </si>
  <si>
    <t>Чистий дохід (виручка) від реалізації продукції (товарів, робіт, послуг) (сума рядків із 051 по 054 та 080 ), в т.ч.:</t>
  </si>
  <si>
    <t>інші субвенції з місцевого бюджету</t>
  </si>
  <si>
    <t>Додаток1</t>
  </si>
  <si>
    <t xml:space="preserve">до пояснювальної записки </t>
  </si>
  <si>
    <t>(тис.грн)</t>
  </si>
  <si>
    <t>Найменування</t>
  </si>
  <si>
    <t>1 квартал</t>
  </si>
  <si>
    <t>2 квартал</t>
  </si>
  <si>
    <t>3 квартал</t>
  </si>
  <si>
    <t>4 квартал</t>
  </si>
  <si>
    <t>ВСЬОГО</t>
  </si>
  <si>
    <t>Місцевий бюджет</t>
  </si>
  <si>
    <t>МБ</t>
  </si>
  <si>
    <t>НСЗУ</t>
  </si>
  <si>
    <t>власні</t>
  </si>
  <si>
    <t>Оплата праці  і нарахування</t>
  </si>
  <si>
    <t>Заробітна плата</t>
  </si>
  <si>
    <t>Продукти харчування</t>
  </si>
  <si>
    <t>Інші операційні витрати (соціальне забезпечення, інші поточні видатки)</t>
  </si>
  <si>
    <t xml:space="preserve">Відрядження </t>
  </si>
  <si>
    <t>Інші виплати населенню</t>
  </si>
  <si>
    <t>Інші поточні видатки</t>
  </si>
  <si>
    <t>Капітальні інвестиції протягом року:</t>
  </si>
  <si>
    <t>Придбання обладнання і предметів довгострокового користування</t>
  </si>
  <si>
    <t>Капітальний ремонт</t>
  </si>
  <si>
    <t>Всього</t>
  </si>
  <si>
    <t>_____________</t>
  </si>
  <si>
    <t>Чисельність працівників, штатних одиниць</t>
  </si>
  <si>
    <t>Оплата комунальних послуг та енергоносіїв</t>
  </si>
  <si>
    <t>Медикаменти та перев' язувальні матеріали</t>
  </si>
  <si>
    <t>Предмети, матеріали, обладнання та інвентар</t>
  </si>
  <si>
    <t>Нарахування на оплату праці</t>
  </si>
  <si>
    <t>Оплата послуг (крім комунальних)</t>
  </si>
  <si>
    <t>Генеральний  директор</t>
  </si>
  <si>
    <t>Оксана ДЕНИСЕНКО</t>
  </si>
  <si>
    <t>Комунальне некомерційне підприємство «Південнівська міська лікарня» Південнівської міської ради</t>
  </si>
  <si>
    <t>Південнівська міська рада</t>
  </si>
  <si>
    <t>вул. Хіміків, 1, м. Південне, Одеська область, індекс 65481</t>
  </si>
  <si>
    <t>ДЕНИСЕНКО Оксана Вадимівна</t>
  </si>
  <si>
    <t>Відрядження</t>
  </si>
  <si>
    <t>Послуги з зубопротезування пільгової категорії громадян.Пільова пенсія</t>
  </si>
  <si>
    <t>Фінансовий план підприємства на 2026 рік</t>
  </si>
  <si>
    <t>350.1</t>
  </si>
  <si>
    <t>Інші операційні витрати в т.ч.</t>
  </si>
  <si>
    <t>350.2</t>
  </si>
  <si>
    <t xml:space="preserve">  -Капітальний ремонт </t>
  </si>
  <si>
    <t xml:space="preserve">  -Придбання обладнання </t>
  </si>
  <si>
    <t>Розрахункова таблиця  до фінансового плану Комунального некомерційного підприємства «Південнівська міська лікарня» Південнівської міської ради на 2026 рік</t>
  </si>
  <si>
    <t xml:space="preserve">Додаток 
до рішення виконавчого комітету
Південнівської міської ради
від 15.12.2025 № 2592
</t>
  </si>
  <si>
    <t xml:space="preserve">Керуючий справами виконавчого комітету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</si>
</sst>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"/>
    <numFmt numFmtId="166" formatCode="#,##0.0000"/>
    <numFmt numFmtId="167" formatCode="0.00000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1" fontId="6" fillId="2" borderId="6" xfId="0" applyNumberFormat="1" applyFont="1" applyFill="1" applyBorder="1" applyAlignment="1">
      <alignment horizontal="center" wrapText="1"/>
    </xf>
    <xf numFmtId="0" fontId="6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165" fontId="3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4" borderId="0" xfId="0" applyFont="1" applyFill="1"/>
    <xf numFmtId="0" fontId="3" fillId="4" borderId="0" xfId="0" applyFont="1" applyFill="1"/>
    <xf numFmtId="0" fontId="10" fillId="0" borderId="0" xfId="0" applyFont="1"/>
    <xf numFmtId="0" fontId="5" fillId="4" borderId="0" xfId="0" applyFont="1" applyFill="1"/>
    <xf numFmtId="49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3"/>
    </xf>
    <xf numFmtId="164" fontId="1" fillId="0" borderId="0" xfId="0" applyNumberFormat="1" applyFont="1"/>
    <xf numFmtId="165" fontId="1" fillId="0" borderId="0" xfId="0" applyNumberFormat="1" applyFont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165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/>
    <xf numFmtId="165" fontId="11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65" fontId="5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 indent="3"/>
    </xf>
    <xf numFmtId="165" fontId="1" fillId="6" borderId="1" xfId="0" applyNumberFormat="1" applyFont="1" applyFill="1" applyBorder="1" applyAlignment="1">
      <alignment horizontal="center" vertical="center" wrapText="1"/>
    </xf>
    <xf numFmtId="165" fontId="5" fillId="5" borderId="0" xfId="0" applyNumberFormat="1" applyFont="1" applyFill="1"/>
    <xf numFmtId="0" fontId="12" fillId="0" borderId="0" xfId="0" applyFont="1"/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view="pageBreakPreview" topLeftCell="A41" zoomScaleNormal="100" zoomScaleSheetLayoutView="100" workbookViewId="0">
      <selection activeCell="E1" sqref="E1:G2"/>
    </sheetView>
  </sheetViews>
  <sheetFormatPr defaultColWidth="9.140625" defaultRowHeight="15.75" x14ac:dyDescent="0.25"/>
  <cols>
    <col min="1" max="1" width="34.5703125" style="21" customWidth="1"/>
    <col min="2" max="2" width="12.5703125" style="21" customWidth="1"/>
    <col min="3" max="3" width="17" style="21" customWidth="1"/>
    <col min="4" max="4" width="14.28515625" style="21" bestFit="1" customWidth="1"/>
    <col min="5" max="5" width="14.7109375" style="21" customWidth="1"/>
    <col min="6" max="6" width="13.28515625" style="21" customWidth="1"/>
    <col min="7" max="7" width="13.140625" style="21" customWidth="1"/>
    <col min="8" max="8" width="9.140625" style="21"/>
    <col min="9" max="9" width="12.140625" style="21" bestFit="1" customWidth="1"/>
    <col min="10" max="10" width="11.28515625" style="21" bestFit="1" customWidth="1"/>
    <col min="11" max="11" width="15.5703125" style="21" customWidth="1"/>
    <col min="12" max="12" width="11.85546875" style="21" bestFit="1" customWidth="1"/>
    <col min="13" max="13" width="10.7109375" style="21" bestFit="1" customWidth="1"/>
    <col min="14" max="16384" width="9.140625" style="21"/>
  </cols>
  <sheetData>
    <row r="1" spans="1:12" ht="48.75" customHeight="1" x14ac:dyDescent="0.25">
      <c r="E1" s="102" t="s">
        <v>164</v>
      </c>
      <c r="F1" s="102"/>
      <c r="G1" s="102"/>
    </row>
    <row r="2" spans="1:12" ht="17.25" customHeight="1" x14ac:dyDescent="0.25">
      <c r="E2" s="102"/>
      <c r="F2" s="102"/>
      <c r="G2" s="102"/>
    </row>
    <row r="3" spans="1:12" ht="40.5" customHeight="1" x14ac:dyDescent="0.3">
      <c r="A3" s="83" t="s">
        <v>157</v>
      </c>
      <c r="B3" s="84"/>
      <c r="C3" s="84"/>
      <c r="D3" s="84"/>
      <c r="E3" s="84"/>
      <c r="F3" s="84"/>
      <c r="G3" s="84"/>
    </row>
    <row r="5" spans="1:12" ht="35.25" customHeight="1" x14ac:dyDescent="0.25">
      <c r="A5" s="85" t="s">
        <v>0</v>
      </c>
      <c r="B5" s="78" t="s">
        <v>151</v>
      </c>
      <c r="C5" s="79"/>
      <c r="D5" s="75" t="s">
        <v>1</v>
      </c>
      <c r="E5" s="77"/>
      <c r="F5" s="77"/>
      <c r="G5" s="76"/>
      <c r="L5" s="21" t="s">
        <v>113</v>
      </c>
    </row>
    <row r="6" spans="1:12" ht="28.5" customHeight="1" x14ac:dyDescent="0.25">
      <c r="A6" s="86"/>
      <c r="B6" s="80"/>
      <c r="C6" s="81"/>
      <c r="D6" s="75" t="s">
        <v>3</v>
      </c>
      <c r="E6" s="76"/>
      <c r="F6" s="75">
        <v>34592230</v>
      </c>
      <c r="G6" s="76"/>
    </row>
    <row r="7" spans="1:12" ht="28.15" customHeight="1" x14ac:dyDescent="0.25">
      <c r="A7" s="65" t="s">
        <v>2</v>
      </c>
      <c r="B7" s="72" t="s">
        <v>152</v>
      </c>
      <c r="C7" s="74"/>
      <c r="D7" s="75" t="s">
        <v>6</v>
      </c>
      <c r="E7" s="76"/>
      <c r="F7" s="75"/>
      <c r="G7" s="76"/>
    </row>
    <row r="8" spans="1:12" ht="26.45" customHeight="1" x14ac:dyDescent="0.25">
      <c r="A8" s="65" t="s">
        <v>4</v>
      </c>
      <c r="B8" s="72" t="s">
        <v>5</v>
      </c>
      <c r="C8" s="74"/>
      <c r="D8" s="75" t="s">
        <v>9</v>
      </c>
      <c r="E8" s="76"/>
      <c r="F8" s="75"/>
      <c r="G8" s="76"/>
    </row>
    <row r="9" spans="1:12" ht="31.9" customHeight="1" x14ac:dyDescent="0.25">
      <c r="A9" s="65" t="s">
        <v>7</v>
      </c>
      <c r="B9" s="72" t="s">
        <v>8</v>
      </c>
      <c r="C9" s="74"/>
      <c r="D9" s="75" t="s">
        <v>10</v>
      </c>
      <c r="E9" s="76"/>
      <c r="F9" s="75" t="s">
        <v>11</v>
      </c>
      <c r="G9" s="76"/>
    </row>
    <row r="10" spans="1:12" ht="19.149999999999999" customHeight="1" x14ac:dyDescent="0.25">
      <c r="A10" s="65" t="s">
        <v>80</v>
      </c>
      <c r="B10" s="72" t="s">
        <v>153</v>
      </c>
      <c r="C10" s="73"/>
      <c r="D10" s="73"/>
      <c r="E10" s="73"/>
      <c r="F10" s="73"/>
      <c r="G10" s="74"/>
    </row>
    <row r="11" spans="1:12" ht="18.600000000000001" customHeight="1" x14ac:dyDescent="0.25">
      <c r="A11" s="65" t="s">
        <v>81</v>
      </c>
      <c r="B11" s="72" t="s">
        <v>12</v>
      </c>
      <c r="C11" s="73"/>
      <c r="D11" s="73"/>
      <c r="E11" s="73"/>
      <c r="F11" s="73"/>
      <c r="G11" s="74"/>
    </row>
    <row r="12" spans="1:12" ht="19.899999999999999" customHeight="1" x14ac:dyDescent="0.25">
      <c r="A12" s="65" t="s">
        <v>13</v>
      </c>
      <c r="B12" s="72" t="s">
        <v>154</v>
      </c>
      <c r="C12" s="73"/>
      <c r="D12" s="73"/>
      <c r="E12" s="73"/>
      <c r="F12" s="73"/>
      <c r="G12" s="74"/>
    </row>
    <row r="14" spans="1:12" ht="8.25" customHeight="1" x14ac:dyDescent="0.25"/>
    <row r="15" spans="1:12" ht="8.25" customHeight="1" x14ac:dyDescent="0.25">
      <c r="A15" s="22"/>
    </row>
    <row r="16" spans="1:12" x14ac:dyDescent="0.25">
      <c r="A16" s="22"/>
      <c r="E16" s="21" t="s">
        <v>79</v>
      </c>
    </row>
    <row r="17" spans="1:13" x14ac:dyDescent="0.25">
      <c r="A17" s="23">
        <v>1</v>
      </c>
      <c r="B17" s="23">
        <v>2</v>
      </c>
      <c r="C17" s="23">
        <v>3</v>
      </c>
      <c r="D17" s="23">
        <v>4</v>
      </c>
      <c r="E17" s="23">
        <v>5</v>
      </c>
      <c r="F17" s="23">
        <v>6</v>
      </c>
      <c r="G17" s="23">
        <v>7</v>
      </c>
    </row>
    <row r="18" spans="1:13" x14ac:dyDescent="0.25">
      <c r="A18" s="82" t="s">
        <v>14</v>
      </c>
      <c r="B18" s="82" t="s">
        <v>15</v>
      </c>
      <c r="C18" s="82" t="s">
        <v>16</v>
      </c>
      <c r="D18" s="82" t="s">
        <v>17</v>
      </c>
      <c r="E18" s="82"/>
      <c r="F18" s="82"/>
      <c r="G18" s="82"/>
    </row>
    <row r="19" spans="1:13" ht="21.75" customHeight="1" x14ac:dyDescent="0.25">
      <c r="A19" s="82"/>
      <c r="B19" s="82"/>
      <c r="C19" s="82"/>
      <c r="D19" s="23" t="s">
        <v>18</v>
      </c>
      <c r="E19" s="23" t="s">
        <v>19</v>
      </c>
      <c r="F19" s="23" t="s">
        <v>20</v>
      </c>
      <c r="G19" s="23" t="s">
        <v>21</v>
      </c>
    </row>
    <row r="20" spans="1:13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</row>
    <row r="21" spans="1:13" ht="21.75" customHeight="1" x14ac:dyDescent="0.25">
      <c r="A21" s="82" t="s">
        <v>22</v>
      </c>
      <c r="B21" s="82"/>
      <c r="C21" s="82"/>
      <c r="D21" s="82"/>
      <c r="E21" s="82"/>
      <c r="F21" s="82"/>
      <c r="G21" s="82"/>
    </row>
    <row r="22" spans="1:13" ht="31.5" x14ac:dyDescent="0.25">
      <c r="A22" s="24" t="s">
        <v>23</v>
      </c>
      <c r="B22" s="25" t="s">
        <v>82</v>
      </c>
      <c r="C22" s="26">
        <f>D22+E22+F22+G22</f>
        <v>102163.61500000001</v>
      </c>
      <c r="D22" s="26">
        <f>D26</f>
        <v>22976.675999999999</v>
      </c>
      <c r="E22" s="26">
        <f>E26</f>
        <v>27481.626</v>
      </c>
      <c r="F22" s="26">
        <f t="shared" ref="F22" si="0">F26</f>
        <v>27456.309000000001</v>
      </c>
      <c r="G22" s="26">
        <f>G26</f>
        <v>24249.004000000001</v>
      </c>
    </row>
    <row r="23" spans="1:13" x14ac:dyDescent="0.25">
      <c r="A23" s="24" t="s">
        <v>24</v>
      </c>
      <c r="B23" s="25" t="s">
        <v>83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13" x14ac:dyDescent="0.25">
      <c r="A24" s="24" t="s">
        <v>25</v>
      </c>
      <c r="B24" s="25" t="s">
        <v>84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13" x14ac:dyDescent="0.25">
      <c r="A25" s="24" t="s">
        <v>26</v>
      </c>
      <c r="B25" s="25" t="s">
        <v>85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13" ht="63" x14ac:dyDescent="0.25">
      <c r="A26" s="24" t="s">
        <v>116</v>
      </c>
      <c r="B26" s="25" t="s">
        <v>86</v>
      </c>
      <c r="C26" s="26">
        <f>D26+E26+F26+G26</f>
        <v>102163.61500000001</v>
      </c>
      <c r="D26" s="26">
        <f>D27+D28+D29+D30+D41</f>
        <v>22976.675999999999</v>
      </c>
      <c r="E26" s="26">
        <f>E27+E28+E29+E41+E30</f>
        <v>27481.626</v>
      </c>
      <c r="F26" s="26">
        <f>F27+F28+F29+F41+F30</f>
        <v>27456.309000000001</v>
      </c>
      <c r="G26" s="26">
        <f>G27+G28+G29+G41+G30</f>
        <v>24249.004000000001</v>
      </c>
      <c r="I26" s="27"/>
    </row>
    <row r="27" spans="1:13" ht="32.25" customHeight="1" x14ac:dyDescent="0.25">
      <c r="A27" s="24" t="s">
        <v>27</v>
      </c>
      <c r="B27" s="25" t="s">
        <v>87</v>
      </c>
      <c r="C27" s="26">
        <f>SUM(D27:G27)</f>
        <v>0</v>
      </c>
      <c r="D27" s="26"/>
      <c r="E27" s="26">
        <v>0</v>
      </c>
      <c r="F27" s="26">
        <v>0</v>
      </c>
      <c r="G27" s="26">
        <v>0</v>
      </c>
      <c r="I27" s="27"/>
    </row>
    <row r="28" spans="1:13" s="50" customFormat="1" ht="31.9" hidden="1" customHeight="1" x14ac:dyDescent="0.25">
      <c r="A28" s="48" t="s">
        <v>117</v>
      </c>
      <c r="B28" s="49" t="s">
        <v>88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I28" s="27"/>
      <c r="J28" s="21"/>
      <c r="K28" s="21"/>
      <c r="L28" s="21"/>
      <c r="M28" s="21"/>
    </row>
    <row r="29" spans="1:13" ht="30.75" customHeight="1" x14ac:dyDescent="0.25">
      <c r="A29" s="24" t="s">
        <v>28</v>
      </c>
      <c r="B29" s="25" t="s">
        <v>88</v>
      </c>
      <c r="C29" s="26">
        <f>SUM(D29:G29)</f>
        <v>27970.135999999999</v>
      </c>
      <c r="D29" s="26">
        <f>'обсяги витрат'!B27</f>
        <v>6192.0069999999996</v>
      </c>
      <c r="E29" s="26">
        <f>'обсяги витрат'!E27</f>
        <v>9765.6219999999994</v>
      </c>
      <c r="F29" s="26">
        <f>'обсяги витрат'!H27</f>
        <v>6268.0749999999998</v>
      </c>
      <c r="G29" s="26">
        <f>'обсяги витрат'!K27</f>
        <v>5744.4319999999998</v>
      </c>
      <c r="I29" s="27"/>
    </row>
    <row r="30" spans="1:13" ht="28.5" customHeight="1" x14ac:dyDescent="0.25">
      <c r="A30" s="24" t="s">
        <v>29</v>
      </c>
      <c r="B30" s="25" t="s">
        <v>89</v>
      </c>
      <c r="C30" s="26">
        <f>SUM(D30:G30)</f>
        <v>65802.391000000003</v>
      </c>
      <c r="D30" s="26">
        <f>'обсяги витрат'!C27</f>
        <v>14954.344999999999</v>
      </c>
      <c r="E30" s="26">
        <f>'обсяги витрат'!F27</f>
        <v>15670.17</v>
      </c>
      <c r="F30" s="26">
        <f>'обсяги витрат'!I27</f>
        <v>19005.392</v>
      </c>
      <c r="G30" s="26">
        <f>'обсяги витрат'!L27</f>
        <v>16172.484</v>
      </c>
      <c r="I30" s="27"/>
    </row>
    <row r="31" spans="1:13" ht="34.5" customHeight="1" x14ac:dyDescent="0.25">
      <c r="A31" s="24" t="s">
        <v>30</v>
      </c>
      <c r="B31" s="25" t="s">
        <v>90</v>
      </c>
      <c r="C31" s="26">
        <f>SUM(D31:G31)</f>
        <v>72728.133000000002</v>
      </c>
      <c r="D31" s="26">
        <f>D33+D34+D35+D37+D36</f>
        <v>16939.425999999999</v>
      </c>
      <c r="E31" s="26">
        <f t="shared" ref="E31:G31" si="1">E33+E34+E35+E37+E36</f>
        <v>17991.311000000002</v>
      </c>
      <c r="F31" s="26">
        <f t="shared" si="1"/>
        <v>20241.518</v>
      </c>
      <c r="G31" s="26">
        <f t="shared" si="1"/>
        <v>17555.878000000001</v>
      </c>
      <c r="I31" s="27"/>
    </row>
    <row r="32" spans="1:13" ht="31.5" x14ac:dyDescent="0.25">
      <c r="A32" s="24" t="s">
        <v>31</v>
      </c>
      <c r="B32" s="35"/>
      <c r="C32" s="36"/>
      <c r="D32" s="36"/>
      <c r="E32" s="36"/>
      <c r="F32" s="36"/>
      <c r="G32" s="36"/>
      <c r="I32" s="27"/>
    </row>
    <row r="33" spans="1:9" ht="18" customHeight="1" x14ac:dyDescent="0.25">
      <c r="A33" s="37" t="s">
        <v>32</v>
      </c>
      <c r="B33" s="25" t="s">
        <v>91</v>
      </c>
      <c r="C33" s="26">
        <f>SUM(D33:G33)</f>
        <v>18112.914000000001</v>
      </c>
      <c r="D33" s="26">
        <f>('обсяги витрат'!B12+'обсяги витрат'!C12)*80%</f>
        <v>4463.1540000000005</v>
      </c>
      <c r="E33" s="26">
        <f>('обсяги витрат'!E12+'обсяги витрат'!F12)*80%</f>
        <v>5246.5879999999997</v>
      </c>
      <c r="F33" s="26">
        <f>('обсяги витрат'!H12+'обсяги витрат'!I12)*80%</f>
        <v>4466.9989999999998</v>
      </c>
      <c r="G33" s="26">
        <f>('обсяги витрат'!K12+'обсяги витрат'!L12)*80%</f>
        <v>3936.1729999999998</v>
      </c>
      <c r="I33" s="27"/>
    </row>
    <row r="34" spans="1:9" ht="18" customHeight="1" x14ac:dyDescent="0.25">
      <c r="A34" s="37" t="s">
        <v>33</v>
      </c>
      <c r="B34" s="25" t="s">
        <v>92</v>
      </c>
      <c r="C34" s="26">
        <f t="shared" ref="C34" si="2">SUM(D34:G34)</f>
        <v>44402.131999999998</v>
      </c>
      <c r="D34" s="26">
        <f>('обсяги витрат'!B10+'обсяги витрат'!C10)*80%</f>
        <v>10136.609</v>
      </c>
      <c r="E34" s="40">
        <f>('обсяги витрат'!E10+'обсяги витрат'!F10)*80%</f>
        <v>10355.790000000001</v>
      </c>
      <c r="F34" s="40">
        <f>('обсяги витрат'!H10+'обсяги витрат'!I10)*80%</f>
        <v>12835.915999999999</v>
      </c>
      <c r="G34" s="40">
        <f>('обсяги витрат'!K10+'обсяги витрат'!L10)*80%</f>
        <v>11073.816999999999</v>
      </c>
      <c r="I34" s="27"/>
    </row>
    <row r="35" spans="1:9" ht="31.5" x14ac:dyDescent="0.25">
      <c r="A35" s="37" t="s">
        <v>34</v>
      </c>
      <c r="B35" s="25" t="s">
        <v>93</v>
      </c>
      <c r="C35" s="26">
        <f>SUM(D35:G35)</f>
        <v>9763.1740000000009</v>
      </c>
      <c r="D35" s="39">
        <f>('обсяги витрат'!B11+'обсяги витрат'!C11)*80%</f>
        <v>2227.9409999999998</v>
      </c>
      <c r="E35" s="40">
        <f>('обсяги витрат'!E11+'обсяги витрат'!F11)*80%</f>
        <v>2276.1860000000001</v>
      </c>
      <c r="F35" s="40">
        <f>('обсяги витрат'!H11+'обсяги витрат'!I11)*80%</f>
        <v>2824.8809999999999</v>
      </c>
      <c r="G35" s="40">
        <f>('обсяги витрат'!K11+'обсяги витрат'!L11)*80%</f>
        <v>2434.1660000000002</v>
      </c>
      <c r="I35" s="27"/>
    </row>
    <row r="36" spans="1:9" ht="17.25" customHeight="1" x14ac:dyDescent="0.25">
      <c r="A36" s="37" t="s">
        <v>35</v>
      </c>
      <c r="B36" s="25" t="s">
        <v>94</v>
      </c>
      <c r="C36" s="26">
        <f t="shared" ref="C36" si="3">SUM(D38:G38)</f>
        <v>0</v>
      </c>
      <c r="D36" s="26">
        <v>0</v>
      </c>
      <c r="E36" s="26">
        <v>0</v>
      </c>
      <c r="F36" s="26">
        <v>0</v>
      </c>
      <c r="G36" s="26">
        <v>0</v>
      </c>
      <c r="I36" s="27"/>
    </row>
    <row r="37" spans="1:9" ht="18.75" customHeight="1" x14ac:dyDescent="0.25">
      <c r="A37" s="37" t="s">
        <v>36</v>
      </c>
      <c r="B37" s="25" t="s">
        <v>95</v>
      </c>
      <c r="C37" s="68">
        <f>SUM(D37:G37)+0.001</f>
        <v>449.91399999999999</v>
      </c>
      <c r="D37" s="26">
        <f>'обсяги витрат'!B18+'обсяги витрат'!C18</f>
        <v>111.72199999999999</v>
      </c>
      <c r="E37" s="26">
        <f>'обсяги витрат'!E18+'обсяги витрат'!F18</f>
        <v>112.747</v>
      </c>
      <c r="F37" s="26">
        <f>'обсяги витрат'!H18+'обсяги витрат'!I18</f>
        <v>113.72199999999999</v>
      </c>
      <c r="G37" s="26">
        <f>'обсяги витрат'!K18+'обсяги витрат'!L18</f>
        <v>111.72199999999999</v>
      </c>
      <c r="I37" s="27"/>
    </row>
    <row r="38" spans="1:9" x14ac:dyDescent="0.25">
      <c r="A38" s="24" t="s">
        <v>37</v>
      </c>
      <c r="B38" s="35"/>
      <c r="C38" s="36"/>
      <c r="D38" s="36"/>
      <c r="E38" s="36"/>
      <c r="F38" s="36"/>
      <c r="G38" s="36"/>
      <c r="I38" s="27"/>
    </row>
    <row r="39" spans="1:9" x14ac:dyDescent="0.25">
      <c r="A39" s="37" t="s">
        <v>38</v>
      </c>
      <c r="B39" s="25" t="s">
        <v>96</v>
      </c>
      <c r="C39" s="26">
        <f>D39+E39+F39+G39</f>
        <v>8391.0879999999997</v>
      </c>
      <c r="D39" s="26">
        <f>D41</f>
        <v>1830.3240000000001</v>
      </c>
      <c r="E39" s="26">
        <f t="shared" ref="E39:G39" si="4">E41</f>
        <v>2045.8340000000001</v>
      </c>
      <c r="F39" s="26">
        <f t="shared" si="4"/>
        <v>2182.8420000000001</v>
      </c>
      <c r="G39" s="26">
        <f t="shared" si="4"/>
        <v>2332.0880000000002</v>
      </c>
      <c r="I39" s="27"/>
    </row>
    <row r="40" spans="1:9" x14ac:dyDescent="0.25">
      <c r="A40" s="37" t="s">
        <v>39</v>
      </c>
      <c r="B40" s="25" t="s">
        <v>97</v>
      </c>
      <c r="C40" s="26"/>
      <c r="D40" s="26"/>
      <c r="E40" s="26"/>
      <c r="F40" s="26"/>
      <c r="G40" s="26"/>
      <c r="I40" s="27"/>
    </row>
    <row r="41" spans="1:9" ht="21" customHeight="1" x14ac:dyDescent="0.25">
      <c r="A41" s="24" t="s">
        <v>40</v>
      </c>
      <c r="B41" s="25" t="s">
        <v>98</v>
      </c>
      <c r="C41" s="26">
        <f>D41+E41+F41+G41</f>
        <v>8391.0879999999997</v>
      </c>
      <c r="D41" s="26">
        <f>SUM(D43:D47)</f>
        <v>1830.3240000000001</v>
      </c>
      <c r="E41" s="26">
        <f>SUM(E43:E47)</f>
        <v>2045.8340000000001</v>
      </c>
      <c r="F41" s="26">
        <f>SUM(F43:F47)</f>
        <v>2182.8420000000001</v>
      </c>
      <c r="G41" s="26">
        <f t="shared" ref="G41" si="5">SUM(G43:G47)</f>
        <v>2332.0880000000002</v>
      </c>
      <c r="I41" s="27"/>
    </row>
    <row r="42" spans="1:9" x14ac:dyDescent="0.25">
      <c r="A42" s="24" t="s">
        <v>41</v>
      </c>
      <c r="B42" s="35"/>
      <c r="C42" s="36"/>
      <c r="D42" s="36"/>
      <c r="E42" s="36"/>
      <c r="F42" s="36"/>
      <c r="G42" s="36"/>
      <c r="I42" s="27"/>
    </row>
    <row r="43" spans="1:9" ht="31.5" x14ac:dyDescent="0.25">
      <c r="A43" s="67" t="s">
        <v>42</v>
      </c>
      <c r="B43" s="25" t="s">
        <v>99</v>
      </c>
      <c r="C43" s="26">
        <f>D43+E43+F43+G43</f>
        <v>1007.268</v>
      </c>
      <c r="D43" s="26">
        <v>251.81700000000001</v>
      </c>
      <c r="E43" s="26">
        <v>251.81700000000001</v>
      </c>
      <c r="F43" s="26">
        <v>251.81700000000001</v>
      </c>
      <c r="G43" s="26">
        <v>251.81700000000001</v>
      </c>
      <c r="I43" s="27"/>
    </row>
    <row r="44" spans="1:9" ht="17.25" customHeight="1" x14ac:dyDescent="0.25">
      <c r="A44" s="37" t="s">
        <v>43</v>
      </c>
      <c r="B44" s="25" t="s">
        <v>100</v>
      </c>
      <c r="C44" s="26">
        <f>D44+E44+F44+G44</f>
        <v>500.46800000000002</v>
      </c>
      <c r="D44" s="26">
        <v>125.117</v>
      </c>
      <c r="E44" s="26">
        <v>125.117</v>
      </c>
      <c r="F44" s="26">
        <v>125.117</v>
      </c>
      <c r="G44" s="26">
        <v>125.117</v>
      </c>
      <c r="I44" s="27"/>
    </row>
    <row r="45" spans="1:9" ht="47.25" x14ac:dyDescent="0.25">
      <c r="A45" s="37" t="s">
        <v>44</v>
      </c>
      <c r="B45" s="25" t="s">
        <v>101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I45" s="27"/>
    </row>
    <row r="46" spans="1:9" ht="23.25" customHeight="1" x14ac:dyDescent="0.25">
      <c r="A46" s="67" t="s">
        <v>45</v>
      </c>
      <c r="B46" s="25" t="s">
        <v>102</v>
      </c>
      <c r="C46" s="26">
        <f>SUM(D46:G46)</f>
        <v>6863.3519999999999</v>
      </c>
      <c r="D46" s="26">
        <f>1715.838-267.448</f>
        <v>1448.39</v>
      </c>
      <c r="E46" s="26">
        <f>1715.838-51.938</f>
        <v>1663.9</v>
      </c>
      <c r="F46" s="26">
        <f>1715.838+85.07</f>
        <v>1800.9079999999999</v>
      </c>
      <c r="G46" s="26">
        <f>1715.838+234.316</f>
        <v>1950.154</v>
      </c>
      <c r="I46" s="27"/>
    </row>
    <row r="47" spans="1:9" ht="30.75" customHeight="1" x14ac:dyDescent="0.25">
      <c r="A47" s="67" t="s">
        <v>115</v>
      </c>
      <c r="B47" s="25" t="s">
        <v>114</v>
      </c>
      <c r="C47" s="26">
        <f>SUM(D47:G47)</f>
        <v>20</v>
      </c>
      <c r="D47" s="26">
        <v>5</v>
      </c>
      <c r="E47" s="26">
        <v>5</v>
      </c>
      <c r="F47" s="26">
        <v>5</v>
      </c>
      <c r="G47" s="26">
        <v>5</v>
      </c>
      <c r="I47" s="27"/>
    </row>
    <row r="48" spans="1:9" ht="32.25" customHeight="1" x14ac:dyDescent="0.25">
      <c r="A48" s="24" t="s">
        <v>103</v>
      </c>
      <c r="B48" s="25" t="s">
        <v>104</v>
      </c>
      <c r="C48" s="26">
        <f>SUM(C50:C54)</f>
        <v>18089.555</v>
      </c>
      <c r="D48" s="26">
        <f>SUM(D50:D54)</f>
        <v>4211.9260000000004</v>
      </c>
      <c r="E48" s="26">
        <f>SUM(E50:E54)</f>
        <v>4474.6419999999998</v>
      </c>
      <c r="F48" s="26">
        <f t="shared" ref="F48" si="6">SUM(F50:F54)</f>
        <v>5036.9489999999996</v>
      </c>
      <c r="G48" s="26">
        <f>SUM(G50:G54)</f>
        <v>4366.0379999999996</v>
      </c>
      <c r="I48" s="27"/>
    </row>
    <row r="49" spans="1:15" ht="31.5" x14ac:dyDescent="0.25">
      <c r="A49" s="24" t="s">
        <v>31</v>
      </c>
      <c r="B49" s="35"/>
      <c r="C49" s="36"/>
      <c r="D49" s="36"/>
      <c r="E49" s="36"/>
      <c r="F49" s="36"/>
      <c r="G49" s="36"/>
      <c r="I49" s="27"/>
    </row>
    <row r="50" spans="1:15" x14ac:dyDescent="0.25">
      <c r="A50" s="37" t="s">
        <v>32</v>
      </c>
      <c r="B50" s="25" t="s">
        <v>105</v>
      </c>
      <c r="C50" s="26">
        <f>SUM(D50:G50)</f>
        <v>4528.2290000000003</v>
      </c>
      <c r="D50" s="41">
        <f>('обсяги витрат'!B12+'обсяги витрат'!C12)*20%</f>
        <v>1115.789</v>
      </c>
      <c r="E50" s="41">
        <f>('обсяги витрат'!E12+'обсяги витрат'!F12)*20%</f>
        <v>1311.6469999999999</v>
      </c>
      <c r="F50" s="41">
        <f>('обсяги витрат'!H12+'обсяги витрат'!I12)*20%</f>
        <v>1116.75</v>
      </c>
      <c r="G50" s="41">
        <f>('обсяги витрат'!K12+'обсяги витрат'!L12)*20%</f>
        <v>984.04300000000001</v>
      </c>
      <c r="I50" s="27"/>
    </row>
    <row r="51" spans="1:15" x14ac:dyDescent="0.25">
      <c r="A51" s="37" t="s">
        <v>33</v>
      </c>
      <c r="B51" s="25" t="s">
        <v>106</v>
      </c>
      <c r="C51" s="26">
        <f>SUM(D51:G51)</f>
        <v>11100.532999999999</v>
      </c>
      <c r="D51" s="26">
        <f>('обсяги витрат'!B10+'обсяги витрат'!C10)*20%</f>
        <v>2534.152</v>
      </c>
      <c r="E51" s="26">
        <f>('обсяги витрат'!E10+'обсяги витрат'!F10)*20%</f>
        <v>2588.9479999999999</v>
      </c>
      <c r="F51" s="26">
        <f>('обсяги витрат'!H10+'обсяги витрат'!I10)*20%</f>
        <v>3208.9789999999998</v>
      </c>
      <c r="G51" s="26">
        <f>('обсяги витрат'!K10+'обсяги витрат'!L10)*20%</f>
        <v>2768.4540000000002</v>
      </c>
      <c r="I51" s="27"/>
      <c r="O51" s="27"/>
    </row>
    <row r="52" spans="1:15" ht="31.5" x14ac:dyDescent="0.25">
      <c r="A52" s="37" t="s">
        <v>34</v>
      </c>
      <c r="B52" s="25" t="s">
        <v>107</v>
      </c>
      <c r="C52" s="42">
        <f>SUM(D52:G52)</f>
        <v>2440.7930000000001</v>
      </c>
      <c r="D52" s="26">
        <f>('обсяги витрат'!B11+'обсяги витрат'!C11)*20%</f>
        <v>556.98500000000001</v>
      </c>
      <c r="E52" s="26">
        <f>('обсяги витрат'!E11+'обсяги витрат'!F11)*20%</f>
        <v>569.04700000000003</v>
      </c>
      <c r="F52" s="26">
        <f>('обсяги витрат'!H11+'обсяги витрат'!I11)*20%</f>
        <v>706.22</v>
      </c>
      <c r="G52" s="26">
        <f>('обсяги витрат'!K11+'обсяги витрат'!L11)*20%</f>
        <v>608.54100000000005</v>
      </c>
      <c r="I52" s="27"/>
    </row>
    <row r="53" spans="1:15" x14ac:dyDescent="0.25">
      <c r="A53" s="37" t="s">
        <v>35</v>
      </c>
      <c r="B53" s="25" t="s">
        <v>108</v>
      </c>
      <c r="C53" s="26">
        <f>SUM(D53:G53)</f>
        <v>0</v>
      </c>
      <c r="D53" s="41">
        <v>0</v>
      </c>
      <c r="E53" s="41">
        <v>0</v>
      </c>
      <c r="F53" s="41">
        <v>0</v>
      </c>
      <c r="G53" s="41">
        <v>0</v>
      </c>
      <c r="I53" s="27"/>
    </row>
    <row r="54" spans="1:15" x14ac:dyDescent="0.25">
      <c r="A54" s="37" t="s">
        <v>36</v>
      </c>
      <c r="B54" s="25" t="s">
        <v>109</v>
      </c>
      <c r="C54" s="26">
        <f>SUM(D54:G54)</f>
        <v>20</v>
      </c>
      <c r="D54" s="41">
        <f>'обсяги витрат'!D18</f>
        <v>5</v>
      </c>
      <c r="E54" s="41">
        <f>'обсяги витрат'!G18</f>
        <v>5</v>
      </c>
      <c r="F54" s="41">
        <f>'обсяги витрат'!J18</f>
        <v>5</v>
      </c>
      <c r="G54" s="41">
        <f>'обсяги витрат'!M18</f>
        <v>5</v>
      </c>
    </row>
    <row r="55" spans="1:15" ht="31.5" x14ac:dyDescent="0.25">
      <c r="A55" s="24" t="s">
        <v>46</v>
      </c>
      <c r="B55" s="25">
        <v>100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</row>
    <row r="56" spans="1:15" ht="31.5" x14ac:dyDescent="0.25">
      <c r="A56" s="24" t="s">
        <v>31</v>
      </c>
      <c r="B56" s="35"/>
      <c r="C56" s="36"/>
      <c r="D56" s="36"/>
      <c r="E56" s="36"/>
      <c r="F56" s="36"/>
      <c r="G56" s="36"/>
    </row>
    <row r="57" spans="1:15" x14ac:dyDescent="0.25">
      <c r="A57" s="37" t="s">
        <v>32</v>
      </c>
      <c r="B57" s="25">
        <v>101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</row>
    <row r="58" spans="1:15" x14ac:dyDescent="0.25">
      <c r="A58" s="37" t="s">
        <v>33</v>
      </c>
      <c r="B58" s="25">
        <v>102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</row>
    <row r="59" spans="1:15" ht="31.5" x14ac:dyDescent="0.25">
      <c r="A59" s="37" t="s">
        <v>34</v>
      </c>
      <c r="B59" s="25">
        <v>103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</row>
    <row r="60" spans="1:15" x14ac:dyDescent="0.25">
      <c r="A60" s="37" t="s">
        <v>35</v>
      </c>
      <c r="B60" s="25">
        <v>104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</row>
    <row r="61" spans="1:15" x14ac:dyDescent="0.25">
      <c r="A61" s="37" t="s">
        <v>36</v>
      </c>
      <c r="B61" s="25">
        <v>105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</row>
    <row r="62" spans="1:15" ht="31.5" x14ac:dyDescent="0.25">
      <c r="A62" s="24" t="s">
        <v>110</v>
      </c>
      <c r="B62" s="25">
        <v>110</v>
      </c>
      <c r="C62" s="26">
        <f>D62+E62+F62+G62</f>
        <v>8324.7379999999994</v>
      </c>
      <c r="D62" s="26">
        <f>D64+D65+D66+D67+D68</f>
        <v>1825.3240000000001</v>
      </c>
      <c r="E62" s="26">
        <f>E64+E65+E66+E67+E68</f>
        <v>2040.8340000000001</v>
      </c>
      <c r="F62" s="26">
        <f>F64+F65+F66+F67+F68</f>
        <v>2131.4920000000002</v>
      </c>
      <c r="G62" s="26">
        <f t="shared" ref="G62" si="7">G64+G65+G66+G67+G68</f>
        <v>2327.0880000000002</v>
      </c>
      <c r="I62" s="27"/>
      <c r="J62" s="27"/>
      <c r="K62" s="27"/>
      <c r="L62" s="27"/>
    </row>
    <row r="63" spans="1:15" ht="31.5" x14ac:dyDescent="0.25">
      <c r="A63" s="24" t="s">
        <v>31</v>
      </c>
      <c r="B63" s="35"/>
      <c r="C63" s="36"/>
      <c r="D63" s="36"/>
      <c r="E63" s="36"/>
      <c r="F63" s="36"/>
      <c r="G63" s="36"/>
    </row>
    <row r="64" spans="1:15" x14ac:dyDescent="0.25">
      <c r="A64" s="37" t="s">
        <v>32</v>
      </c>
      <c r="B64" s="25">
        <v>111</v>
      </c>
      <c r="C64" s="26">
        <f>D64+E64+F64+G64</f>
        <v>4617.2929999999997</v>
      </c>
      <c r="D64" s="26">
        <f>'обсяги витрат'!D12</f>
        <v>1234.087</v>
      </c>
      <c r="E64" s="26">
        <f>'обсяги витрат'!G12</f>
        <v>1007.333</v>
      </c>
      <c r="F64" s="26">
        <f>'обсяги витрат'!J12</f>
        <v>947.40499999999997</v>
      </c>
      <c r="G64" s="26">
        <f>'обсяги витрат'!M12</f>
        <v>1428.4680000000001</v>
      </c>
      <c r="I64" s="38"/>
    </row>
    <row r="65" spans="1:7" x14ac:dyDescent="0.25">
      <c r="A65" s="37" t="s">
        <v>33</v>
      </c>
      <c r="B65" s="25">
        <v>112</v>
      </c>
      <c r="C65" s="26">
        <f>D65+E65+F65+G65</f>
        <v>3041.3820000000001</v>
      </c>
      <c r="D65" s="26">
        <f>'обсяги витрат'!D10</f>
        <v>485.01799999999997</v>
      </c>
      <c r="E65" s="26">
        <f>'обсяги витрат'!G10</f>
        <v>847.827</v>
      </c>
      <c r="F65" s="26">
        <f>'обсяги витрат'!J10</f>
        <v>971.35900000000004</v>
      </c>
      <c r="G65" s="26">
        <f>'обсяги витрат'!M10</f>
        <v>737.178</v>
      </c>
    </row>
    <row r="66" spans="1:7" ht="31.5" x14ac:dyDescent="0.25">
      <c r="A66" s="37" t="s">
        <v>34</v>
      </c>
      <c r="B66" s="25">
        <v>113</v>
      </c>
      <c r="C66" s="26">
        <f>D66+E66+F66+G66</f>
        <v>666.06299999999999</v>
      </c>
      <c r="D66" s="26">
        <f>'обсяги витрат'!D11</f>
        <v>106.21899999999999</v>
      </c>
      <c r="E66" s="26">
        <f>'обсяги витрат'!G11</f>
        <v>185.67400000000001</v>
      </c>
      <c r="F66" s="26">
        <f>'обсяги витрат'!J11</f>
        <v>212.72800000000001</v>
      </c>
      <c r="G66" s="26">
        <f>'обсяги витрат'!M11</f>
        <v>161.44200000000001</v>
      </c>
    </row>
    <row r="67" spans="1:7" x14ac:dyDescent="0.25">
      <c r="A67" s="37" t="s">
        <v>35</v>
      </c>
      <c r="B67" s="25">
        <v>114</v>
      </c>
      <c r="C67" s="26">
        <f t="shared" ref="C67:C68" si="8">D67+E67+F67+G67</f>
        <v>0</v>
      </c>
      <c r="D67" s="26">
        <v>0</v>
      </c>
      <c r="E67" s="26">
        <v>0</v>
      </c>
      <c r="F67" s="26">
        <v>0</v>
      </c>
      <c r="G67" s="26">
        <v>0</v>
      </c>
    </row>
    <row r="68" spans="1:7" x14ac:dyDescent="0.25">
      <c r="A68" s="37" t="s">
        <v>36</v>
      </c>
      <c r="B68" s="25">
        <v>115</v>
      </c>
      <c r="C68" s="26">
        <f t="shared" si="8"/>
        <v>0</v>
      </c>
      <c r="D68" s="26">
        <v>0</v>
      </c>
      <c r="E68" s="26">
        <v>0</v>
      </c>
      <c r="F68" s="26">
        <v>0</v>
      </c>
      <c r="G68" s="26">
        <v>0</v>
      </c>
    </row>
    <row r="69" spans="1:7" ht="31.5" x14ac:dyDescent="0.25">
      <c r="A69" s="24" t="s">
        <v>47</v>
      </c>
      <c r="B69" s="35"/>
      <c r="C69" s="36"/>
      <c r="D69" s="36"/>
      <c r="E69" s="36"/>
      <c r="F69" s="36"/>
      <c r="G69" s="36"/>
    </row>
    <row r="70" spans="1:7" x14ac:dyDescent="0.25">
      <c r="A70" s="37" t="s">
        <v>38</v>
      </c>
      <c r="B70" s="25">
        <v>121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</row>
    <row r="71" spans="1:7" x14ac:dyDescent="0.25">
      <c r="A71" s="37" t="s">
        <v>39</v>
      </c>
      <c r="B71" s="25">
        <v>122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</row>
    <row r="72" spans="1:7" x14ac:dyDescent="0.25">
      <c r="A72" s="24" t="s">
        <v>48</v>
      </c>
      <c r="B72" s="25">
        <v>130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</row>
    <row r="73" spans="1:7" x14ac:dyDescent="0.25">
      <c r="A73" s="24" t="s">
        <v>49</v>
      </c>
      <c r="B73" s="25">
        <v>140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</row>
    <row r="74" spans="1:7" x14ac:dyDescent="0.25">
      <c r="A74" s="24" t="s">
        <v>50</v>
      </c>
      <c r="B74" s="25">
        <v>150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</row>
    <row r="75" spans="1:7" x14ac:dyDescent="0.25">
      <c r="A75" s="24" t="s">
        <v>41</v>
      </c>
      <c r="B75" s="35"/>
      <c r="C75" s="36"/>
      <c r="D75" s="36"/>
      <c r="E75" s="36"/>
      <c r="F75" s="36"/>
      <c r="G75" s="36"/>
    </row>
    <row r="76" spans="1:7" ht="29.25" customHeight="1" x14ac:dyDescent="0.25">
      <c r="A76" s="37" t="s">
        <v>51</v>
      </c>
      <c r="B76" s="25">
        <v>152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</row>
    <row r="77" spans="1:7" ht="29.25" customHeight="1" x14ac:dyDescent="0.25">
      <c r="A77" s="37" t="s">
        <v>52</v>
      </c>
      <c r="B77" s="25">
        <v>154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</row>
    <row r="78" spans="1:7" x14ac:dyDescent="0.25">
      <c r="A78" s="24" t="s">
        <v>53</v>
      </c>
      <c r="B78" s="25">
        <v>160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</row>
    <row r="79" spans="1:7" x14ac:dyDescent="0.25">
      <c r="A79" s="24" t="s">
        <v>54</v>
      </c>
      <c r="B79" s="25">
        <v>170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</row>
    <row r="80" spans="1:7" x14ac:dyDescent="0.25">
      <c r="A80" s="24" t="s">
        <v>55</v>
      </c>
      <c r="B80" s="25">
        <v>180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9" ht="47.25" x14ac:dyDescent="0.25">
      <c r="A81" s="24" t="s">
        <v>56</v>
      </c>
      <c r="B81" s="35"/>
      <c r="C81" s="36"/>
      <c r="D81" s="36"/>
      <c r="E81" s="36"/>
      <c r="F81" s="36"/>
      <c r="G81" s="36"/>
    </row>
    <row r="82" spans="1:9" s="70" customFormat="1" x14ac:dyDescent="0.25">
      <c r="A82" s="37" t="s">
        <v>38</v>
      </c>
      <c r="B82" s="25">
        <v>191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1"/>
    </row>
    <row r="83" spans="1:9" x14ac:dyDescent="0.25">
      <c r="A83" s="37" t="s">
        <v>39</v>
      </c>
      <c r="B83" s="25">
        <v>192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</row>
    <row r="84" spans="1:9" x14ac:dyDescent="0.25">
      <c r="A84" s="24" t="s">
        <v>57</v>
      </c>
      <c r="B84" s="25">
        <v>200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</row>
    <row r="85" spans="1:9" x14ac:dyDescent="0.25">
      <c r="A85" s="24" t="s">
        <v>58</v>
      </c>
      <c r="B85" s="35"/>
      <c r="C85" s="36"/>
      <c r="D85" s="36"/>
      <c r="E85" s="36"/>
      <c r="F85" s="36"/>
      <c r="G85" s="36"/>
    </row>
    <row r="86" spans="1:9" x14ac:dyDescent="0.25">
      <c r="A86" s="37" t="s">
        <v>38</v>
      </c>
      <c r="B86" s="25">
        <v>211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</row>
    <row r="87" spans="1:9" x14ac:dyDescent="0.25">
      <c r="A87" s="37" t="s">
        <v>39</v>
      </c>
      <c r="B87" s="25">
        <v>212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</row>
    <row r="88" spans="1:9" ht="30" customHeight="1" x14ac:dyDescent="0.25">
      <c r="A88" s="24" t="s">
        <v>59</v>
      </c>
      <c r="B88" s="25">
        <v>220</v>
      </c>
      <c r="C88" s="26">
        <v>0</v>
      </c>
      <c r="D88" s="26">
        <v>0</v>
      </c>
      <c r="E88" s="26">
        <v>0</v>
      </c>
      <c r="F88" s="26">
        <v>0</v>
      </c>
      <c r="G88" s="26">
        <v>0</v>
      </c>
    </row>
    <row r="89" spans="1:9" ht="20.25" customHeight="1" x14ac:dyDescent="0.25">
      <c r="A89" s="82" t="s">
        <v>60</v>
      </c>
      <c r="B89" s="82"/>
      <c r="C89" s="82"/>
      <c r="D89" s="82"/>
      <c r="E89" s="82"/>
      <c r="F89" s="82"/>
      <c r="G89" s="82"/>
    </row>
    <row r="90" spans="1:9" x14ac:dyDescent="0.25">
      <c r="A90" s="24" t="s">
        <v>61</v>
      </c>
      <c r="B90" s="28">
        <v>310</v>
      </c>
      <c r="C90" s="26">
        <f>SUM(D90:G90)</f>
        <v>27258.436000000002</v>
      </c>
      <c r="D90" s="26">
        <f>D33+D50+D64</f>
        <v>6813.03</v>
      </c>
      <c r="E90" s="26">
        <f t="shared" ref="E90:G90" si="9">E33+E50+E64</f>
        <v>7565.5680000000002</v>
      </c>
      <c r="F90" s="26">
        <f t="shared" si="9"/>
        <v>6531.1540000000005</v>
      </c>
      <c r="G90" s="26">
        <f t="shared" si="9"/>
        <v>6348.6840000000002</v>
      </c>
      <c r="I90" s="27"/>
    </row>
    <row r="91" spans="1:9" x14ac:dyDescent="0.25">
      <c r="A91" s="24" t="s">
        <v>62</v>
      </c>
      <c r="B91" s="28">
        <v>320</v>
      </c>
      <c r="C91" s="26">
        <f>SUM(D91:G91)</f>
        <v>58544.046999999999</v>
      </c>
      <c r="D91" s="26">
        <f>D34+D51+D65</f>
        <v>13155.779</v>
      </c>
      <c r="E91" s="26">
        <f t="shared" ref="E91:G91" si="10">E34+E51+E65</f>
        <v>13792.565000000001</v>
      </c>
      <c r="F91" s="26">
        <f t="shared" si="10"/>
        <v>17016.254000000001</v>
      </c>
      <c r="G91" s="26">
        <f t="shared" si="10"/>
        <v>14579.449000000001</v>
      </c>
      <c r="I91" s="27"/>
    </row>
    <row r="92" spans="1:9" x14ac:dyDescent="0.25">
      <c r="A92" s="24" t="s">
        <v>63</v>
      </c>
      <c r="B92" s="28">
        <v>330</v>
      </c>
      <c r="C92" s="26">
        <f t="shared" ref="C92" si="11">SUM(D92:G92)</f>
        <v>12870.03</v>
      </c>
      <c r="D92" s="26">
        <f>D35+D52+D66</f>
        <v>2891.145</v>
      </c>
      <c r="E92" s="26">
        <f t="shared" ref="E92:G92" si="12">E35+E52+E66</f>
        <v>3030.9070000000002</v>
      </c>
      <c r="F92" s="26">
        <f t="shared" si="12"/>
        <v>3743.8290000000002</v>
      </c>
      <c r="G92" s="26">
        <f t="shared" si="12"/>
        <v>3204.1489999999999</v>
      </c>
    </row>
    <row r="93" spans="1:9" x14ac:dyDescent="0.25">
      <c r="A93" s="24" t="s">
        <v>64</v>
      </c>
      <c r="B93" s="28">
        <v>340</v>
      </c>
      <c r="C93" s="26">
        <f>SUM(D93:G93)</f>
        <v>0</v>
      </c>
      <c r="D93" s="26">
        <f t="shared" ref="D93" si="13">D36+D53+D67</f>
        <v>0</v>
      </c>
      <c r="E93" s="26">
        <f t="shared" ref="E93" si="14">E36+E53+E67</f>
        <v>0</v>
      </c>
      <c r="F93" s="26">
        <f>F36+F53+F67</f>
        <v>0</v>
      </c>
      <c r="G93" s="26">
        <f>G36+G53+G67</f>
        <v>0</v>
      </c>
    </row>
    <row r="94" spans="1:9" x14ac:dyDescent="0.25">
      <c r="A94" s="24" t="s">
        <v>159</v>
      </c>
      <c r="B94" s="28">
        <v>350</v>
      </c>
      <c r="C94" s="26">
        <f>SUM(D94:G94)</f>
        <v>3491.1019999999999</v>
      </c>
      <c r="D94" s="26">
        <f>D37+D54+D68+D109</f>
        <v>116.72199999999999</v>
      </c>
      <c r="E94" s="26">
        <f>E37+E54+E68+E109</f>
        <v>3092.5859999999998</v>
      </c>
      <c r="F94" s="26">
        <f t="shared" ref="F94:G94" si="15">F37+F54+F68+F109</f>
        <v>165.072</v>
      </c>
      <c r="G94" s="26">
        <f t="shared" si="15"/>
        <v>116.72199999999999</v>
      </c>
    </row>
    <row r="95" spans="1:9" x14ac:dyDescent="0.25">
      <c r="A95" s="71" t="s">
        <v>161</v>
      </c>
      <c r="B95" s="28" t="s">
        <v>158</v>
      </c>
      <c r="C95" s="26">
        <f t="shared" ref="C95:C96" si="16">SUM(D95:G95)</f>
        <v>2020.106</v>
      </c>
      <c r="D95" s="26">
        <v>0</v>
      </c>
      <c r="E95" s="26">
        <v>2020.106</v>
      </c>
      <c r="F95" s="26">
        <v>0</v>
      </c>
      <c r="G95" s="26">
        <v>0</v>
      </c>
    </row>
    <row r="96" spans="1:9" x14ac:dyDescent="0.25">
      <c r="A96" s="71" t="s">
        <v>162</v>
      </c>
      <c r="B96" s="28" t="s">
        <v>160</v>
      </c>
      <c r="C96" s="26">
        <f t="shared" si="16"/>
        <v>1001.083</v>
      </c>
      <c r="D96" s="26">
        <v>0</v>
      </c>
      <c r="E96" s="26">
        <f>'обсяги витрат'!E25</f>
        <v>954.73299999999995</v>
      </c>
      <c r="F96" s="26">
        <v>46.35</v>
      </c>
      <c r="G96" s="26">
        <v>0</v>
      </c>
    </row>
    <row r="97" spans="1:11" x14ac:dyDescent="0.25">
      <c r="A97" s="24" t="s">
        <v>65</v>
      </c>
      <c r="B97" s="28">
        <v>360</v>
      </c>
      <c r="C97" s="26">
        <f>SUM(C90:C94)</f>
        <v>102163.61500000001</v>
      </c>
      <c r="D97" s="26">
        <f>SUM(D90:D94)</f>
        <v>22976.675999999999</v>
      </c>
      <c r="E97" s="26">
        <f>SUM(E90:E94)</f>
        <v>27481.626</v>
      </c>
      <c r="F97" s="26">
        <f>SUM(F90:F94)</f>
        <v>27456.309000000001</v>
      </c>
      <c r="G97" s="26">
        <f>SUM(G90:G94)</f>
        <v>24249.004000000001</v>
      </c>
      <c r="I97" s="27"/>
      <c r="K97" s="27"/>
    </row>
    <row r="98" spans="1:11" ht="24" customHeight="1" x14ac:dyDescent="0.25">
      <c r="A98" s="82" t="s">
        <v>66</v>
      </c>
      <c r="B98" s="82"/>
      <c r="C98" s="82"/>
      <c r="D98" s="82"/>
      <c r="E98" s="82"/>
      <c r="F98" s="82"/>
      <c r="G98" s="82"/>
    </row>
    <row r="99" spans="1:11" x14ac:dyDescent="0.25">
      <c r="A99" s="24" t="s">
        <v>67</v>
      </c>
      <c r="B99" s="28">
        <v>410</v>
      </c>
      <c r="C99" s="26">
        <f>SUM(D99:G99)</f>
        <v>0</v>
      </c>
      <c r="D99" s="26">
        <f>D100</f>
        <v>0</v>
      </c>
      <c r="E99" s="26">
        <f>E100</f>
        <v>0</v>
      </c>
      <c r="F99" s="26">
        <f t="shared" ref="F99:G99" si="17">F100</f>
        <v>0</v>
      </c>
      <c r="G99" s="26">
        <f t="shared" si="17"/>
        <v>0</v>
      </c>
    </row>
    <row r="100" spans="1:11" ht="31.5" x14ac:dyDescent="0.25">
      <c r="A100" s="37" t="s">
        <v>68</v>
      </c>
      <c r="B100" s="28">
        <v>411</v>
      </c>
      <c r="C100" s="26">
        <f>SUM(D100:G100)</f>
        <v>0</v>
      </c>
      <c r="D100" s="26">
        <v>0</v>
      </c>
      <c r="E100" s="26">
        <v>0</v>
      </c>
      <c r="F100" s="29">
        <v>0</v>
      </c>
      <c r="G100" s="29">
        <v>0</v>
      </c>
    </row>
    <row r="101" spans="1:11" ht="48.75" customHeight="1" x14ac:dyDescent="0.25">
      <c r="A101" s="24" t="s">
        <v>69</v>
      </c>
      <c r="B101" s="28">
        <v>420</v>
      </c>
      <c r="C101" s="29">
        <f>D101+E101+F101+G101</f>
        <v>1001.083</v>
      </c>
      <c r="D101" s="29">
        <v>0</v>
      </c>
      <c r="E101" s="29">
        <f>'обсяги витрат'!E25+'обсяги витрат'!F24+'обсяги витрат'!G24</f>
        <v>954.73299999999995</v>
      </c>
      <c r="F101" s="29">
        <f>'обсяги витрат'!H24+'обсяги витрат'!I24+'обсяги витрат'!J24</f>
        <v>46.35</v>
      </c>
      <c r="G101" s="29">
        <v>0</v>
      </c>
    </row>
    <row r="102" spans="1:11" ht="31.5" x14ac:dyDescent="0.25">
      <c r="A102" s="37" t="s">
        <v>68</v>
      </c>
      <c r="B102" s="28">
        <v>421</v>
      </c>
      <c r="C102" s="29">
        <f>SUM(D102:G102)</f>
        <v>954.73299999999995</v>
      </c>
      <c r="D102" s="29">
        <v>0</v>
      </c>
      <c r="E102" s="29">
        <f>'обсяги витрат'!E25</f>
        <v>954.73299999999995</v>
      </c>
      <c r="F102" s="29">
        <v>0</v>
      </c>
      <c r="G102" s="29">
        <v>0</v>
      </c>
    </row>
    <row r="103" spans="1:11" ht="31.5" x14ac:dyDescent="0.25">
      <c r="A103" s="24" t="s">
        <v>70</v>
      </c>
      <c r="B103" s="28">
        <v>430</v>
      </c>
      <c r="C103" s="29">
        <f t="shared" ref="C103:C107" si="18">SUM(D103:G103)</f>
        <v>0</v>
      </c>
      <c r="D103" s="29">
        <v>0</v>
      </c>
      <c r="E103" s="29">
        <v>0</v>
      </c>
      <c r="F103" s="29">
        <v>0</v>
      </c>
      <c r="G103" s="29">
        <v>0</v>
      </c>
    </row>
    <row r="104" spans="1:11" ht="31.5" x14ac:dyDescent="0.25">
      <c r="A104" s="37" t="s">
        <v>68</v>
      </c>
      <c r="B104" s="28">
        <v>431</v>
      </c>
      <c r="C104" s="29">
        <f t="shared" si="18"/>
        <v>0</v>
      </c>
      <c r="D104" s="29">
        <v>0</v>
      </c>
      <c r="E104" s="29">
        <v>0</v>
      </c>
      <c r="F104" s="29">
        <v>0</v>
      </c>
      <c r="G104" s="29">
        <v>0</v>
      </c>
    </row>
    <row r="105" spans="1:11" ht="31.5" x14ac:dyDescent="0.25">
      <c r="A105" s="24" t="s">
        <v>71</v>
      </c>
      <c r="B105" s="28">
        <v>440</v>
      </c>
      <c r="C105" s="29">
        <f t="shared" si="18"/>
        <v>0</v>
      </c>
      <c r="D105" s="29">
        <v>0</v>
      </c>
      <c r="E105" s="29">
        <v>0</v>
      </c>
      <c r="F105" s="29">
        <v>0</v>
      </c>
      <c r="G105" s="29">
        <v>0</v>
      </c>
    </row>
    <row r="106" spans="1:11" ht="31.5" x14ac:dyDescent="0.25">
      <c r="A106" s="37" t="s">
        <v>68</v>
      </c>
      <c r="B106" s="28">
        <v>441</v>
      </c>
      <c r="C106" s="29">
        <f t="shared" si="18"/>
        <v>0</v>
      </c>
      <c r="D106" s="29">
        <v>0</v>
      </c>
      <c r="E106" s="29">
        <v>0</v>
      </c>
      <c r="F106" s="29">
        <v>0</v>
      </c>
      <c r="G106" s="29">
        <v>0</v>
      </c>
    </row>
    <row r="107" spans="1:11" ht="63" x14ac:dyDescent="0.25">
      <c r="A107" s="24" t="s">
        <v>72</v>
      </c>
      <c r="B107" s="28">
        <v>450</v>
      </c>
      <c r="C107" s="29">
        <f t="shared" si="18"/>
        <v>2020.106</v>
      </c>
      <c r="D107" s="29">
        <v>0</v>
      </c>
      <c r="E107" s="29">
        <v>2020.106</v>
      </c>
      <c r="F107" s="29">
        <v>0</v>
      </c>
      <c r="G107" s="29">
        <v>0</v>
      </c>
    </row>
    <row r="108" spans="1:11" ht="31.5" x14ac:dyDescent="0.25">
      <c r="A108" s="37" t="s">
        <v>68</v>
      </c>
      <c r="B108" s="28">
        <v>451</v>
      </c>
      <c r="C108" s="29">
        <f>SUM(D108:G108)</f>
        <v>2020.106</v>
      </c>
      <c r="D108" s="29">
        <v>0</v>
      </c>
      <c r="E108" s="29">
        <v>2020.106</v>
      </c>
      <c r="F108" s="29">
        <v>0</v>
      </c>
      <c r="G108" s="29">
        <v>0</v>
      </c>
    </row>
    <row r="109" spans="1:11" ht="31.5" x14ac:dyDescent="0.25">
      <c r="A109" s="43" t="s">
        <v>73</v>
      </c>
      <c r="B109" s="23">
        <v>490</v>
      </c>
      <c r="C109" s="44">
        <f>C99+C101+C103+C105+C107</f>
        <v>3021.1889999999999</v>
      </c>
      <c r="D109" s="45">
        <f>D99+D101+D103+D105+D107</f>
        <v>0</v>
      </c>
      <c r="E109" s="44">
        <f>(E99+E101+E103+E105+E107)</f>
        <v>2974.8389999999999</v>
      </c>
      <c r="F109" s="45">
        <f>F99+F101+F103+F105+F107</f>
        <v>46.35</v>
      </c>
      <c r="G109" s="45">
        <f t="shared" ref="G109" si="19">G99+G101+G103+G105+G107</f>
        <v>0</v>
      </c>
    </row>
    <row r="110" spans="1:11" ht="47.25" x14ac:dyDescent="0.25">
      <c r="A110" s="37" t="s">
        <v>74</v>
      </c>
      <c r="B110" s="28">
        <v>491</v>
      </c>
      <c r="C110" s="26">
        <f>C100+C102+C104+C106+C108</f>
        <v>2974.8389999999999</v>
      </c>
      <c r="D110" s="29">
        <f>D100+D102+D104+D106+D108</f>
        <v>0</v>
      </c>
      <c r="E110" s="26">
        <f>(E100+E102+E104+E106+E108)</f>
        <v>2974.8389999999999</v>
      </c>
      <c r="F110" s="29">
        <f t="shared" ref="F110:G110" si="20">F100+F102+F104+F106+F108</f>
        <v>0</v>
      </c>
      <c r="G110" s="29">
        <f t="shared" si="20"/>
        <v>0</v>
      </c>
    </row>
    <row r="111" spans="1:11" x14ac:dyDescent="0.25">
      <c r="A111" s="23" t="s">
        <v>75</v>
      </c>
      <c r="B111" s="24"/>
      <c r="C111" s="28"/>
      <c r="D111" s="28"/>
      <c r="E111" s="28"/>
      <c r="F111" s="28"/>
      <c r="G111" s="28"/>
    </row>
    <row r="112" spans="1:11" ht="31.5" x14ac:dyDescent="0.25">
      <c r="A112" s="24" t="s">
        <v>143</v>
      </c>
      <c r="B112" s="28">
        <v>510</v>
      </c>
      <c r="C112" s="46">
        <v>267</v>
      </c>
      <c r="D112" s="46">
        <v>267</v>
      </c>
      <c r="E112" s="46">
        <v>267</v>
      </c>
      <c r="F112" s="46">
        <v>267</v>
      </c>
      <c r="G112" s="46">
        <v>267</v>
      </c>
    </row>
    <row r="113" spans="1:7" ht="31.5" x14ac:dyDescent="0.25">
      <c r="A113" s="24" t="s">
        <v>76</v>
      </c>
      <c r="B113" s="28">
        <v>520</v>
      </c>
      <c r="C113" s="68">
        <v>152629.58300000001</v>
      </c>
      <c r="D113" s="68">
        <v>152629.58300000001</v>
      </c>
      <c r="E113" s="68">
        <v>152629.58300000001</v>
      </c>
      <c r="F113" s="68">
        <v>152629.58300000001</v>
      </c>
      <c r="G113" s="68">
        <v>152629.58300000001</v>
      </c>
    </row>
    <row r="114" spans="1:7" x14ac:dyDescent="0.25">
      <c r="A114" s="24" t="s">
        <v>77</v>
      </c>
      <c r="B114" s="28">
        <v>530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</row>
    <row r="115" spans="1:7" ht="45.75" customHeight="1" x14ac:dyDescent="0.25">
      <c r="A115" s="24" t="s">
        <v>78</v>
      </c>
      <c r="B115" s="28">
        <v>540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</row>
    <row r="116" spans="1:7" hidden="1" x14ac:dyDescent="0.25"/>
    <row r="117" spans="1:7" hidden="1" x14ac:dyDescent="0.25"/>
    <row r="118" spans="1:7" hidden="1" x14ac:dyDescent="0.25"/>
    <row r="119" spans="1:7" s="30" customFormat="1" ht="18.75" hidden="1" x14ac:dyDescent="0.3">
      <c r="A119" s="30" t="s">
        <v>111</v>
      </c>
      <c r="E119" s="30" t="s">
        <v>112</v>
      </c>
    </row>
    <row r="122" spans="1:7" x14ac:dyDescent="0.25">
      <c r="A122" s="90" t="s">
        <v>165</v>
      </c>
      <c r="B122" s="90"/>
      <c r="C122" s="90"/>
      <c r="D122" s="90"/>
      <c r="E122" s="90"/>
      <c r="F122" s="90"/>
      <c r="G122" s="90"/>
    </row>
    <row r="123" spans="1:7" x14ac:dyDescent="0.25">
      <c r="A123" s="90"/>
      <c r="B123" s="90"/>
      <c r="C123" s="90"/>
      <c r="D123" s="90"/>
      <c r="E123" s="90"/>
      <c r="F123" s="90"/>
      <c r="G123" s="90"/>
    </row>
    <row r="124" spans="1:7" ht="38.25" customHeight="1" x14ac:dyDescent="0.25">
      <c r="A124" s="90"/>
      <c r="B124" s="90"/>
      <c r="C124" s="90"/>
      <c r="D124" s="90"/>
      <c r="E124" s="90"/>
      <c r="F124" s="90"/>
      <c r="G124" s="90"/>
    </row>
  </sheetData>
  <mergeCells count="27">
    <mergeCell ref="E1:G2"/>
    <mergeCell ref="A122:G124"/>
    <mergeCell ref="A89:G89"/>
    <mergeCell ref="A98:G98"/>
    <mergeCell ref="A3:G3"/>
    <mergeCell ref="A21:G21"/>
    <mergeCell ref="A18:A19"/>
    <mergeCell ref="B18:B19"/>
    <mergeCell ref="C18:C19"/>
    <mergeCell ref="D18:G18"/>
    <mergeCell ref="B12:G12"/>
    <mergeCell ref="A5:A6"/>
    <mergeCell ref="F8:G8"/>
    <mergeCell ref="B11:G11"/>
    <mergeCell ref="B9:C9"/>
    <mergeCell ref="D9:E9"/>
    <mergeCell ref="D5:G5"/>
    <mergeCell ref="B7:C7"/>
    <mergeCell ref="F9:G9"/>
    <mergeCell ref="D7:E7"/>
    <mergeCell ref="D8:E8"/>
    <mergeCell ref="B10:G10"/>
    <mergeCell ref="B8:C8"/>
    <mergeCell ref="D6:E6"/>
    <mergeCell ref="F6:G6"/>
    <mergeCell ref="B5:C6"/>
    <mergeCell ref="F7:G7"/>
  </mergeCells>
  <phoneticPr fontId="2" type="noConversion"/>
  <pageMargins left="1.1811023622047245" right="0.59055118110236227" top="0.78740157480314965" bottom="0.78740157480314965" header="0.31496062992125984" footer="0.31496062992125984"/>
  <pageSetup paperSize="9" scale="69" fitToHeight="0" orientation="portrait" r:id="rId1"/>
  <rowBreaks count="2" manualBreakCount="2">
    <brk id="45" max="6" man="1"/>
    <brk id="97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R32"/>
  <sheetViews>
    <sheetView topLeftCell="A10" zoomScale="85" zoomScaleNormal="85" zoomScaleSheetLayoutView="90" workbookViewId="0">
      <selection activeCell="E24" sqref="E24"/>
    </sheetView>
  </sheetViews>
  <sheetFormatPr defaultRowHeight="15" x14ac:dyDescent="0.25"/>
  <cols>
    <col min="1" max="1" width="27.140625" style="1" bestFit="1" customWidth="1"/>
    <col min="2" max="2" width="12.140625" style="2" customWidth="1"/>
    <col min="3" max="3" width="14.85546875" style="2" customWidth="1"/>
    <col min="4" max="4" width="9.7109375" style="2" customWidth="1"/>
    <col min="5" max="6" width="12.42578125" style="2" customWidth="1"/>
    <col min="7" max="7" width="11.28515625" style="2" customWidth="1"/>
    <col min="8" max="8" width="13.28515625" style="2" customWidth="1"/>
    <col min="9" max="9" width="11.28515625" style="2" customWidth="1"/>
    <col min="10" max="10" width="9.7109375" style="2" customWidth="1"/>
    <col min="11" max="11" width="14.28515625" style="2" customWidth="1"/>
    <col min="12" max="12" width="11.7109375" style="2" customWidth="1"/>
    <col min="13" max="13" width="10.28515625" style="2" customWidth="1"/>
    <col min="14" max="14" width="15.28515625" style="11" customWidth="1"/>
    <col min="15" max="15" width="14.28515625" style="3" bestFit="1" customWidth="1"/>
    <col min="16" max="16" width="14.85546875" style="3" customWidth="1"/>
    <col min="17" max="17" width="13.140625" style="3" customWidth="1"/>
    <col min="18" max="18" width="21.140625" style="3" customWidth="1"/>
    <col min="19" max="164" width="9.140625" style="3"/>
    <col min="165" max="165" width="27.140625" style="3" bestFit="1" customWidth="1"/>
    <col min="166" max="166" width="12" style="3" customWidth="1"/>
    <col min="167" max="167" width="11" style="3" customWidth="1"/>
    <col min="168" max="168" width="8" style="3" customWidth="1"/>
    <col min="169" max="169" width="8.5703125" style="3" customWidth="1"/>
    <col min="170" max="170" width="10.28515625" style="3" customWidth="1"/>
    <col min="171" max="171" width="9.28515625" style="3" customWidth="1"/>
    <col min="172" max="172" width="9" style="3" customWidth="1"/>
    <col min="173" max="173" width="9.7109375" style="3" customWidth="1"/>
    <col min="174" max="174" width="10.5703125" style="3" customWidth="1"/>
    <col min="175" max="175" width="9.42578125" style="3" customWidth="1"/>
    <col min="176" max="176" width="9.5703125" style="3" customWidth="1"/>
    <col min="177" max="177" width="11.5703125" style="3" customWidth="1"/>
    <col min="178" max="178" width="10.28515625" style="3" customWidth="1"/>
    <col min="179" max="179" width="9.5703125" style="3" customWidth="1"/>
    <col min="180" max="180" width="11.7109375" style="3" customWidth="1"/>
    <col min="181" max="181" width="10.85546875" style="3" customWidth="1"/>
    <col min="182" max="182" width="15.28515625" style="3" customWidth="1"/>
    <col min="183" max="183" width="10" style="3" customWidth="1"/>
    <col min="184" max="420" width="9.140625" style="3"/>
    <col min="421" max="421" width="27.140625" style="3" bestFit="1" customWidth="1"/>
    <col min="422" max="422" width="12" style="3" customWidth="1"/>
    <col min="423" max="423" width="11" style="3" customWidth="1"/>
    <col min="424" max="424" width="8" style="3" customWidth="1"/>
    <col min="425" max="425" width="8.5703125" style="3" customWidth="1"/>
    <col min="426" max="426" width="10.28515625" style="3" customWidth="1"/>
    <col min="427" max="427" width="9.28515625" style="3" customWidth="1"/>
    <col min="428" max="428" width="9" style="3" customWidth="1"/>
    <col min="429" max="429" width="9.7109375" style="3" customWidth="1"/>
    <col min="430" max="430" width="10.5703125" style="3" customWidth="1"/>
    <col min="431" max="431" width="9.42578125" style="3" customWidth="1"/>
    <col min="432" max="432" width="9.5703125" style="3" customWidth="1"/>
    <col min="433" max="433" width="11.5703125" style="3" customWidth="1"/>
    <col min="434" max="434" width="10.28515625" style="3" customWidth="1"/>
    <col min="435" max="435" width="9.5703125" style="3" customWidth="1"/>
    <col min="436" max="436" width="11.7109375" style="3" customWidth="1"/>
    <col min="437" max="437" width="10.85546875" style="3" customWidth="1"/>
    <col min="438" max="438" width="15.28515625" style="3" customWidth="1"/>
    <col min="439" max="439" width="10" style="3" customWidth="1"/>
    <col min="440" max="676" width="9.140625" style="3"/>
    <col min="677" max="677" width="27.140625" style="3" bestFit="1" customWidth="1"/>
    <col min="678" max="678" width="12" style="3" customWidth="1"/>
    <col min="679" max="679" width="11" style="3" customWidth="1"/>
    <col min="680" max="680" width="8" style="3" customWidth="1"/>
    <col min="681" max="681" width="8.5703125" style="3" customWidth="1"/>
    <col min="682" max="682" width="10.28515625" style="3" customWidth="1"/>
    <col min="683" max="683" width="9.28515625" style="3" customWidth="1"/>
    <col min="684" max="684" width="9" style="3" customWidth="1"/>
    <col min="685" max="685" width="9.7109375" style="3" customWidth="1"/>
    <col min="686" max="686" width="10.5703125" style="3" customWidth="1"/>
    <col min="687" max="687" width="9.42578125" style="3" customWidth="1"/>
    <col min="688" max="688" width="9.5703125" style="3" customWidth="1"/>
    <col min="689" max="689" width="11.5703125" style="3" customWidth="1"/>
    <col min="690" max="690" width="10.28515625" style="3" customWidth="1"/>
    <col min="691" max="691" width="9.5703125" style="3" customWidth="1"/>
    <col min="692" max="692" width="11.7109375" style="3" customWidth="1"/>
    <col min="693" max="693" width="10.85546875" style="3" customWidth="1"/>
    <col min="694" max="694" width="15.28515625" style="3" customWidth="1"/>
    <col min="695" max="695" width="10" style="3" customWidth="1"/>
    <col min="696" max="932" width="9.140625" style="3"/>
    <col min="933" max="933" width="27.140625" style="3" bestFit="1" customWidth="1"/>
    <col min="934" max="934" width="12" style="3" customWidth="1"/>
    <col min="935" max="935" width="11" style="3" customWidth="1"/>
    <col min="936" max="936" width="8" style="3" customWidth="1"/>
    <col min="937" max="937" width="8.5703125" style="3" customWidth="1"/>
    <col min="938" max="938" width="10.28515625" style="3" customWidth="1"/>
    <col min="939" max="939" width="9.28515625" style="3" customWidth="1"/>
    <col min="940" max="940" width="9" style="3" customWidth="1"/>
    <col min="941" max="941" width="9.7109375" style="3" customWidth="1"/>
    <col min="942" max="942" width="10.5703125" style="3" customWidth="1"/>
    <col min="943" max="943" width="9.42578125" style="3" customWidth="1"/>
    <col min="944" max="944" width="9.5703125" style="3" customWidth="1"/>
    <col min="945" max="945" width="11.5703125" style="3" customWidth="1"/>
    <col min="946" max="946" width="10.28515625" style="3" customWidth="1"/>
    <col min="947" max="947" width="9.5703125" style="3" customWidth="1"/>
    <col min="948" max="948" width="11.7109375" style="3" customWidth="1"/>
    <col min="949" max="949" width="10.85546875" style="3" customWidth="1"/>
    <col min="950" max="950" width="15.28515625" style="3" customWidth="1"/>
    <col min="951" max="951" width="10" style="3" customWidth="1"/>
    <col min="952" max="1188" width="9.140625" style="3"/>
    <col min="1189" max="1189" width="27.140625" style="3" bestFit="1" customWidth="1"/>
    <col min="1190" max="1190" width="12" style="3" customWidth="1"/>
    <col min="1191" max="1191" width="11" style="3" customWidth="1"/>
    <col min="1192" max="1192" width="8" style="3" customWidth="1"/>
    <col min="1193" max="1193" width="8.5703125" style="3" customWidth="1"/>
    <col min="1194" max="1194" width="10.28515625" style="3" customWidth="1"/>
    <col min="1195" max="1195" width="9.28515625" style="3" customWidth="1"/>
    <col min="1196" max="1196" width="9" style="3" customWidth="1"/>
    <col min="1197" max="1197" width="9.7109375" style="3" customWidth="1"/>
    <col min="1198" max="1198" width="10.5703125" style="3" customWidth="1"/>
    <col min="1199" max="1199" width="9.42578125" style="3" customWidth="1"/>
    <col min="1200" max="1200" width="9.5703125" style="3" customWidth="1"/>
    <col min="1201" max="1201" width="11.5703125" style="3" customWidth="1"/>
    <col min="1202" max="1202" width="10.28515625" style="3" customWidth="1"/>
    <col min="1203" max="1203" width="9.5703125" style="3" customWidth="1"/>
    <col min="1204" max="1204" width="11.7109375" style="3" customWidth="1"/>
    <col min="1205" max="1205" width="10.85546875" style="3" customWidth="1"/>
    <col min="1206" max="1206" width="15.28515625" style="3" customWidth="1"/>
    <col min="1207" max="1207" width="10" style="3" customWidth="1"/>
    <col min="1208" max="1444" width="9.140625" style="3"/>
    <col min="1445" max="1445" width="27.140625" style="3" bestFit="1" customWidth="1"/>
    <col min="1446" max="1446" width="12" style="3" customWidth="1"/>
    <col min="1447" max="1447" width="11" style="3" customWidth="1"/>
    <col min="1448" max="1448" width="8" style="3" customWidth="1"/>
    <col min="1449" max="1449" width="8.5703125" style="3" customWidth="1"/>
    <col min="1450" max="1450" width="10.28515625" style="3" customWidth="1"/>
    <col min="1451" max="1451" width="9.28515625" style="3" customWidth="1"/>
    <col min="1452" max="1452" width="9" style="3" customWidth="1"/>
    <col min="1453" max="1453" width="9.7109375" style="3" customWidth="1"/>
    <col min="1454" max="1454" width="10.5703125" style="3" customWidth="1"/>
    <col min="1455" max="1455" width="9.42578125" style="3" customWidth="1"/>
    <col min="1456" max="1456" width="9.5703125" style="3" customWidth="1"/>
    <col min="1457" max="1457" width="11.5703125" style="3" customWidth="1"/>
    <col min="1458" max="1458" width="10.28515625" style="3" customWidth="1"/>
    <col min="1459" max="1459" width="9.5703125" style="3" customWidth="1"/>
    <col min="1460" max="1460" width="11.7109375" style="3" customWidth="1"/>
    <col min="1461" max="1461" width="10.85546875" style="3" customWidth="1"/>
    <col min="1462" max="1462" width="15.28515625" style="3" customWidth="1"/>
    <col min="1463" max="1463" width="10" style="3" customWidth="1"/>
    <col min="1464" max="1700" width="9.140625" style="3"/>
    <col min="1701" max="1701" width="27.140625" style="3" bestFit="1" customWidth="1"/>
    <col min="1702" max="1702" width="12" style="3" customWidth="1"/>
    <col min="1703" max="1703" width="11" style="3" customWidth="1"/>
    <col min="1704" max="1704" width="8" style="3" customWidth="1"/>
    <col min="1705" max="1705" width="8.5703125" style="3" customWidth="1"/>
    <col min="1706" max="1706" width="10.28515625" style="3" customWidth="1"/>
    <col min="1707" max="1707" width="9.28515625" style="3" customWidth="1"/>
    <col min="1708" max="1708" width="9" style="3" customWidth="1"/>
    <col min="1709" max="1709" width="9.7109375" style="3" customWidth="1"/>
    <col min="1710" max="1710" width="10.5703125" style="3" customWidth="1"/>
    <col min="1711" max="1711" width="9.42578125" style="3" customWidth="1"/>
    <col min="1712" max="1712" width="9.5703125" style="3" customWidth="1"/>
    <col min="1713" max="1713" width="11.5703125" style="3" customWidth="1"/>
    <col min="1714" max="1714" width="10.28515625" style="3" customWidth="1"/>
    <col min="1715" max="1715" width="9.5703125" style="3" customWidth="1"/>
    <col min="1716" max="1716" width="11.7109375" style="3" customWidth="1"/>
    <col min="1717" max="1717" width="10.85546875" style="3" customWidth="1"/>
    <col min="1718" max="1718" width="15.28515625" style="3" customWidth="1"/>
    <col min="1719" max="1719" width="10" style="3" customWidth="1"/>
    <col min="1720" max="1956" width="9.140625" style="3"/>
    <col min="1957" max="1957" width="27.140625" style="3" bestFit="1" customWidth="1"/>
    <col min="1958" max="1958" width="12" style="3" customWidth="1"/>
    <col min="1959" max="1959" width="11" style="3" customWidth="1"/>
    <col min="1960" max="1960" width="8" style="3" customWidth="1"/>
    <col min="1961" max="1961" width="8.5703125" style="3" customWidth="1"/>
    <col min="1962" max="1962" width="10.28515625" style="3" customWidth="1"/>
    <col min="1963" max="1963" width="9.28515625" style="3" customWidth="1"/>
    <col min="1964" max="1964" width="9" style="3" customWidth="1"/>
    <col min="1965" max="1965" width="9.7109375" style="3" customWidth="1"/>
    <col min="1966" max="1966" width="10.5703125" style="3" customWidth="1"/>
    <col min="1967" max="1967" width="9.42578125" style="3" customWidth="1"/>
    <col min="1968" max="1968" width="9.5703125" style="3" customWidth="1"/>
    <col min="1969" max="1969" width="11.5703125" style="3" customWidth="1"/>
    <col min="1970" max="1970" width="10.28515625" style="3" customWidth="1"/>
    <col min="1971" max="1971" width="9.5703125" style="3" customWidth="1"/>
    <col min="1972" max="1972" width="11.7109375" style="3" customWidth="1"/>
    <col min="1973" max="1973" width="10.85546875" style="3" customWidth="1"/>
    <col min="1974" max="1974" width="15.28515625" style="3" customWidth="1"/>
    <col min="1975" max="1975" width="10" style="3" customWidth="1"/>
    <col min="1976" max="2212" width="9.140625" style="3"/>
    <col min="2213" max="2213" width="27.140625" style="3" bestFit="1" customWidth="1"/>
    <col min="2214" max="2214" width="12" style="3" customWidth="1"/>
    <col min="2215" max="2215" width="11" style="3" customWidth="1"/>
    <col min="2216" max="2216" width="8" style="3" customWidth="1"/>
    <col min="2217" max="2217" width="8.5703125" style="3" customWidth="1"/>
    <col min="2218" max="2218" width="10.28515625" style="3" customWidth="1"/>
    <col min="2219" max="2219" width="9.28515625" style="3" customWidth="1"/>
    <col min="2220" max="2220" width="9" style="3" customWidth="1"/>
    <col min="2221" max="2221" width="9.7109375" style="3" customWidth="1"/>
    <col min="2222" max="2222" width="10.5703125" style="3" customWidth="1"/>
    <col min="2223" max="2223" width="9.42578125" style="3" customWidth="1"/>
    <col min="2224" max="2224" width="9.5703125" style="3" customWidth="1"/>
    <col min="2225" max="2225" width="11.5703125" style="3" customWidth="1"/>
    <col min="2226" max="2226" width="10.28515625" style="3" customWidth="1"/>
    <col min="2227" max="2227" width="9.5703125" style="3" customWidth="1"/>
    <col min="2228" max="2228" width="11.7109375" style="3" customWidth="1"/>
    <col min="2229" max="2229" width="10.85546875" style="3" customWidth="1"/>
    <col min="2230" max="2230" width="15.28515625" style="3" customWidth="1"/>
    <col min="2231" max="2231" width="10" style="3" customWidth="1"/>
    <col min="2232" max="2468" width="9.140625" style="3"/>
    <col min="2469" max="2469" width="27.140625" style="3" bestFit="1" customWidth="1"/>
    <col min="2470" max="2470" width="12" style="3" customWidth="1"/>
    <col min="2471" max="2471" width="11" style="3" customWidth="1"/>
    <col min="2472" max="2472" width="8" style="3" customWidth="1"/>
    <col min="2473" max="2473" width="8.5703125" style="3" customWidth="1"/>
    <col min="2474" max="2474" width="10.28515625" style="3" customWidth="1"/>
    <col min="2475" max="2475" width="9.28515625" style="3" customWidth="1"/>
    <col min="2476" max="2476" width="9" style="3" customWidth="1"/>
    <col min="2477" max="2477" width="9.7109375" style="3" customWidth="1"/>
    <col min="2478" max="2478" width="10.5703125" style="3" customWidth="1"/>
    <col min="2479" max="2479" width="9.42578125" style="3" customWidth="1"/>
    <col min="2480" max="2480" width="9.5703125" style="3" customWidth="1"/>
    <col min="2481" max="2481" width="11.5703125" style="3" customWidth="1"/>
    <col min="2482" max="2482" width="10.28515625" style="3" customWidth="1"/>
    <col min="2483" max="2483" width="9.5703125" style="3" customWidth="1"/>
    <col min="2484" max="2484" width="11.7109375" style="3" customWidth="1"/>
    <col min="2485" max="2485" width="10.85546875" style="3" customWidth="1"/>
    <col min="2486" max="2486" width="15.28515625" style="3" customWidth="1"/>
    <col min="2487" max="2487" width="10" style="3" customWidth="1"/>
    <col min="2488" max="2724" width="9.140625" style="3"/>
    <col min="2725" max="2725" width="27.140625" style="3" bestFit="1" customWidth="1"/>
    <col min="2726" max="2726" width="12" style="3" customWidth="1"/>
    <col min="2727" max="2727" width="11" style="3" customWidth="1"/>
    <col min="2728" max="2728" width="8" style="3" customWidth="1"/>
    <col min="2729" max="2729" width="8.5703125" style="3" customWidth="1"/>
    <col min="2730" max="2730" width="10.28515625" style="3" customWidth="1"/>
    <col min="2731" max="2731" width="9.28515625" style="3" customWidth="1"/>
    <col min="2732" max="2732" width="9" style="3" customWidth="1"/>
    <col min="2733" max="2733" width="9.7109375" style="3" customWidth="1"/>
    <col min="2734" max="2734" width="10.5703125" style="3" customWidth="1"/>
    <col min="2735" max="2735" width="9.42578125" style="3" customWidth="1"/>
    <col min="2736" max="2736" width="9.5703125" style="3" customWidth="1"/>
    <col min="2737" max="2737" width="11.5703125" style="3" customWidth="1"/>
    <col min="2738" max="2738" width="10.28515625" style="3" customWidth="1"/>
    <col min="2739" max="2739" width="9.5703125" style="3" customWidth="1"/>
    <col min="2740" max="2740" width="11.7109375" style="3" customWidth="1"/>
    <col min="2741" max="2741" width="10.85546875" style="3" customWidth="1"/>
    <col min="2742" max="2742" width="15.28515625" style="3" customWidth="1"/>
    <col min="2743" max="2743" width="10" style="3" customWidth="1"/>
    <col min="2744" max="2980" width="9.140625" style="3"/>
    <col min="2981" max="2981" width="27.140625" style="3" bestFit="1" customWidth="1"/>
    <col min="2982" max="2982" width="12" style="3" customWidth="1"/>
    <col min="2983" max="2983" width="11" style="3" customWidth="1"/>
    <col min="2984" max="2984" width="8" style="3" customWidth="1"/>
    <col min="2985" max="2985" width="8.5703125" style="3" customWidth="1"/>
    <col min="2986" max="2986" width="10.28515625" style="3" customWidth="1"/>
    <col min="2987" max="2987" width="9.28515625" style="3" customWidth="1"/>
    <col min="2988" max="2988" width="9" style="3" customWidth="1"/>
    <col min="2989" max="2989" width="9.7109375" style="3" customWidth="1"/>
    <col min="2990" max="2990" width="10.5703125" style="3" customWidth="1"/>
    <col min="2991" max="2991" width="9.42578125" style="3" customWidth="1"/>
    <col min="2992" max="2992" width="9.5703125" style="3" customWidth="1"/>
    <col min="2993" max="2993" width="11.5703125" style="3" customWidth="1"/>
    <col min="2994" max="2994" width="10.28515625" style="3" customWidth="1"/>
    <col min="2995" max="2995" width="9.5703125" style="3" customWidth="1"/>
    <col min="2996" max="2996" width="11.7109375" style="3" customWidth="1"/>
    <col min="2997" max="2997" width="10.85546875" style="3" customWidth="1"/>
    <col min="2998" max="2998" width="15.28515625" style="3" customWidth="1"/>
    <col min="2999" max="2999" width="10" style="3" customWidth="1"/>
    <col min="3000" max="3236" width="9.140625" style="3"/>
    <col min="3237" max="3237" width="27.140625" style="3" bestFit="1" customWidth="1"/>
    <col min="3238" max="3238" width="12" style="3" customWidth="1"/>
    <col min="3239" max="3239" width="11" style="3" customWidth="1"/>
    <col min="3240" max="3240" width="8" style="3" customWidth="1"/>
    <col min="3241" max="3241" width="8.5703125" style="3" customWidth="1"/>
    <col min="3242" max="3242" width="10.28515625" style="3" customWidth="1"/>
    <col min="3243" max="3243" width="9.28515625" style="3" customWidth="1"/>
    <col min="3244" max="3244" width="9" style="3" customWidth="1"/>
    <col min="3245" max="3245" width="9.7109375" style="3" customWidth="1"/>
    <col min="3246" max="3246" width="10.5703125" style="3" customWidth="1"/>
    <col min="3247" max="3247" width="9.42578125" style="3" customWidth="1"/>
    <col min="3248" max="3248" width="9.5703125" style="3" customWidth="1"/>
    <col min="3249" max="3249" width="11.5703125" style="3" customWidth="1"/>
    <col min="3250" max="3250" width="10.28515625" style="3" customWidth="1"/>
    <col min="3251" max="3251" width="9.5703125" style="3" customWidth="1"/>
    <col min="3252" max="3252" width="11.7109375" style="3" customWidth="1"/>
    <col min="3253" max="3253" width="10.85546875" style="3" customWidth="1"/>
    <col min="3254" max="3254" width="15.28515625" style="3" customWidth="1"/>
    <col min="3255" max="3255" width="10" style="3" customWidth="1"/>
    <col min="3256" max="3492" width="9.140625" style="3"/>
    <col min="3493" max="3493" width="27.140625" style="3" bestFit="1" customWidth="1"/>
    <col min="3494" max="3494" width="12" style="3" customWidth="1"/>
    <col min="3495" max="3495" width="11" style="3" customWidth="1"/>
    <col min="3496" max="3496" width="8" style="3" customWidth="1"/>
    <col min="3497" max="3497" width="8.5703125" style="3" customWidth="1"/>
    <col min="3498" max="3498" width="10.28515625" style="3" customWidth="1"/>
    <col min="3499" max="3499" width="9.28515625" style="3" customWidth="1"/>
    <col min="3500" max="3500" width="9" style="3" customWidth="1"/>
    <col min="3501" max="3501" width="9.7109375" style="3" customWidth="1"/>
    <col min="3502" max="3502" width="10.5703125" style="3" customWidth="1"/>
    <col min="3503" max="3503" width="9.42578125" style="3" customWidth="1"/>
    <col min="3504" max="3504" width="9.5703125" style="3" customWidth="1"/>
    <col min="3505" max="3505" width="11.5703125" style="3" customWidth="1"/>
    <col min="3506" max="3506" width="10.28515625" style="3" customWidth="1"/>
    <col min="3507" max="3507" width="9.5703125" style="3" customWidth="1"/>
    <col min="3508" max="3508" width="11.7109375" style="3" customWidth="1"/>
    <col min="3509" max="3509" width="10.85546875" style="3" customWidth="1"/>
    <col min="3510" max="3510" width="15.28515625" style="3" customWidth="1"/>
    <col min="3511" max="3511" width="10" style="3" customWidth="1"/>
    <col min="3512" max="3748" width="9.140625" style="3"/>
    <col min="3749" max="3749" width="27.140625" style="3" bestFit="1" customWidth="1"/>
    <col min="3750" max="3750" width="12" style="3" customWidth="1"/>
    <col min="3751" max="3751" width="11" style="3" customWidth="1"/>
    <col min="3752" max="3752" width="8" style="3" customWidth="1"/>
    <col min="3753" max="3753" width="8.5703125" style="3" customWidth="1"/>
    <col min="3754" max="3754" width="10.28515625" style="3" customWidth="1"/>
    <col min="3755" max="3755" width="9.28515625" style="3" customWidth="1"/>
    <col min="3756" max="3756" width="9" style="3" customWidth="1"/>
    <col min="3757" max="3757" width="9.7109375" style="3" customWidth="1"/>
    <col min="3758" max="3758" width="10.5703125" style="3" customWidth="1"/>
    <col min="3759" max="3759" width="9.42578125" style="3" customWidth="1"/>
    <col min="3760" max="3760" width="9.5703125" style="3" customWidth="1"/>
    <col min="3761" max="3761" width="11.5703125" style="3" customWidth="1"/>
    <col min="3762" max="3762" width="10.28515625" style="3" customWidth="1"/>
    <col min="3763" max="3763" width="9.5703125" style="3" customWidth="1"/>
    <col min="3764" max="3764" width="11.7109375" style="3" customWidth="1"/>
    <col min="3765" max="3765" width="10.85546875" style="3" customWidth="1"/>
    <col min="3766" max="3766" width="15.28515625" style="3" customWidth="1"/>
    <col min="3767" max="3767" width="10" style="3" customWidth="1"/>
    <col min="3768" max="4004" width="9.140625" style="3"/>
    <col min="4005" max="4005" width="27.140625" style="3" bestFit="1" customWidth="1"/>
    <col min="4006" max="4006" width="12" style="3" customWidth="1"/>
    <col min="4007" max="4007" width="11" style="3" customWidth="1"/>
    <col min="4008" max="4008" width="8" style="3" customWidth="1"/>
    <col min="4009" max="4009" width="8.5703125" style="3" customWidth="1"/>
    <col min="4010" max="4010" width="10.28515625" style="3" customWidth="1"/>
    <col min="4011" max="4011" width="9.28515625" style="3" customWidth="1"/>
    <col min="4012" max="4012" width="9" style="3" customWidth="1"/>
    <col min="4013" max="4013" width="9.7109375" style="3" customWidth="1"/>
    <col min="4014" max="4014" width="10.5703125" style="3" customWidth="1"/>
    <col min="4015" max="4015" width="9.42578125" style="3" customWidth="1"/>
    <col min="4016" max="4016" width="9.5703125" style="3" customWidth="1"/>
    <col min="4017" max="4017" width="11.5703125" style="3" customWidth="1"/>
    <col min="4018" max="4018" width="10.28515625" style="3" customWidth="1"/>
    <col min="4019" max="4019" width="9.5703125" style="3" customWidth="1"/>
    <col min="4020" max="4020" width="11.7109375" style="3" customWidth="1"/>
    <col min="4021" max="4021" width="10.85546875" style="3" customWidth="1"/>
    <col min="4022" max="4022" width="15.28515625" style="3" customWidth="1"/>
    <col min="4023" max="4023" width="10" style="3" customWidth="1"/>
    <col min="4024" max="4260" width="9.140625" style="3"/>
    <col min="4261" max="4261" width="27.140625" style="3" bestFit="1" customWidth="1"/>
    <col min="4262" max="4262" width="12" style="3" customWidth="1"/>
    <col min="4263" max="4263" width="11" style="3" customWidth="1"/>
    <col min="4264" max="4264" width="8" style="3" customWidth="1"/>
    <col min="4265" max="4265" width="8.5703125" style="3" customWidth="1"/>
    <col min="4266" max="4266" width="10.28515625" style="3" customWidth="1"/>
    <col min="4267" max="4267" width="9.28515625" style="3" customWidth="1"/>
    <col min="4268" max="4268" width="9" style="3" customWidth="1"/>
    <col min="4269" max="4269" width="9.7109375" style="3" customWidth="1"/>
    <col min="4270" max="4270" width="10.5703125" style="3" customWidth="1"/>
    <col min="4271" max="4271" width="9.42578125" style="3" customWidth="1"/>
    <col min="4272" max="4272" width="9.5703125" style="3" customWidth="1"/>
    <col min="4273" max="4273" width="11.5703125" style="3" customWidth="1"/>
    <col min="4274" max="4274" width="10.28515625" style="3" customWidth="1"/>
    <col min="4275" max="4275" width="9.5703125" style="3" customWidth="1"/>
    <col min="4276" max="4276" width="11.7109375" style="3" customWidth="1"/>
    <col min="4277" max="4277" width="10.85546875" style="3" customWidth="1"/>
    <col min="4278" max="4278" width="15.28515625" style="3" customWidth="1"/>
    <col min="4279" max="4279" width="10" style="3" customWidth="1"/>
    <col min="4280" max="4516" width="9.140625" style="3"/>
    <col min="4517" max="4517" width="27.140625" style="3" bestFit="1" customWidth="1"/>
    <col min="4518" max="4518" width="12" style="3" customWidth="1"/>
    <col min="4519" max="4519" width="11" style="3" customWidth="1"/>
    <col min="4520" max="4520" width="8" style="3" customWidth="1"/>
    <col min="4521" max="4521" width="8.5703125" style="3" customWidth="1"/>
    <col min="4522" max="4522" width="10.28515625" style="3" customWidth="1"/>
    <col min="4523" max="4523" width="9.28515625" style="3" customWidth="1"/>
    <col min="4524" max="4524" width="9" style="3" customWidth="1"/>
    <col min="4525" max="4525" width="9.7109375" style="3" customWidth="1"/>
    <col min="4526" max="4526" width="10.5703125" style="3" customWidth="1"/>
    <col min="4527" max="4527" width="9.42578125" style="3" customWidth="1"/>
    <col min="4528" max="4528" width="9.5703125" style="3" customWidth="1"/>
    <col min="4529" max="4529" width="11.5703125" style="3" customWidth="1"/>
    <col min="4530" max="4530" width="10.28515625" style="3" customWidth="1"/>
    <col min="4531" max="4531" width="9.5703125" style="3" customWidth="1"/>
    <col min="4532" max="4532" width="11.7109375" style="3" customWidth="1"/>
    <col min="4533" max="4533" width="10.85546875" style="3" customWidth="1"/>
    <col min="4534" max="4534" width="15.28515625" style="3" customWidth="1"/>
    <col min="4535" max="4535" width="10" style="3" customWidth="1"/>
    <col min="4536" max="4772" width="9.140625" style="3"/>
    <col min="4773" max="4773" width="27.140625" style="3" bestFit="1" customWidth="1"/>
    <col min="4774" max="4774" width="12" style="3" customWidth="1"/>
    <col min="4775" max="4775" width="11" style="3" customWidth="1"/>
    <col min="4776" max="4776" width="8" style="3" customWidth="1"/>
    <col min="4777" max="4777" width="8.5703125" style="3" customWidth="1"/>
    <col min="4778" max="4778" width="10.28515625" style="3" customWidth="1"/>
    <col min="4779" max="4779" width="9.28515625" style="3" customWidth="1"/>
    <col min="4780" max="4780" width="9" style="3" customWidth="1"/>
    <col min="4781" max="4781" width="9.7109375" style="3" customWidth="1"/>
    <col min="4782" max="4782" width="10.5703125" style="3" customWidth="1"/>
    <col min="4783" max="4783" width="9.42578125" style="3" customWidth="1"/>
    <col min="4784" max="4784" width="9.5703125" style="3" customWidth="1"/>
    <col min="4785" max="4785" width="11.5703125" style="3" customWidth="1"/>
    <col min="4786" max="4786" width="10.28515625" style="3" customWidth="1"/>
    <col min="4787" max="4787" width="9.5703125" style="3" customWidth="1"/>
    <col min="4788" max="4788" width="11.7109375" style="3" customWidth="1"/>
    <col min="4789" max="4789" width="10.85546875" style="3" customWidth="1"/>
    <col min="4790" max="4790" width="15.28515625" style="3" customWidth="1"/>
    <col min="4791" max="4791" width="10" style="3" customWidth="1"/>
    <col min="4792" max="5028" width="9.140625" style="3"/>
    <col min="5029" max="5029" width="27.140625" style="3" bestFit="1" customWidth="1"/>
    <col min="5030" max="5030" width="12" style="3" customWidth="1"/>
    <col min="5031" max="5031" width="11" style="3" customWidth="1"/>
    <col min="5032" max="5032" width="8" style="3" customWidth="1"/>
    <col min="5033" max="5033" width="8.5703125" style="3" customWidth="1"/>
    <col min="5034" max="5034" width="10.28515625" style="3" customWidth="1"/>
    <col min="5035" max="5035" width="9.28515625" style="3" customWidth="1"/>
    <col min="5036" max="5036" width="9" style="3" customWidth="1"/>
    <col min="5037" max="5037" width="9.7109375" style="3" customWidth="1"/>
    <col min="5038" max="5038" width="10.5703125" style="3" customWidth="1"/>
    <col min="5039" max="5039" width="9.42578125" style="3" customWidth="1"/>
    <col min="5040" max="5040" width="9.5703125" style="3" customWidth="1"/>
    <col min="5041" max="5041" width="11.5703125" style="3" customWidth="1"/>
    <col min="5042" max="5042" width="10.28515625" style="3" customWidth="1"/>
    <col min="5043" max="5043" width="9.5703125" style="3" customWidth="1"/>
    <col min="5044" max="5044" width="11.7109375" style="3" customWidth="1"/>
    <col min="5045" max="5045" width="10.85546875" style="3" customWidth="1"/>
    <col min="5046" max="5046" width="15.28515625" style="3" customWidth="1"/>
    <col min="5047" max="5047" width="10" style="3" customWidth="1"/>
    <col min="5048" max="5284" width="9.140625" style="3"/>
    <col min="5285" max="5285" width="27.140625" style="3" bestFit="1" customWidth="1"/>
    <col min="5286" max="5286" width="12" style="3" customWidth="1"/>
    <col min="5287" max="5287" width="11" style="3" customWidth="1"/>
    <col min="5288" max="5288" width="8" style="3" customWidth="1"/>
    <col min="5289" max="5289" width="8.5703125" style="3" customWidth="1"/>
    <col min="5290" max="5290" width="10.28515625" style="3" customWidth="1"/>
    <col min="5291" max="5291" width="9.28515625" style="3" customWidth="1"/>
    <col min="5292" max="5292" width="9" style="3" customWidth="1"/>
    <col min="5293" max="5293" width="9.7109375" style="3" customWidth="1"/>
    <col min="5294" max="5294" width="10.5703125" style="3" customWidth="1"/>
    <col min="5295" max="5295" width="9.42578125" style="3" customWidth="1"/>
    <col min="5296" max="5296" width="9.5703125" style="3" customWidth="1"/>
    <col min="5297" max="5297" width="11.5703125" style="3" customWidth="1"/>
    <col min="5298" max="5298" width="10.28515625" style="3" customWidth="1"/>
    <col min="5299" max="5299" width="9.5703125" style="3" customWidth="1"/>
    <col min="5300" max="5300" width="11.7109375" style="3" customWidth="1"/>
    <col min="5301" max="5301" width="10.85546875" style="3" customWidth="1"/>
    <col min="5302" max="5302" width="15.28515625" style="3" customWidth="1"/>
    <col min="5303" max="5303" width="10" style="3" customWidth="1"/>
    <col min="5304" max="5540" width="9.140625" style="3"/>
    <col min="5541" max="5541" width="27.140625" style="3" bestFit="1" customWidth="1"/>
    <col min="5542" max="5542" width="12" style="3" customWidth="1"/>
    <col min="5543" max="5543" width="11" style="3" customWidth="1"/>
    <col min="5544" max="5544" width="8" style="3" customWidth="1"/>
    <col min="5545" max="5545" width="8.5703125" style="3" customWidth="1"/>
    <col min="5546" max="5546" width="10.28515625" style="3" customWidth="1"/>
    <col min="5547" max="5547" width="9.28515625" style="3" customWidth="1"/>
    <col min="5548" max="5548" width="9" style="3" customWidth="1"/>
    <col min="5549" max="5549" width="9.7109375" style="3" customWidth="1"/>
    <col min="5550" max="5550" width="10.5703125" style="3" customWidth="1"/>
    <col min="5551" max="5551" width="9.42578125" style="3" customWidth="1"/>
    <col min="5552" max="5552" width="9.5703125" style="3" customWidth="1"/>
    <col min="5553" max="5553" width="11.5703125" style="3" customWidth="1"/>
    <col min="5554" max="5554" width="10.28515625" style="3" customWidth="1"/>
    <col min="5555" max="5555" width="9.5703125" style="3" customWidth="1"/>
    <col min="5556" max="5556" width="11.7109375" style="3" customWidth="1"/>
    <col min="5557" max="5557" width="10.85546875" style="3" customWidth="1"/>
    <col min="5558" max="5558" width="15.28515625" style="3" customWidth="1"/>
    <col min="5559" max="5559" width="10" style="3" customWidth="1"/>
    <col min="5560" max="5796" width="9.140625" style="3"/>
    <col min="5797" max="5797" width="27.140625" style="3" bestFit="1" customWidth="1"/>
    <col min="5798" max="5798" width="12" style="3" customWidth="1"/>
    <col min="5799" max="5799" width="11" style="3" customWidth="1"/>
    <col min="5800" max="5800" width="8" style="3" customWidth="1"/>
    <col min="5801" max="5801" width="8.5703125" style="3" customWidth="1"/>
    <col min="5802" max="5802" width="10.28515625" style="3" customWidth="1"/>
    <col min="5803" max="5803" width="9.28515625" style="3" customWidth="1"/>
    <col min="5804" max="5804" width="9" style="3" customWidth="1"/>
    <col min="5805" max="5805" width="9.7109375" style="3" customWidth="1"/>
    <col min="5806" max="5806" width="10.5703125" style="3" customWidth="1"/>
    <col min="5807" max="5807" width="9.42578125" style="3" customWidth="1"/>
    <col min="5808" max="5808" width="9.5703125" style="3" customWidth="1"/>
    <col min="5809" max="5809" width="11.5703125" style="3" customWidth="1"/>
    <col min="5810" max="5810" width="10.28515625" style="3" customWidth="1"/>
    <col min="5811" max="5811" width="9.5703125" style="3" customWidth="1"/>
    <col min="5812" max="5812" width="11.7109375" style="3" customWidth="1"/>
    <col min="5813" max="5813" width="10.85546875" style="3" customWidth="1"/>
    <col min="5814" max="5814" width="15.28515625" style="3" customWidth="1"/>
    <col min="5815" max="5815" width="10" style="3" customWidth="1"/>
    <col min="5816" max="6052" width="9.140625" style="3"/>
    <col min="6053" max="6053" width="27.140625" style="3" bestFit="1" customWidth="1"/>
    <col min="6054" max="6054" width="12" style="3" customWidth="1"/>
    <col min="6055" max="6055" width="11" style="3" customWidth="1"/>
    <col min="6056" max="6056" width="8" style="3" customWidth="1"/>
    <col min="6057" max="6057" width="8.5703125" style="3" customWidth="1"/>
    <col min="6058" max="6058" width="10.28515625" style="3" customWidth="1"/>
    <col min="6059" max="6059" width="9.28515625" style="3" customWidth="1"/>
    <col min="6060" max="6060" width="9" style="3" customWidth="1"/>
    <col min="6061" max="6061" width="9.7109375" style="3" customWidth="1"/>
    <col min="6062" max="6062" width="10.5703125" style="3" customWidth="1"/>
    <col min="6063" max="6063" width="9.42578125" style="3" customWidth="1"/>
    <col min="6064" max="6064" width="9.5703125" style="3" customWidth="1"/>
    <col min="6065" max="6065" width="11.5703125" style="3" customWidth="1"/>
    <col min="6066" max="6066" width="10.28515625" style="3" customWidth="1"/>
    <col min="6067" max="6067" width="9.5703125" style="3" customWidth="1"/>
    <col min="6068" max="6068" width="11.7109375" style="3" customWidth="1"/>
    <col min="6069" max="6069" width="10.85546875" style="3" customWidth="1"/>
    <col min="6070" max="6070" width="15.28515625" style="3" customWidth="1"/>
    <col min="6071" max="6071" width="10" style="3" customWidth="1"/>
    <col min="6072" max="6308" width="9.140625" style="3"/>
    <col min="6309" max="6309" width="27.140625" style="3" bestFit="1" customWidth="1"/>
    <col min="6310" max="6310" width="12" style="3" customWidth="1"/>
    <col min="6311" max="6311" width="11" style="3" customWidth="1"/>
    <col min="6312" max="6312" width="8" style="3" customWidth="1"/>
    <col min="6313" max="6313" width="8.5703125" style="3" customWidth="1"/>
    <col min="6314" max="6314" width="10.28515625" style="3" customWidth="1"/>
    <col min="6315" max="6315" width="9.28515625" style="3" customWidth="1"/>
    <col min="6316" max="6316" width="9" style="3" customWidth="1"/>
    <col min="6317" max="6317" width="9.7109375" style="3" customWidth="1"/>
    <col min="6318" max="6318" width="10.5703125" style="3" customWidth="1"/>
    <col min="6319" max="6319" width="9.42578125" style="3" customWidth="1"/>
    <col min="6320" max="6320" width="9.5703125" style="3" customWidth="1"/>
    <col min="6321" max="6321" width="11.5703125" style="3" customWidth="1"/>
    <col min="6322" max="6322" width="10.28515625" style="3" customWidth="1"/>
    <col min="6323" max="6323" width="9.5703125" style="3" customWidth="1"/>
    <col min="6324" max="6324" width="11.7109375" style="3" customWidth="1"/>
    <col min="6325" max="6325" width="10.85546875" style="3" customWidth="1"/>
    <col min="6326" max="6326" width="15.28515625" style="3" customWidth="1"/>
    <col min="6327" max="6327" width="10" style="3" customWidth="1"/>
    <col min="6328" max="6564" width="9.140625" style="3"/>
    <col min="6565" max="6565" width="27.140625" style="3" bestFit="1" customWidth="1"/>
    <col min="6566" max="6566" width="12" style="3" customWidth="1"/>
    <col min="6567" max="6567" width="11" style="3" customWidth="1"/>
    <col min="6568" max="6568" width="8" style="3" customWidth="1"/>
    <col min="6569" max="6569" width="8.5703125" style="3" customWidth="1"/>
    <col min="6570" max="6570" width="10.28515625" style="3" customWidth="1"/>
    <col min="6571" max="6571" width="9.28515625" style="3" customWidth="1"/>
    <col min="6572" max="6572" width="9" style="3" customWidth="1"/>
    <col min="6573" max="6573" width="9.7109375" style="3" customWidth="1"/>
    <col min="6574" max="6574" width="10.5703125" style="3" customWidth="1"/>
    <col min="6575" max="6575" width="9.42578125" style="3" customWidth="1"/>
    <col min="6576" max="6576" width="9.5703125" style="3" customWidth="1"/>
    <col min="6577" max="6577" width="11.5703125" style="3" customWidth="1"/>
    <col min="6578" max="6578" width="10.28515625" style="3" customWidth="1"/>
    <col min="6579" max="6579" width="9.5703125" style="3" customWidth="1"/>
    <col min="6580" max="6580" width="11.7109375" style="3" customWidth="1"/>
    <col min="6581" max="6581" width="10.85546875" style="3" customWidth="1"/>
    <col min="6582" max="6582" width="15.28515625" style="3" customWidth="1"/>
    <col min="6583" max="6583" width="10" style="3" customWidth="1"/>
    <col min="6584" max="6820" width="9.140625" style="3"/>
    <col min="6821" max="6821" width="27.140625" style="3" bestFit="1" customWidth="1"/>
    <col min="6822" max="6822" width="12" style="3" customWidth="1"/>
    <col min="6823" max="6823" width="11" style="3" customWidth="1"/>
    <col min="6824" max="6824" width="8" style="3" customWidth="1"/>
    <col min="6825" max="6825" width="8.5703125" style="3" customWidth="1"/>
    <col min="6826" max="6826" width="10.28515625" style="3" customWidth="1"/>
    <col min="6827" max="6827" width="9.28515625" style="3" customWidth="1"/>
    <col min="6828" max="6828" width="9" style="3" customWidth="1"/>
    <col min="6829" max="6829" width="9.7109375" style="3" customWidth="1"/>
    <col min="6830" max="6830" width="10.5703125" style="3" customWidth="1"/>
    <col min="6831" max="6831" width="9.42578125" style="3" customWidth="1"/>
    <col min="6832" max="6832" width="9.5703125" style="3" customWidth="1"/>
    <col min="6833" max="6833" width="11.5703125" style="3" customWidth="1"/>
    <col min="6834" max="6834" width="10.28515625" style="3" customWidth="1"/>
    <col min="6835" max="6835" width="9.5703125" style="3" customWidth="1"/>
    <col min="6836" max="6836" width="11.7109375" style="3" customWidth="1"/>
    <col min="6837" max="6837" width="10.85546875" style="3" customWidth="1"/>
    <col min="6838" max="6838" width="15.28515625" style="3" customWidth="1"/>
    <col min="6839" max="6839" width="10" style="3" customWidth="1"/>
    <col min="6840" max="7076" width="9.140625" style="3"/>
    <col min="7077" max="7077" width="27.140625" style="3" bestFit="1" customWidth="1"/>
    <col min="7078" max="7078" width="12" style="3" customWidth="1"/>
    <col min="7079" max="7079" width="11" style="3" customWidth="1"/>
    <col min="7080" max="7080" width="8" style="3" customWidth="1"/>
    <col min="7081" max="7081" width="8.5703125" style="3" customWidth="1"/>
    <col min="7082" max="7082" width="10.28515625" style="3" customWidth="1"/>
    <col min="7083" max="7083" width="9.28515625" style="3" customWidth="1"/>
    <col min="7084" max="7084" width="9" style="3" customWidth="1"/>
    <col min="7085" max="7085" width="9.7109375" style="3" customWidth="1"/>
    <col min="7086" max="7086" width="10.5703125" style="3" customWidth="1"/>
    <col min="7087" max="7087" width="9.42578125" style="3" customWidth="1"/>
    <col min="7088" max="7088" width="9.5703125" style="3" customWidth="1"/>
    <col min="7089" max="7089" width="11.5703125" style="3" customWidth="1"/>
    <col min="7090" max="7090" width="10.28515625" style="3" customWidth="1"/>
    <col min="7091" max="7091" width="9.5703125" style="3" customWidth="1"/>
    <col min="7092" max="7092" width="11.7109375" style="3" customWidth="1"/>
    <col min="7093" max="7093" width="10.85546875" style="3" customWidth="1"/>
    <col min="7094" max="7094" width="15.28515625" style="3" customWidth="1"/>
    <col min="7095" max="7095" width="10" style="3" customWidth="1"/>
    <col min="7096" max="7332" width="9.140625" style="3"/>
    <col min="7333" max="7333" width="27.140625" style="3" bestFit="1" customWidth="1"/>
    <col min="7334" max="7334" width="12" style="3" customWidth="1"/>
    <col min="7335" max="7335" width="11" style="3" customWidth="1"/>
    <col min="7336" max="7336" width="8" style="3" customWidth="1"/>
    <col min="7337" max="7337" width="8.5703125" style="3" customWidth="1"/>
    <col min="7338" max="7338" width="10.28515625" style="3" customWidth="1"/>
    <col min="7339" max="7339" width="9.28515625" style="3" customWidth="1"/>
    <col min="7340" max="7340" width="9" style="3" customWidth="1"/>
    <col min="7341" max="7341" width="9.7109375" style="3" customWidth="1"/>
    <col min="7342" max="7342" width="10.5703125" style="3" customWidth="1"/>
    <col min="7343" max="7343" width="9.42578125" style="3" customWidth="1"/>
    <col min="7344" max="7344" width="9.5703125" style="3" customWidth="1"/>
    <col min="7345" max="7345" width="11.5703125" style="3" customWidth="1"/>
    <col min="7346" max="7346" width="10.28515625" style="3" customWidth="1"/>
    <col min="7347" max="7347" width="9.5703125" style="3" customWidth="1"/>
    <col min="7348" max="7348" width="11.7109375" style="3" customWidth="1"/>
    <col min="7349" max="7349" width="10.85546875" style="3" customWidth="1"/>
    <col min="7350" max="7350" width="15.28515625" style="3" customWidth="1"/>
    <col min="7351" max="7351" width="10" style="3" customWidth="1"/>
    <col min="7352" max="7588" width="9.140625" style="3"/>
    <col min="7589" max="7589" width="27.140625" style="3" bestFit="1" customWidth="1"/>
    <col min="7590" max="7590" width="12" style="3" customWidth="1"/>
    <col min="7591" max="7591" width="11" style="3" customWidth="1"/>
    <col min="7592" max="7592" width="8" style="3" customWidth="1"/>
    <col min="7593" max="7593" width="8.5703125" style="3" customWidth="1"/>
    <col min="7594" max="7594" width="10.28515625" style="3" customWidth="1"/>
    <col min="7595" max="7595" width="9.28515625" style="3" customWidth="1"/>
    <col min="7596" max="7596" width="9" style="3" customWidth="1"/>
    <col min="7597" max="7597" width="9.7109375" style="3" customWidth="1"/>
    <col min="7598" max="7598" width="10.5703125" style="3" customWidth="1"/>
    <col min="7599" max="7599" width="9.42578125" style="3" customWidth="1"/>
    <col min="7600" max="7600" width="9.5703125" style="3" customWidth="1"/>
    <col min="7601" max="7601" width="11.5703125" style="3" customWidth="1"/>
    <col min="7602" max="7602" width="10.28515625" style="3" customWidth="1"/>
    <col min="7603" max="7603" width="9.5703125" style="3" customWidth="1"/>
    <col min="7604" max="7604" width="11.7109375" style="3" customWidth="1"/>
    <col min="7605" max="7605" width="10.85546875" style="3" customWidth="1"/>
    <col min="7606" max="7606" width="15.28515625" style="3" customWidth="1"/>
    <col min="7607" max="7607" width="10" style="3" customWidth="1"/>
    <col min="7608" max="7844" width="9.140625" style="3"/>
    <col min="7845" max="7845" width="27.140625" style="3" bestFit="1" customWidth="1"/>
    <col min="7846" max="7846" width="12" style="3" customWidth="1"/>
    <col min="7847" max="7847" width="11" style="3" customWidth="1"/>
    <col min="7848" max="7848" width="8" style="3" customWidth="1"/>
    <col min="7849" max="7849" width="8.5703125" style="3" customWidth="1"/>
    <col min="7850" max="7850" width="10.28515625" style="3" customWidth="1"/>
    <col min="7851" max="7851" width="9.28515625" style="3" customWidth="1"/>
    <col min="7852" max="7852" width="9" style="3" customWidth="1"/>
    <col min="7853" max="7853" width="9.7109375" style="3" customWidth="1"/>
    <col min="7854" max="7854" width="10.5703125" style="3" customWidth="1"/>
    <col min="7855" max="7855" width="9.42578125" style="3" customWidth="1"/>
    <col min="7856" max="7856" width="9.5703125" style="3" customWidth="1"/>
    <col min="7857" max="7857" width="11.5703125" style="3" customWidth="1"/>
    <col min="7858" max="7858" width="10.28515625" style="3" customWidth="1"/>
    <col min="7859" max="7859" width="9.5703125" style="3" customWidth="1"/>
    <col min="7860" max="7860" width="11.7109375" style="3" customWidth="1"/>
    <col min="7861" max="7861" width="10.85546875" style="3" customWidth="1"/>
    <col min="7862" max="7862" width="15.28515625" style="3" customWidth="1"/>
    <col min="7863" max="7863" width="10" style="3" customWidth="1"/>
    <col min="7864" max="8100" width="9.140625" style="3"/>
    <col min="8101" max="8101" width="27.140625" style="3" bestFit="1" customWidth="1"/>
    <col min="8102" max="8102" width="12" style="3" customWidth="1"/>
    <col min="8103" max="8103" width="11" style="3" customWidth="1"/>
    <col min="8104" max="8104" width="8" style="3" customWidth="1"/>
    <col min="8105" max="8105" width="8.5703125" style="3" customWidth="1"/>
    <col min="8106" max="8106" width="10.28515625" style="3" customWidth="1"/>
    <col min="8107" max="8107" width="9.28515625" style="3" customWidth="1"/>
    <col min="8108" max="8108" width="9" style="3" customWidth="1"/>
    <col min="8109" max="8109" width="9.7109375" style="3" customWidth="1"/>
    <col min="8110" max="8110" width="10.5703125" style="3" customWidth="1"/>
    <col min="8111" max="8111" width="9.42578125" style="3" customWidth="1"/>
    <col min="8112" max="8112" width="9.5703125" style="3" customWidth="1"/>
    <col min="8113" max="8113" width="11.5703125" style="3" customWidth="1"/>
    <col min="8114" max="8114" width="10.28515625" style="3" customWidth="1"/>
    <col min="8115" max="8115" width="9.5703125" style="3" customWidth="1"/>
    <col min="8116" max="8116" width="11.7109375" style="3" customWidth="1"/>
    <col min="8117" max="8117" width="10.85546875" style="3" customWidth="1"/>
    <col min="8118" max="8118" width="15.28515625" style="3" customWidth="1"/>
    <col min="8119" max="8119" width="10" style="3" customWidth="1"/>
    <col min="8120" max="8356" width="9.140625" style="3"/>
    <col min="8357" max="8357" width="27.140625" style="3" bestFit="1" customWidth="1"/>
    <col min="8358" max="8358" width="12" style="3" customWidth="1"/>
    <col min="8359" max="8359" width="11" style="3" customWidth="1"/>
    <col min="8360" max="8360" width="8" style="3" customWidth="1"/>
    <col min="8361" max="8361" width="8.5703125" style="3" customWidth="1"/>
    <col min="8362" max="8362" width="10.28515625" style="3" customWidth="1"/>
    <col min="8363" max="8363" width="9.28515625" style="3" customWidth="1"/>
    <col min="8364" max="8364" width="9" style="3" customWidth="1"/>
    <col min="8365" max="8365" width="9.7109375" style="3" customWidth="1"/>
    <col min="8366" max="8366" width="10.5703125" style="3" customWidth="1"/>
    <col min="8367" max="8367" width="9.42578125" style="3" customWidth="1"/>
    <col min="8368" max="8368" width="9.5703125" style="3" customWidth="1"/>
    <col min="8369" max="8369" width="11.5703125" style="3" customWidth="1"/>
    <col min="8370" max="8370" width="10.28515625" style="3" customWidth="1"/>
    <col min="8371" max="8371" width="9.5703125" style="3" customWidth="1"/>
    <col min="8372" max="8372" width="11.7109375" style="3" customWidth="1"/>
    <col min="8373" max="8373" width="10.85546875" style="3" customWidth="1"/>
    <col min="8374" max="8374" width="15.28515625" style="3" customWidth="1"/>
    <col min="8375" max="8375" width="10" style="3" customWidth="1"/>
    <col min="8376" max="8612" width="9.140625" style="3"/>
    <col min="8613" max="8613" width="27.140625" style="3" bestFit="1" customWidth="1"/>
    <col min="8614" max="8614" width="12" style="3" customWidth="1"/>
    <col min="8615" max="8615" width="11" style="3" customWidth="1"/>
    <col min="8616" max="8616" width="8" style="3" customWidth="1"/>
    <col min="8617" max="8617" width="8.5703125" style="3" customWidth="1"/>
    <col min="8618" max="8618" width="10.28515625" style="3" customWidth="1"/>
    <col min="8619" max="8619" width="9.28515625" style="3" customWidth="1"/>
    <col min="8620" max="8620" width="9" style="3" customWidth="1"/>
    <col min="8621" max="8621" width="9.7109375" style="3" customWidth="1"/>
    <col min="8622" max="8622" width="10.5703125" style="3" customWidth="1"/>
    <col min="8623" max="8623" width="9.42578125" style="3" customWidth="1"/>
    <col min="8624" max="8624" width="9.5703125" style="3" customWidth="1"/>
    <col min="8625" max="8625" width="11.5703125" style="3" customWidth="1"/>
    <col min="8626" max="8626" width="10.28515625" style="3" customWidth="1"/>
    <col min="8627" max="8627" width="9.5703125" style="3" customWidth="1"/>
    <col min="8628" max="8628" width="11.7109375" style="3" customWidth="1"/>
    <col min="8629" max="8629" width="10.85546875" style="3" customWidth="1"/>
    <col min="8630" max="8630" width="15.28515625" style="3" customWidth="1"/>
    <col min="8631" max="8631" width="10" style="3" customWidth="1"/>
    <col min="8632" max="8868" width="9.140625" style="3"/>
    <col min="8869" max="8869" width="27.140625" style="3" bestFit="1" customWidth="1"/>
    <col min="8870" max="8870" width="12" style="3" customWidth="1"/>
    <col min="8871" max="8871" width="11" style="3" customWidth="1"/>
    <col min="8872" max="8872" width="8" style="3" customWidth="1"/>
    <col min="8873" max="8873" width="8.5703125" style="3" customWidth="1"/>
    <col min="8874" max="8874" width="10.28515625" style="3" customWidth="1"/>
    <col min="8875" max="8875" width="9.28515625" style="3" customWidth="1"/>
    <col min="8876" max="8876" width="9" style="3" customWidth="1"/>
    <col min="8877" max="8877" width="9.7109375" style="3" customWidth="1"/>
    <col min="8878" max="8878" width="10.5703125" style="3" customWidth="1"/>
    <col min="8879" max="8879" width="9.42578125" style="3" customWidth="1"/>
    <col min="8880" max="8880" width="9.5703125" style="3" customWidth="1"/>
    <col min="8881" max="8881" width="11.5703125" style="3" customWidth="1"/>
    <col min="8882" max="8882" width="10.28515625" style="3" customWidth="1"/>
    <col min="8883" max="8883" width="9.5703125" style="3" customWidth="1"/>
    <col min="8884" max="8884" width="11.7109375" style="3" customWidth="1"/>
    <col min="8885" max="8885" width="10.85546875" style="3" customWidth="1"/>
    <col min="8886" max="8886" width="15.28515625" style="3" customWidth="1"/>
    <col min="8887" max="8887" width="10" style="3" customWidth="1"/>
    <col min="8888" max="9124" width="9.140625" style="3"/>
    <col min="9125" max="9125" width="27.140625" style="3" bestFit="1" customWidth="1"/>
    <col min="9126" max="9126" width="12" style="3" customWidth="1"/>
    <col min="9127" max="9127" width="11" style="3" customWidth="1"/>
    <col min="9128" max="9128" width="8" style="3" customWidth="1"/>
    <col min="9129" max="9129" width="8.5703125" style="3" customWidth="1"/>
    <col min="9130" max="9130" width="10.28515625" style="3" customWidth="1"/>
    <col min="9131" max="9131" width="9.28515625" style="3" customWidth="1"/>
    <col min="9132" max="9132" width="9" style="3" customWidth="1"/>
    <col min="9133" max="9133" width="9.7109375" style="3" customWidth="1"/>
    <col min="9134" max="9134" width="10.5703125" style="3" customWidth="1"/>
    <col min="9135" max="9135" width="9.42578125" style="3" customWidth="1"/>
    <col min="9136" max="9136" width="9.5703125" style="3" customWidth="1"/>
    <col min="9137" max="9137" width="11.5703125" style="3" customWidth="1"/>
    <col min="9138" max="9138" width="10.28515625" style="3" customWidth="1"/>
    <col min="9139" max="9139" width="9.5703125" style="3" customWidth="1"/>
    <col min="9140" max="9140" width="11.7109375" style="3" customWidth="1"/>
    <col min="9141" max="9141" width="10.85546875" style="3" customWidth="1"/>
    <col min="9142" max="9142" width="15.28515625" style="3" customWidth="1"/>
    <col min="9143" max="9143" width="10" style="3" customWidth="1"/>
    <col min="9144" max="9380" width="9.140625" style="3"/>
    <col min="9381" max="9381" width="27.140625" style="3" bestFit="1" customWidth="1"/>
    <col min="9382" max="9382" width="12" style="3" customWidth="1"/>
    <col min="9383" max="9383" width="11" style="3" customWidth="1"/>
    <col min="9384" max="9384" width="8" style="3" customWidth="1"/>
    <col min="9385" max="9385" width="8.5703125" style="3" customWidth="1"/>
    <col min="9386" max="9386" width="10.28515625" style="3" customWidth="1"/>
    <col min="9387" max="9387" width="9.28515625" style="3" customWidth="1"/>
    <col min="9388" max="9388" width="9" style="3" customWidth="1"/>
    <col min="9389" max="9389" width="9.7109375" style="3" customWidth="1"/>
    <col min="9390" max="9390" width="10.5703125" style="3" customWidth="1"/>
    <col min="9391" max="9391" width="9.42578125" style="3" customWidth="1"/>
    <col min="9392" max="9392" width="9.5703125" style="3" customWidth="1"/>
    <col min="9393" max="9393" width="11.5703125" style="3" customWidth="1"/>
    <col min="9394" max="9394" width="10.28515625" style="3" customWidth="1"/>
    <col min="9395" max="9395" width="9.5703125" style="3" customWidth="1"/>
    <col min="9396" max="9396" width="11.7109375" style="3" customWidth="1"/>
    <col min="9397" max="9397" width="10.85546875" style="3" customWidth="1"/>
    <col min="9398" max="9398" width="15.28515625" style="3" customWidth="1"/>
    <col min="9399" max="9399" width="10" style="3" customWidth="1"/>
    <col min="9400" max="9636" width="9.140625" style="3"/>
    <col min="9637" max="9637" width="27.140625" style="3" bestFit="1" customWidth="1"/>
    <col min="9638" max="9638" width="12" style="3" customWidth="1"/>
    <col min="9639" max="9639" width="11" style="3" customWidth="1"/>
    <col min="9640" max="9640" width="8" style="3" customWidth="1"/>
    <col min="9641" max="9641" width="8.5703125" style="3" customWidth="1"/>
    <col min="9642" max="9642" width="10.28515625" style="3" customWidth="1"/>
    <col min="9643" max="9643" width="9.28515625" style="3" customWidth="1"/>
    <col min="9644" max="9644" width="9" style="3" customWidth="1"/>
    <col min="9645" max="9645" width="9.7109375" style="3" customWidth="1"/>
    <col min="9646" max="9646" width="10.5703125" style="3" customWidth="1"/>
    <col min="9647" max="9647" width="9.42578125" style="3" customWidth="1"/>
    <col min="9648" max="9648" width="9.5703125" style="3" customWidth="1"/>
    <col min="9649" max="9649" width="11.5703125" style="3" customWidth="1"/>
    <col min="9650" max="9650" width="10.28515625" style="3" customWidth="1"/>
    <col min="9651" max="9651" width="9.5703125" style="3" customWidth="1"/>
    <col min="9652" max="9652" width="11.7109375" style="3" customWidth="1"/>
    <col min="9653" max="9653" width="10.85546875" style="3" customWidth="1"/>
    <col min="9654" max="9654" width="15.28515625" style="3" customWidth="1"/>
    <col min="9655" max="9655" width="10" style="3" customWidth="1"/>
    <col min="9656" max="9892" width="9.140625" style="3"/>
    <col min="9893" max="9893" width="27.140625" style="3" bestFit="1" customWidth="1"/>
    <col min="9894" max="9894" width="12" style="3" customWidth="1"/>
    <col min="9895" max="9895" width="11" style="3" customWidth="1"/>
    <col min="9896" max="9896" width="8" style="3" customWidth="1"/>
    <col min="9897" max="9897" width="8.5703125" style="3" customWidth="1"/>
    <col min="9898" max="9898" width="10.28515625" style="3" customWidth="1"/>
    <col min="9899" max="9899" width="9.28515625" style="3" customWidth="1"/>
    <col min="9900" max="9900" width="9" style="3" customWidth="1"/>
    <col min="9901" max="9901" width="9.7109375" style="3" customWidth="1"/>
    <col min="9902" max="9902" width="10.5703125" style="3" customWidth="1"/>
    <col min="9903" max="9903" width="9.42578125" style="3" customWidth="1"/>
    <col min="9904" max="9904" width="9.5703125" style="3" customWidth="1"/>
    <col min="9905" max="9905" width="11.5703125" style="3" customWidth="1"/>
    <col min="9906" max="9906" width="10.28515625" style="3" customWidth="1"/>
    <col min="9907" max="9907" width="9.5703125" style="3" customWidth="1"/>
    <col min="9908" max="9908" width="11.7109375" style="3" customWidth="1"/>
    <col min="9909" max="9909" width="10.85546875" style="3" customWidth="1"/>
    <col min="9910" max="9910" width="15.28515625" style="3" customWidth="1"/>
    <col min="9911" max="9911" width="10" style="3" customWidth="1"/>
    <col min="9912" max="10148" width="9.140625" style="3"/>
    <col min="10149" max="10149" width="27.140625" style="3" bestFit="1" customWidth="1"/>
    <col min="10150" max="10150" width="12" style="3" customWidth="1"/>
    <col min="10151" max="10151" width="11" style="3" customWidth="1"/>
    <col min="10152" max="10152" width="8" style="3" customWidth="1"/>
    <col min="10153" max="10153" width="8.5703125" style="3" customWidth="1"/>
    <col min="10154" max="10154" width="10.28515625" style="3" customWidth="1"/>
    <col min="10155" max="10155" width="9.28515625" style="3" customWidth="1"/>
    <col min="10156" max="10156" width="9" style="3" customWidth="1"/>
    <col min="10157" max="10157" width="9.7109375" style="3" customWidth="1"/>
    <col min="10158" max="10158" width="10.5703125" style="3" customWidth="1"/>
    <col min="10159" max="10159" width="9.42578125" style="3" customWidth="1"/>
    <col min="10160" max="10160" width="9.5703125" style="3" customWidth="1"/>
    <col min="10161" max="10161" width="11.5703125" style="3" customWidth="1"/>
    <col min="10162" max="10162" width="10.28515625" style="3" customWidth="1"/>
    <col min="10163" max="10163" width="9.5703125" style="3" customWidth="1"/>
    <col min="10164" max="10164" width="11.7109375" style="3" customWidth="1"/>
    <col min="10165" max="10165" width="10.85546875" style="3" customWidth="1"/>
    <col min="10166" max="10166" width="15.28515625" style="3" customWidth="1"/>
    <col min="10167" max="10167" width="10" style="3" customWidth="1"/>
    <col min="10168" max="10404" width="9.140625" style="3"/>
    <col min="10405" max="10405" width="27.140625" style="3" bestFit="1" customWidth="1"/>
    <col min="10406" max="10406" width="12" style="3" customWidth="1"/>
    <col min="10407" max="10407" width="11" style="3" customWidth="1"/>
    <col min="10408" max="10408" width="8" style="3" customWidth="1"/>
    <col min="10409" max="10409" width="8.5703125" style="3" customWidth="1"/>
    <col min="10410" max="10410" width="10.28515625" style="3" customWidth="1"/>
    <col min="10411" max="10411" width="9.28515625" style="3" customWidth="1"/>
    <col min="10412" max="10412" width="9" style="3" customWidth="1"/>
    <col min="10413" max="10413" width="9.7109375" style="3" customWidth="1"/>
    <col min="10414" max="10414" width="10.5703125" style="3" customWidth="1"/>
    <col min="10415" max="10415" width="9.42578125" style="3" customWidth="1"/>
    <col min="10416" max="10416" width="9.5703125" style="3" customWidth="1"/>
    <col min="10417" max="10417" width="11.5703125" style="3" customWidth="1"/>
    <col min="10418" max="10418" width="10.28515625" style="3" customWidth="1"/>
    <col min="10419" max="10419" width="9.5703125" style="3" customWidth="1"/>
    <col min="10420" max="10420" width="11.7109375" style="3" customWidth="1"/>
    <col min="10421" max="10421" width="10.85546875" style="3" customWidth="1"/>
    <col min="10422" max="10422" width="15.28515625" style="3" customWidth="1"/>
    <col min="10423" max="10423" width="10" style="3" customWidth="1"/>
    <col min="10424" max="10660" width="9.140625" style="3"/>
    <col min="10661" max="10661" width="27.140625" style="3" bestFit="1" customWidth="1"/>
    <col min="10662" max="10662" width="12" style="3" customWidth="1"/>
    <col min="10663" max="10663" width="11" style="3" customWidth="1"/>
    <col min="10664" max="10664" width="8" style="3" customWidth="1"/>
    <col min="10665" max="10665" width="8.5703125" style="3" customWidth="1"/>
    <col min="10666" max="10666" width="10.28515625" style="3" customWidth="1"/>
    <col min="10667" max="10667" width="9.28515625" style="3" customWidth="1"/>
    <col min="10668" max="10668" width="9" style="3" customWidth="1"/>
    <col min="10669" max="10669" width="9.7109375" style="3" customWidth="1"/>
    <col min="10670" max="10670" width="10.5703125" style="3" customWidth="1"/>
    <col min="10671" max="10671" width="9.42578125" style="3" customWidth="1"/>
    <col min="10672" max="10672" width="9.5703125" style="3" customWidth="1"/>
    <col min="10673" max="10673" width="11.5703125" style="3" customWidth="1"/>
    <col min="10674" max="10674" width="10.28515625" style="3" customWidth="1"/>
    <col min="10675" max="10675" width="9.5703125" style="3" customWidth="1"/>
    <col min="10676" max="10676" width="11.7109375" style="3" customWidth="1"/>
    <col min="10677" max="10677" width="10.85546875" style="3" customWidth="1"/>
    <col min="10678" max="10678" width="15.28515625" style="3" customWidth="1"/>
    <col min="10679" max="10679" width="10" style="3" customWidth="1"/>
    <col min="10680" max="10916" width="9.140625" style="3"/>
    <col min="10917" max="10917" width="27.140625" style="3" bestFit="1" customWidth="1"/>
    <col min="10918" max="10918" width="12" style="3" customWidth="1"/>
    <col min="10919" max="10919" width="11" style="3" customWidth="1"/>
    <col min="10920" max="10920" width="8" style="3" customWidth="1"/>
    <col min="10921" max="10921" width="8.5703125" style="3" customWidth="1"/>
    <col min="10922" max="10922" width="10.28515625" style="3" customWidth="1"/>
    <col min="10923" max="10923" width="9.28515625" style="3" customWidth="1"/>
    <col min="10924" max="10924" width="9" style="3" customWidth="1"/>
    <col min="10925" max="10925" width="9.7109375" style="3" customWidth="1"/>
    <col min="10926" max="10926" width="10.5703125" style="3" customWidth="1"/>
    <col min="10927" max="10927" width="9.42578125" style="3" customWidth="1"/>
    <col min="10928" max="10928" width="9.5703125" style="3" customWidth="1"/>
    <col min="10929" max="10929" width="11.5703125" style="3" customWidth="1"/>
    <col min="10930" max="10930" width="10.28515625" style="3" customWidth="1"/>
    <col min="10931" max="10931" width="9.5703125" style="3" customWidth="1"/>
    <col min="10932" max="10932" width="11.7109375" style="3" customWidth="1"/>
    <col min="10933" max="10933" width="10.85546875" style="3" customWidth="1"/>
    <col min="10934" max="10934" width="15.28515625" style="3" customWidth="1"/>
    <col min="10935" max="10935" width="10" style="3" customWidth="1"/>
    <col min="10936" max="11172" width="9.140625" style="3"/>
    <col min="11173" max="11173" width="27.140625" style="3" bestFit="1" customWidth="1"/>
    <col min="11174" max="11174" width="12" style="3" customWidth="1"/>
    <col min="11175" max="11175" width="11" style="3" customWidth="1"/>
    <col min="11176" max="11176" width="8" style="3" customWidth="1"/>
    <col min="11177" max="11177" width="8.5703125" style="3" customWidth="1"/>
    <col min="11178" max="11178" width="10.28515625" style="3" customWidth="1"/>
    <col min="11179" max="11179" width="9.28515625" style="3" customWidth="1"/>
    <col min="11180" max="11180" width="9" style="3" customWidth="1"/>
    <col min="11181" max="11181" width="9.7109375" style="3" customWidth="1"/>
    <col min="11182" max="11182" width="10.5703125" style="3" customWidth="1"/>
    <col min="11183" max="11183" width="9.42578125" style="3" customWidth="1"/>
    <col min="11184" max="11184" width="9.5703125" style="3" customWidth="1"/>
    <col min="11185" max="11185" width="11.5703125" style="3" customWidth="1"/>
    <col min="11186" max="11186" width="10.28515625" style="3" customWidth="1"/>
    <col min="11187" max="11187" width="9.5703125" style="3" customWidth="1"/>
    <col min="11188" max="11188" width="11.7109375" style="3" customWidth="1"/>
    <col min="11189" max="11189" width="10.85546875" style="3" customWidth="1"/>
    <col min="11190" max="11190" width="15.28515625" style="3" customWidth="1"/>
    <col min="11191" max="11191" width="10" style="3" customWidth="1"/>
    <col min="11192" max="11428" width="9.140625" style="3"/>
    <col min="11429" max="11429" width="27.140625" style="3" bestFit="1" customWidth="1"/>
    <col min="11430" max="11430" width="12" style="3" customWidth="1"/>
    <col min="11431" max="11431" width="11" style="3" customWidth="1"/>
    <col min="11432" max="11432" width="8" style="3" customWidth="1"/>
    <col min="11433" max="11433" width="8.5703125" style="3" customWidth="1"/>
    <col min="11434" max="11434" width="10.28515625" style="3" customWidth="1"/>
    <col min="11435" max="11435" width="9.28515625" style="3" customWidth="1"/>
    <col min="11436" max="11436" width="9" style="3" customWidth="1"/>
    <col min="11437" max="11437" width="9.7109375" style="3" customWidth="1"/>
    <col min="11438" max="11438" width="10.5703125" style="3" customWidth="1"/>
    <col min="11439" max="11439" width="9.42578125" style="3" customWidth="1"/>
    <col min="11440" max="11440" width="9.5703125" style="3" customWidth="1"/>
    <col min="11441" max="11441" width="11.5703125" style="3" customWidth="1"/>
    <col min="11442" max="11442" width="10.28515625" style="3" customWidth="1"/>
    <col min="11443" max="11443" width="9.5703125" style="3" customWidth="1"/>
    <col min="11444" max="11444" width="11.7109375" style="3" customWidth="1"/>
    <col min="11445" max="11445" width="10.85546875" style="3" customWidth="1"/>
    <col min="11446" max="11446" width="15.28515625" style="3" customWidth="1"/>
    <col min="11447" max="11447" width="10" style="3" customWidth="1"/>
    <col min="11448" max="11684" width="9.140625" style="3"/>
    <col min="11685" max="11685" width="27.140625" style="3" bestFit="1" customWidth="1"/>
    <col min="11686" max="11686" width="12" style="3" customWidth="1"/>
    <col min="11687" max="11687" width="11" style="3" customWidth="1"/>
    <col min="11688" max="11688" width="8" style="3" customWidth="1"/>
    <col min="11689" max="11689" width="8.5703125" style="3" customWidth="1"/>
    <col min="11690" max="11690" width="10.28515625" style="3" customWidth="1"/>
    <col min="11691" max="11691" width="9.28515625" style="3" customWidth="1"/>
    <col min="11692" max="11692" width="9" style="3" customWidth="1"/>
    <col min="11693" max="11693" width="9.7109375" style="3" customWidth="1"/>
    <col min="11694" max="11694" width="10.5703125" style="3" customWidth="1"/>
    <col min="11695" max="11695" width="9.42578125" style="3" customWidth="1"/>
    <col min="11696" max="11696" width="9.5703125" style="3" customWidth="1"/>
    <col min="11697" max="11697" width="11.5703125" style="3" customWidth="1"/>
    <col min="11698" max="11698" width="10.28515625" style="3" customWidth="1"/>
    <col min="11699" max="11699" width="9.5703125" style="3" customWidth="1"/>
    <col min="11700" max="11700" width="11.7109375" style="3" customWidth="1"/>
    <col min="11701" max="11701" width="10.85546875" style="3" customWidth="1"/>
    <col min="11702" max="11702" width="15.28515625" style="3" customWidth="1"/>
    <col min="11703" max="11703" width="10" style="3" customWidth="1"/>
    <col min="11704" max="11940" width="9.140625" style="3"/>
    <col min="11941" max="11941" width="27.140625" style="3" bestFit="1" customWidth="1"/>
    <col min="11942" max="11942" width="12" style="3" customWidth="1"/>
    <col min="11943" max="11943" width="11" style="3" customWidth="1"/>
    <col min="11944" max="11944" width="8" style="3" customWidth="1"/>
    <col min="11945" max="11945" width="8.5703125" style="3" customWidth="1"/>
    <col min="11946" max="11946" width="10.28515625" style="3" customWidth="1"/>
    <col min="11947" max="11947" width="9.28515625" style="3" customWidth="1"/>
    <col min="11948" max="11948" width="9" style="3" customWidth="1"/>
    <col min="11949" max="11949" width="9.7109375" style="3" customWidth="1"/>
    <col min="11950" max="11950" width="10.5703125" style="3" customWidth="1"/>
    <col min="11951" max="11951" width="9.42578125" style="3" customWidth="1"/>
    <col min="11952" max="11952" width="9.5703125" style="3" customWidth="1"/>
    <col min="11953" max="11953" width="11.5703125" style="3" customWidth="1"/>
    <col min="11954" max="11954" width="10.28515625" style="3" customWidth="1"/>
    <col min="11955" max="11955" width="9.5703125" style="3" customWidth="1"/>
    <col min="11956" max="11956" width="11.7109375" style="3" customWidth="1"/>
    <col min="11957" max="11957" width="10.85546875" style="3" customWidth="1"/>
    <col min="11958" max="11958" width="15.28515625" style="3" customWidth="1"/>
    <col min="11959" max="11959" width="10" style="3" customWidth="1"/>
    <col min="11960" max="12196" width="9.140625" style="3"/>
    <col min="12197" max="12197" width="27.140625" style="3" bestFit="1" customWidth="1"/>
    <col min="12198" max="12198" width="12" style="3" customWidth="1"/>
    <col min="12199" max="12199" width="11" style="3" customWidth="1"/>
    <col min="12200" max="12200" width="8" style="3" customWidth="1"/>
    <col min="12201" max="12201" width="8.5703125" style="3" customWidth="1"/>
    <col min="12202" max="12202" width="10.28515625" style="3" customWidth="1"/>
    <col min="12203" max="12203" width="9.28515625" style="3" customWidth="1"/>
    <col min="12204" max="12204" width="9" style="3" customWidth="1"/>
    <col min="12205" max="12205" width="9.7109375" style="3" customWidth="1"/>
    <col min="12206" max="12206" width="10.5703125" style="3" customWidth="1"/>
    <col min="12207" max="12207" width="9.42578125" style="3" customWidth="1"/>
    <col min="12208" max="12208" width="9.5703125" style="3" customWidth="1"/>
    <col min="12209" max="12209" width="11.5703125" style="3" customWidth="1"/>
    <col min="12210" max="12210" width="10.28515625" style="3" customWidth="1"/>
    <col min="12211" max="12211" width="9.5703125" style="3" customWidth="1"/>
    <col min="12212" max="12212" width="11.7109375" style="3" customWidth="1"/>
    <col min="12213" max="12213" width="10.85546875" style="3" customWidth="1"/>
    <col min="12214" max="12214" width="15.28515625" style="3" customWidth="1"/>
    <col min="12215" max="12215" width="10" style="3" customWidth="1"/>
    <col min="12216" max="12452" width="9.140625" style="3"/>
    <col min="12453" max="12453" width="27.140625" style="3" bestFit="1" customWidth="1"/>
    <col min="12454" max="12454" width="12" style="3" customWidth="1"/>
    <col min="12455" max="12455" width="11" style="3" customWidth="1"/>
    <col min="12456" max="12456" width="8" style="3" customWidth="1"/>
    <col min="12457" max="12457" width="8.5703125" style="3" customWidth="1"/>
    <col min="12458" max="12458" width="10.28515625" style="3" customWidth="1"/>
    <col min="12459" max="12459" width="9.28515625" style="3" customWidth="1"/>
    <col min="12460" max="12460" width="9" style="3" customWidth="1"/>
    <col min="12461" max="12461" width="9.7109375" style="3" customWidth="1"/>
    <col min="12462" max="12462" width="10.5703125" style="3" customWidth="1"/>
    <col min="12463" max="12463" width="9.42578125" style="3" customWidth="1"/>
    <col min="12464" max="12464" width="9.5703125" style="3" customWidth="1"/>
    <col min="12465" max="12465" width="11.5703125" style="3" customWidth="1"/>
    <col min="12466" max="12466" width="10.28515625" style="3" customWidth="1"/>
    <col min="12467" max="12467" width="9.5703125" style="3" customWidth="1"/>
    <col min="12468" max="12468" width="11.7109375" style="3" customWidth="1"/>
    <col min="12469" max="12469" width="10.85546875" style="3" customWidth="1"/>
    <col min="12470" max="12470" width="15.28515625" style="3" customWidth="1"/>
    <col min="12471" max="12471" width="10" style="3" customWidth="1"/>
    <col min="12472" max="12708" width="9.140625" style="3"/>
    <col min="12709" max="12709" width="27.140625" style="3" bestFit="1" customWidth="1"/>
    <col min="12710" max="12710" width="12" style="3" customWidth="1"/>
    <col min="12711" max="12711" width="11" style="3" customWidth="1"/>
    <col min="12712" max="12712" width="8" style="3" customWidth="1"/>
    <col min="12713" max="12713" width="8.5703125" style="3" customWidth="1"/>
    <col min="12714" max="12714" width="10.28515625" style="3" customWidth="1"/>
    <col min="12715" max="12715" width="9.28515625" style="3" customWidth="1"/>
    <col min="12716" max="12716" width="9" style="3" customWidth="1"/>
    <col min="12717" max="12717" width="9.7109375" style="3" customWidth="1"/>
    <col min="12718" max="12718" width="10.5703125" style="3" customWidth="1"/>
    <col min="12719" max="12719" width="9.42578125" style="3" customWidth="1"/>
    <col min="12720" max="12720" width="9.5703125" style="3" customWidth="1"/>
    <col min="12721" max="12721" width="11.5703125" style="3" customWidth="1"/>
    <col min="12722" max="12722" width="10.28515625" style="3" customWidth="1"/>
    <col min="12723" max="12723" width="9.5703125" style="3" customWidth="1"/>
    <col min="12724" max="12724" width="11.7109375" style="3" customWidth="1"/>
    <col min="12725" max="12725" width="10.85546875" style="3" customWidth="1"/>
    <col min="12726" max="12726" width="15.28515625" style="3" customWidth="1"/>
    <col min="12727" max="12727" width="10" style="3" customWidth="1"/>
    <col min="12728" max="12964" width="9.140625" style="3"/>
    <col min="12965" max="12965" width="27.140625" style="3" bestFit="1" customWidth="1"/>
    <col min="12966" max="12966" width="12" style="3" customWidth="1"/>
    <col min="12967" max="12967" width="11" style="3" customWidth="1"/>
    <col min="12968" max="12968" width="8" style="3" customWidth="1"/>
    <col min="12969" max="12969" width="8.5703125" style="3" customWidth="1"/>
    <col min="12970" max="12970" width="10.28515625" style="3" customWidth="1"/>
    <col min="12971" max="12971" width="9.28515625" style="3" customWidth="1"/>
    <col min="12972" max="12972" width="9" style="3" customWidth="1"/>
    <col min="12973" max="12973" width="9.7109375" style="3" customWidth="1"/>
    <col min="12974" max="12974" width="10.5703125" style="3" customWidth="1"/>
    <col min="12975" max="12975" width="9.42578125" style="3" customWidth="1"/>
    <col min="12976" max="12976" width="9.5703125" style="3" customWidth="1"/>
    <col min="12977" max="12977" width="11.5703125" style="3" customWidth="1"/>
    <col min="12978" max="12978" width="10.28515625" style="3" customWidth="1"/>
    <col min="12979" max="12979" width="9.5703125" style="3" customWidth="1"/>
    <col min="12980" max="12980" width="11.7109375" style="3" customWidth="1"/>
    <col min="12981" max="12981" width="10.85546875" style="3" customWidth="1"/>
    <col min="12982" max="12982" width="15.28515625" style="3" customWidth="1"/>
    <col min="12983" max="12983" width="10" style="3" customWidth="1"/>
    <col min="12984" max="13220" width="9.140625" style="3"/>
    <col min="13221" max="13221" width="27.140625" style="3" bestFit="1" customWidth="1"/>
    <col min="13222" max="13222" width="12" style="3" customWidth="1"/>
    <col min="13223" max="13223" width="11" style="3" customWidth="1"/>
    <col min="13224" max="13224" width="8" style="3" customWidth="1"/>
    <col min="13225" max="13225" width="8.5703125" style="3" customWidth="1"/>
    <col min="13226" max="13226" width="10.28515625" style="3" customWidth="1"/>
    <col min="13227" max="13227" width="9.28515625" style="3" customWidth="1"/>
    <col min="13228" max="13228" width="9" style="3" customWidth="1"/>
    <col min="13229" max="13229" width="9.7109375" style="3" customWidth="1"/>
    <col min="13230" max="13230" width="10.5703125" style="3" customWidth="1"/>
    <col min="13231" max="13231" width="9.42578125" style="3" customWidth="1"/>
    <col min="13232" max="13232" width="9.5703125" style="3" customWidth="1"/>
    <col min="13233" max="13233" width="11.5703125" style="3" customWidth="1"/>
    <col min="13234" max="13234" width="10.28515625" style="3" customWidth="1"/>
    <col min="13235" max="13235" width="9.5703125" style="3" customWidth="1"/>
    <col min="13236" max="13236" width="11.7109375" style="3" customWidth="1"/>
    <col min="13237" max="13237" width="10.85546875" style="3" customWidth="1"/>
    <col min="13238" max="13238" width="15.28515625" style="3" customWidth="1"/>
    <col min="13239" max="13239" width="10" style="3" customWidth="1"/>
    <col min="13240" max="13476" width="9.140625" style="3"/>
    <col min="13477" max="13477" width="27.140625" style="3" bestFit="1" customWidth="1"/>
    <col min="13478" max="13478" width="12" style="3" customWidth="1"/>
    <col min="13479" max="13479" width="11" style="3" customWidth="1"/>
    <col min="13480" max="13480" width="8" style="3" customWidth="1"/>
    <col min="13481" max="13481" width="8.5703125" style="3" customWidth="1"/>
    <col min="13482" max="13482" width="10.28515625" style="3" customWidth="1"/>
    <col min="13483" max="13483" width="9.28515625" style="3" customWidth="1"/>
    <col min="13484" max="13484" width="9" style="3" customWidth="1"/>
    <col min="13485" max="13485" width="9.7109375" style="3" customWidth="1"/>
    <col min="13486" max="13486" width="10.5703125" style="3" customWidth="1"/>
    <col min="13487" max="13487" width="9.42578125" style="3" customWidth="1"/>
    <col min="13488" max="13488" width="9.5703125" style="3" customWidth="1"/>
    <col min="13489" max="13489" width="11.5703125" style="3" customWidth="1"/>
    <col min="13490" max="13490" width="10.28515625" style="3" customWidth="1"/>
    <col min="13491" max="13491" width="9.5703125" style="3" customWidth="1"/>
    <col min="13492" max="13492" width="11.7109375" style="3" customWidth="1"/>
    <col min="13493" max="13493" width="10.85546875" style="3" customWidth="1"/>
    <col min="13494" max="13494" width="15.28515625" style="3" customWidth="1"/>
    <col min="13495" max="13495" width="10" style="3" customWidth="1"/>
    <col min="13496" max="13732" width="9.140625" style="3"/>
    <col min="13733" max="13733" width="27.140625" style="3" bestFit="1" customWidth="1"/>
    <col min="13734" max="13734" width="12" style="3" customWidth="1"/>
    <col min="13735" max="13735" width="11" style="3" customWidth="1"/>
    <col min="13736" max="13736" width="8" style="3" customWidth="1"/>
    <col min="13737" max="13737" width="8.5703125" style="3" customWidth="1"/>
    <col min="13738" max="13738" width="10.28515625" style="3" customWidth="1"/>
    <col min="13739" max="13739" width="9.28515625" style="3" customWidth="1"/>
    <col min="13740" max="13740" width="9" style="3" customWidth="1"/>
    <col min="13741" max="13741" width="9.7109375" style="3" customWidth="1"/>
    <col min="13742" max="13742" width="10.5703125" style="3" customWidth="1"/>
    <col min="13743" max="13743" width="9.42578125" style="3" customWidth="1"/>
    <col min="13744" max="13744" width="9.5703125" style="3" customWidth="1"/>
    <col min="13745" max="13745" width="11.5703125" style="3" customWidth="1"/>
    <col min="13746" max="13746" width="10.28515625" style="3" customWidth="1"/>
    <col min="13747" max="13747" width="9.5703125" style="3" customWidth="1"/>
    <col min="13748" max="13748" width="11.7109375" style="3" customWidth="1"/>
    <col min="13749" max="13749" width="10.85546875" style="3" customWidth="1"/>
    <col min="13750" max="13750" width="15.28515625" style="3" customWidth="1"/>
    <col min="13751" max="13751" width="10" style="3" customWidth="1"/>
    <col min="13752" max="13988" width="9.140625" style="3"/>
    <col min="13989" max="13989" width="27.140625" style="3" bestFit="1" customWidth="1"/>
    <col min="13990" max="13990" width="12" style="3" customWidth="1"/>
    <col min="13991" max="13991" width="11" style="3" customWidth="1"/>
    <col min="13992" max="13992" width="8" style="3" customWidth="1"/>
    <col min="13993" max="13993" width="8.5703125" style="3" customWidth="1"/>
    <col min="13994" max="13994" width="10.28515625" style="3" customWidth="1"/>
    <col min="13995" max="13995" width="9.28515625" style="3" customWidth="1"/>
    <col min="13996" max="13996" width="9" style="3" customWidth="1"/>
    <col min="13997" max="13997" width="9.7109375" style="3" customWidth="1"/>
    <col min="13998" max="13998" width="10.5703125" style="3" customWidth="1"/>
    <col min="13999" max="13999" width="9.42578125" style="3" customWidth="1"/>
    <col min="14000" max="14000" width="9.5703125" style="3" customWidth="1"/>
    <col min="14001" max="14001" width="11.5703125" style="3" customWidth="1"/>
    <col min="14002" max="14002" width="10.28515625" style="3" customWidth="1"/>
    <col min="14003" max="14003" width="9.5703125" style="3" customWidth="1"/>
    <col min="14004" max="14004" width="11.7109375" style="3" customWidth="1"/>
    <col min="14005" max="14005" width="10.85546875" style="3" customWidth="1"/>
    <col min="14006" max="14006" width="15.28515625" style="3" customWidth="1"/>
    <col min="14007" max="14007" width="10" style="3" customWidth="1"/>
    <col min="14008" max="14244" width="9.140625" style="3"/>
    <col min="14245" max="14245" width="27.140625" style="3" bestFit="1" customWidth="1"/>
    <col min="14246" max="14246" width="12" style="3" customWidth="1"/>
    <col min="14247" max="14247" width="11" style="3" customWidth="1"/>
    <col min="14248" max="14248" width="8" style="3" customWidth="1"/>
    <col min="14249" max="14249" width="8.5703125" style="3" customWidth="1"/>
    <col min="14250" max="14250" width="10.28515625" style="3" customWidth="1"/>
    <col min="14251" max="14251" width="9.28515625" style="3" customWidth="1"/>
    <col min="14252" max="14252" width="9" style="3" customWidth="1"/>
    <col min="14253" max="14253" width="9.7109375" style="3" customWidth="1"/>
    <col min="14254" max="14254" width="10.5703125" style="3" customWidth="1"/>
    <col min="14255" max="14255" width="9.42578125" style="3" customWidth="1"/>
    <col min="14256" max="14256" width="9.5703125" style="3" customWidth="1"/>
    <col min="14257" max="14257" width="11.5703125" style="3" customWidth="1"/>
    <col min="14258" max="14258" width="10.28515625" style="3" customWidth="1"/>
    <col min="14259" max="14259" width="9.5703125" style="3" customWidth="1"/>
    <col min="14260" max="14260" width="11.7109375" style="3" customWidth="1"/>
    <col min="14261" max="14261" width="10.85546875" style="3" customWidth="1"/>
    <col min="14262" max="14262" width="15.28515625" style="3" customWidth="1"/>
    <col min="14263" max="14263" width="10" style="3" customWidth="1"/>
    <col min="14264" max="14500" width="9.140625" style="3"/>
    <col min="14501" max="14501" width="27.140625" style="3" bestFit="1" customWidth="1"/>
    <col min="14502" max="14502" width="12" style="3" customWidth="1"/>
    <col min="14503" max="14503" width="11" style="3" customWidth="1"/>
    <col min="14504" max="14504" width="8" style="3" customWidth="1"/>
    <col min="14505" max="14505" width="8.5703125" style="3" customWidth="1"/>
    <col min="14506" max="14506" width="10.28515625" style="3" customWidth="1"/>
    <col min="14507" max="14507" width="9.28515625" style="3" customWidth="1"/>
    <col min="14508" max="14508" width="9" style="3" customWidth="1"/>
    <col min="14509" max="14509" width="9.7109375" style="3" customWidth="1"/>
    <col min="14510" max="14510" width="10.5703125" style="3" customWidth="1"/>
    <col min="14511" max="14511" width="9.42578125" style="3" customWidth="1"/>
    <col min="14512" max="14512" width="9.5703125" style="3" customWidth="1"/>
    <col min="14513" max="14513" width="11.5703125" style="3" customWidth="1"/>
    <col min="14514" max="14514" width="10.28515625" style="3" customWidth="1"/>
    <col min="14515" max="14515" width="9.5703125" style="3" customWidth="1"/>
    <col min="14516" max="14516" width="11.7109375" style="3" customWidth="1"/>
    <col min="14517" max="14517" width="10.85546875" style="3" customWidth="1"/>
    <col min="14518" max="14518" width="15.28515625" style="3" customWidth="1"/>
    <col min="14519" max="14519" width="10" style="3" customWidth="1"/>
    <col min="14520" max="14756" width="9.140625" style="3"/>
    <col min="14757" max="14757" width="27.140625" style="3" bestFit="1" customWidth="1"/>
    <col min="14758" max="14758" width="12" style="3" customWidth="1"/>
    <col min="14759" max="14759" width="11" style="3" customWidth="1"/>
    <col min="14760" max="14760" width="8" style="3" customWidth="1"/>
    <col min="14761" max="14761" width="8.5703125" style="3" customWidth="1"/>
    <col min="14762" max="14762" width="10.28515625" style="3" customWidth="1"/>
    <col min="14763" max="14763" width="9.28515625" style="3" customWidth="1"/>
    <col min="14764" max="14764" width="9" style="3" customWidth="1"/>
    <col min="14765" max="14765" width="9.7109375" style="3" customWidth="1"/>
    <col min="14766" max="14766" width="10.5703125" style="3" customWidth="1"/>
    <col min="14767" max="14767" width="9.42578125" style="3" customWidth="1"/>
    <col min="14768" max="14768" width="9.5703125" style="3" customWidth="1"/>
    <col min="14769" max="14769" width="11.5703125" style="3" customWidth="1"/>
    <col min="14770" max="14770" width="10.28515625" style="3" customWidth="1"/>
    <col min="14771" max="14771" width="9.5703125" style="3" customWidth="1"/>
    <col min="14772" max="14772" width="11.7109375" style="3" customWidth="1"/>
    <col min="14773" max="14773" width="10.85546875" style="3" customWidth="1"/>
    <col min="14774" max="14774" width="15.28515625" style="3" customWidth="1"/>
    <col min="14775" max="14775" width="10" style="3" customWidth="1"/>
    <col min="14776" max="15012" width="9.140625" style="3"/>
    <col min="15013" max="15013" width="27.140625" style="3" bestFit="1" customWidth="1"/>
    <col min="15014" max="15014" width="12" style="3" customWidth="1"/>
    <col min="15015" max="15015" width="11" style="3" customWidth="1"/>
    <col min="15016" max="15016" width="8" style="3" customWidth="1"/>
    <col min="15017" max="15017" width="8.5703125" style="3" customWidth="1"/>
    <col min="15018" max="15018" width="10.28515625" style="3" customWidth="1"/>
    <col min="15019" max="15019" width="9.28515625" style="3" customWidth="1"/>
    <col min="15020" max="15020" width="9" style="3" customWidth="1"/>
    <col min="15021" max="15021" width="9.7109375" style="3" customWidth="1"/>
    <col min="15022" max="15022" width="10.5703125" style="3" customWidth="1"/>
    <col min="15023" max="15023" width="9.42578125" style="3" customWidth="1"/>
    <col min="15024" max="15024" width="9.5703125" style="3" customWidth="1"/>
    <col min="15025" max="15025" width="11.5703125" style="3" customWidth="1"/>
    <col min="15026" max="15026" width="10.28515625" style="3" customWidth="1"/>
    <col min="15027" max="15027" width="9.5703125" style="3" customWidth="1"/>
    <col min="15028" max="15028" width="11.7109375" style="3" customWidth="1"/>
    <col min="15029" max="15029" width="10.85546875" style="3" customWidth="1"/>
    <col min="15030" max="15030" width="15.28515625" style="3" customWidth="1"/>
    <col min="15031" max="15031" width="10" style="3" customWidth="1"/>
    <col min="15032" max="15268" width="9.140625" style="3"/>
    <col min="15269" max="15269" width="27.140625" style="3" bestFit="1" customWidth="1"/>
    <col min="15270" max="15270" width="12" style="3" customWidth="1"/>
    <col min="15271" max="15271" width="11" style="3" customWidth="1"/>
    <col min="15272" max="15272" width="8" style="3" customWidth="1"/>
    <col min="15273" max="15273" width="8.5703125" style="3" customWidth="1"/>
    <col min="15274" max="15274" width="10.28515625" style="3" customWidth="1"/>
    <col min="15275" max="15275" width="9.28515625" style="3" customWidth="1"/>
    <col min="15276" max="15276" width="9" style="3" customWidth="1"/>
    <col min="15277" max="15277" width="9.7109375" style="3" customWidth="1"/>
    <col min="15278" max="15278" width="10.5703125" style="3" customWidth="1"/>
    <col min="15279" max="15279" width="9.42578125" style="3" customWidth="1"/>
    <col min="15280" max="15280" width="9.5703125" style="3" customWidth="1"/>
    <col min="15281" max="15281" width="11.5703125" style="3" customWidth="1"/>
    <col min="15282" max="15282" width="10.28515625" style="3" customWidth="1"/>
    <col min="15283" max="15283" width="9.5703125" style="3" customWidth="1"/>
    <col min="15284" max="15284" width="11.7109375" style="3" customWidth="1"/>
    <col min="15285" max="15285" width="10.85546875" style="3" customWidth="1"/>
    <col min="15286" max="15286" width="15.28515625" style="3" customWidth="1"/>
    <col min="15287" max="15287" width="10" style="3" customWidth="1"/>
    <col min="15288" max="15524" width="9.140625" style="3"/>
    <col min="15525" max="15525" width="27.140625" style="3" bestFit="1" customWidth="1"/>
    <col min="15526" max="15526" width="12" style="3" customWidth="1"/>
    <col min="15527" max="15527" width="11" style="3" customWidth="1"/>
    <col min="15528" max="15528" width="8" style="3" customWidth="1"/>
    <col min="15529" max="15529" width="8.5703125" style="3" customWidth="1"/>
    <col min="15530" max="15530" width="10.28515625" style="3" customWidth="1"/>
    <col min="15531" max="15531" width="9.28515625" style="3" customWidth="1"/>
    <col min="15532" max="15532" width="9" style="3" customWidth="1"/>
    <col min="15533" max="15533" width="9.7109375" style="3" customWidth="1"/>
    <col min="15534" max="15534" width="10.5703125" style="3" customWidth="1"/>
    <col min="15535" max="15535" width="9.42578125" style="3" customWidth="1"/>
    <col min="15536" max="15536" width="9.5703125" style="3" customWidth="1"/>
    <col min="15537" max="15537" width="11.5703125" style="3" customWidth="1"/>
    <col min="15538" max="15538" width="10.28515625" style="3" customWidth="1"/>
    <col min="15539" max="15539" width="9.5703125" style="3" customWidth="1"/>
    <col min="15540" max="15540" width="11.7109375" style="3" customWidth="1"/>
    <col min="15541" max="15541" width="10.85546875" style="3" customWidth="1"/>
    <col min="15542" max="15542" width="15.28515625" style="3" customWidth="1"/>
    <col min="15543" max="15543" width="10" style="3" customWidth="1"/>
    <col min="15544" max="15780" width="9.140625" style="3"/>
    <col min="15781" max="15781" width="27.140625" style="3" bestFit="1" customWidth="1"/>
    <col min="15782" max="15782" width="12" style="3" customWidth="1"/>
    <col min="15783" max="15783" width="11" style="3" customWidth="1"/>
    <col min="15784" max="15784" width="8" style="3" customWidth="1"/>
    <col min="15785" max="15785" width="8.5703125" style="3" customWidth="1"/>
    <col min="15786" max="15786" width="10.28515625" style="3" customWidth="1"/>
    <col min="15787" max="15787" width="9.28515625" style="3" customWidth="1"/>
    <col min="15788" max="15788" width="9" style="3" customWidth="1"/>
    <col min="15789" max="15789" width="9.7109375" style="3" customWidth="1"/>
    <col min="15790" max="15790" width="10.5703125" style="3" customWidth="1"/>
    <col min="15791" max="15791" width="9.42578125" style="3" customWidth="1"/>
    <col min="15792" max="15792" width="9.5703125" style="3" customWidth="1"/>
    <col min="15793" max="15793" width="11.5703125" style="3" customWidth="1"/>
    <col min="15794" max="15794" width="10.28515625" style="3" customWidth="1"/>
    <col min="15795" max="15795" width="9.5703125" style="3" customWidth="1"/>
    <col min="15796" max="15796" width="11.7109375" style="3" customWidth="1"/>
    <col min="15797" max="15797" width="10.85546875" style="3" customWidth="1"/>
    <col min="15798" max="15798" width="15.28515625" style="3" customWidth="1"/>
    <col min="15799" max="15799" width="10" style="3" customWidth="1"/>
    <col min="15800" max="16036" width="9.140625" style="3"/>
    <col min="16037" max="16037" width="27.140625" style="3" bestFit="1" customWidth="1"/>
    <col min="16038" max="16038" width="12" style="3" customWidth="1"/>
    <col min="16039" max="16039" width="11" style="3" customWidth="1"/>
    <col min="16040" max="16040" width="8" style="3" customWidth="1"/>
    <col min="16041" max="16041" width="8.5703125" style="3" customWidth="1"/>
    <col min="16042" max="16042" width="10.28515625" style="3" customWidth="1"/>
    <col min="16043" max="16043" width="9.28515625" style="3" customWidth="1"/>
    <col min="16044" max="16044" width="9" style="3" customWidth="1"/>
    <col min="16045" max="16045" width="9.7109375" style="3" customWidth="1"/>
    <col min="16046" max="16046" width="10.5703125" style="3" customWidth="1"/>
    <col min="16047" max="16047" width="9.42578125" style="3" customWidth="1"/>
    <col min="16048" max="16048" width="9.5703125" style="3" customWidth="1"/>
    <col min="16049" max="16049" width="11.5703125" style="3" customWidth="1"/>
    <col min="16050" max="16050" width="10.28515625" style="3" customWidth="1"/>
    <col min="16051" max="16051" width="9.5703125" style="3" customWidth="1"/>
    <col min="16052" max="16052" width="11.7109375" style="3" customWidth="1"/>
    <col min="16053" max="16053" width="10.85546875" style="3" customWidth="1"/>
    <col min="16054" max="16054" width="15.28515625" style="3" customWidth="1"/>
    <col min="16055" max="16055" width="10" style="3" customWidth="1"/>
    <col min="16056" max="16384" width="9.140625" style="3"/>
  </cols>
  <sheetData>
    <row r="1" spans="1:18" x14ac:dyDescent="0.25">
      <c r="M1" s="91" t="s">
        <v>118</v>
      </c>
      <c r="N1" s="91"/>
    </row>
    <row r="2" spans="1:18" ht="21.75" customHeight="1" x14ac:dyDescent="0.25">
      <c r="A2" s="92" t="s">
        <v>119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8" ht="69.75" customHeight="1" x14ac:dyDescent="0.25">
      <c r="A3" s="93" t="s">
        <v>163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8" x14ac:dyDescent="0.25">
      <c r="B4" s="92" t="s">
        <v>120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8" ht="34.5" customHeight="1" x14ac:dyDescent="0.25">
      <c r="A5" s="88" t="s">
        <v>121</v>
      </c>
      <c r="B5" s="95" t="s">
        <v>122</v>
      </c>
      <c r="C5" s="96"/>
      <c r="D5" s="96"/>
      <c r="E5" s="95" t="s">
        <v>123</v>
      </c>
      <c r="F5" s="96"/>
      <c r="G5" s="96"/>
      <c r="H5" s="95" t="s">
        <v>124</v>
      </c>
      <c r="I5" s="96"/>
      <c r="J5" s="96"/>
      <c r="K5" s="97" t="s">
        <v>125</v>
      </c>
      <c r="L5" s="98"/>
      <c r="M5" s="98"/>
      <c r="N5" s="99" t="s">
        <v>126</v>
      </c>
      <c r="O5" s="87" t="s">
        <v>126</v>
      </c>
      <c r="P5" s="87"/>
      <c r="Q5" s="87"/>
    </row>
    <row r="6" spans="1:18" ht="61.5" customHeight="1" x14ac:dyDescent="0.25">
      <c r="A6" s="94"/>
      <c r="B6" s="88" t="s">
        <v>127</v>
      </c>
      <c r="C6" s="88" t="s">
        <v>29</v>
      </c>
      <c r="D6" s="88" t="s">
        <v>40</v>
      </c>
      <c r="E6" s="88" t="s">
        <v>127</v>
      </c>
      <c r="F6" s="88" t="s">
        <v>29</v>
      </c>
      <c r="G6" s="88" t="s">
        <v>40</v>
      </c>
      <c r="H6" s="88" t="s">
        <v>127</v>
      </c>
      <c r="I6" s="88" t="s">
        <v>29</v>
      </c>
      <c r="J6" s="88" t="s">
        <v>40</v>
      </c>
      <c r="K6" s="88" t="s">
        <v>127</v>
      </c>
      <c r="L6" s="88" t="s">
        <v>29</v>
      </c>
      <c r="M6" s="88" t="s">
        <v>40</v>
      </c>
      <c r="N6" s="100"/>
      <c r="O6" s="87"/>
      <c r="P6" s="87"/>
      <c r="Q6" s="87"/>
    </row>
    <row r="7" spans="1:18" ht="81.75" customHeight="1" x14ac:dyDescent="0.25">
      <c r="A7" s="94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101"/>
      <c r="O7" s="17" t="s">
        <v>128</v>
      </c>
      <c r="P7" s="17" t="s">
        <v>129</v>
      </c>
      <c r="Q7" s="17" t="s">
        <v>130</v>
      </c>
    </row>
    <row r="8" spans="1:18" s="5" customFormat="1" ht="18.75" customHeight="1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18"/>
      <c r="P8" s="18"/>
      <c r="Q8" s="18"/>
    </row>
    <row r="9" spans="1:18" s="7" customFormat="1" ht="28.5" x14ac:dyDescent="0.2">
      <c r="A9" s="6" t="s">
        <v>131</v>
      </c>
      <c r="B9" s="51">
        <f>B10+B11</f>
        <v>3220.93</v>
      </c>
      <c r="C9" s="51">
        <f t="shared" ref="C9:M9" si="0">C10+C11</f>
        <v>12234.757</v>
      </c>
      <c r="D9" s="51">
        <f t="shared" si="0"/>
        <v>591.23699999999997</v>
      </c>
      <c r="E9" s="51">
        <f t="shared" si="0"/>
        <v>3193.165</v>
      </c>
      <c r="F9" s="51">
        <f t="shared" si="0"/>
        <v>12596.806</v>
      </c>
      <c r="G9" s="51">
        <f t="shared" si="0"/>
        <v>1033.501</v>
      </c>
      <c r="H9" s="51">
        <f t="shared" si="0"/>
        <v>3220.93</v>
      </c>
      <c r="I9" s="51">
        <f>I10+I11</f>
        <v>16355.066000000001</v>
      </c>
      <c r="J9" s="51">
        <f t="shared" si="0"/>
        <v>1184.087</v>
      </c>
      <c r="K9" s="51">
        <f t="shared" si="0"/>
        <v>3159.9780000000001</v>
      </c>
      <c r="L9" s="51">
        <f>L10+L11</f>
        <v>13725</v>
      </c>
      <c r="M9" s="51">
        <f t="shared" si="0"/>
        <v>898.62</v>
      </c>
      <c r="N9" s="51">
        <f>SUM(B9:M9)</f>
        <v>71414.077000000005</v>
      </c>
      <c r="O9" s="51">
        <f t="shared" ref="O9:P10" si="1">B9+E9+H9+K9</f>
        <v>12795.003000000001</v>
      </c>
      <c r="P9" s="51">
        <f>C9+F9+I9+L9</f>
        <v>54911.629000000001</v>
      </c>
      <c r="Q9" s="51">
        <f>D9+G9+J9+M9</f>
        <v>3707.4450000000002</v>
      </c>
      <c r="R9" s="19"/>
    </row>
    <row r="10" spans="1:18" x14ac:dyDescent="0.25">
      <c r="A10" s="63" t="s">
        <v>132</v>
      </c>
      <c r="B10" s="52">
        <f>2592.272+50</f>
        <v>2642.2719999999999</v>
      </c>
      <c r="C10" s="52">
        <f>3778.489+6250</f>
        <v>10028.489</v>
      </c>
      <c r="D10" s="52">
        <f>227.947+257.071</f>
        <v>485.01799999999997</v>
      </c>
      <c r="E10" s="52">
        <f>2592.272+27.215</f>
        <v>2619.4870000000001</v>
      </c>
      <c r="F10" s="52">
        <f>250+10075.251</f>
        <v>10325.251</v>
      </c>
      <c r="G10" s="52">
        <f>398.458+449.369</f>
        <v>847.827</v>
      </c>
      <c r="H10" s="52">
        <f>2592.272+50</f>
        <v>2642.2719999999999</v>
      </c>
      <c r="I10" s="52">
        <f>250+11152.623+2000</f>
        <v>13402.623</v>
      </c>
      <c r="J10" s="52">
        <f>456.515+514.844</f>
        <v>971.35900000000004</v>
      </c>
      <c r="K10" s="52">
        <v>2592.2710000000002</v>
      </c>
      <c r="L10" s="52">
        <f>250+11000</f>
        <v>11250</v>
      </c>
      <c r="M10" s="52">
        <f>346.455+390.723</f>
        <v>737.178</v>
      </c>
      <c r="N10" s="52">
        <f>SUM(B10:M10)</f>
        <v>58544.046999999999</v>
      </c>
      <c r="O10" s="53">
        <f>B10+E10+H10+K10</f>
        <v>10496.302</v>
      </c>
      <c r="P10" s="53">
        <f t="shared" si="1"/>
        <v>45006.362999999998</v>
      </c>
      <c r="Q10" s="53">
        <f>D10+G10+J10+M10</f>
        <v>3041.3820000000001</v>
      </c>
    </row>
    <row r="11" spans="1:18" ht="30" x14ac:dyDescent="0.25">
      <c r="A11" s="63" t="s">
        <v>147</v>
      </c>
      <c r="B11" s="52">
        <f>B10*21.9%</f>
        <v>578.65800000000002</v>
      </c>
      <c r="C11" s="52">
        <f>C10*22%</f>
        <v>2206.268</v>
      </c>
      <c r="D11" s="52">
        <f t="shared" ref="D11:M11" si="2">D10*21.9%</f>
        <v>106.21899999999999</v>
      </c>
      <c r="E11" s="52">
        <f>E10*21.9%+0.01</f>
        <v>573.678</v>
      </c>
      <c r="F11" s="52">
        <f>F10*22%</f>
        <v>2271.5549999999998</v>
      </c>
      <c r="G11" s="52">
        <f t="shared" si="2"/>
        <v>185.67400000000001</v>
      </c>
      <c r="H11" s="52">
        <f t="shared" si="2"/>
        <v>578.65800000000002</v>
      </c>
      <c r="I11" s="52">
        <f>I10*22%+3.866</f>
        <v>2952.4430000000002</v>
      </c>
      <c r="J11" s="52">
        <f t="shared" si="2"/>
        <v>212.72800000000001</v>
      </c>
      <c r="K11" s="52">
        <f t="shared" si="2"/>
        <v>567.70699999999999</v>
      </c>
      <c r="L11" s="52">
        <f>L10*22%</f>
        <v>2475</v>
      </c>
      <c r="M11" s="52">
        <f t="shared" si="2"/>
        <v>161.44200000000001</v>
      </c>
      <c r="N11" s="52">
        <f>SUM(B11:M11)</f>
        <v>12870.03</v>
      </c>
      <c r="O11" s="52">
        <f>B11+E11+H11+K11</f>
        <v>2298.701</v>
      </c>
      <c r="P11" s="52">
        <f t="shared" ref="P11:Q12" si="3">C11+F11+I11+L11</f>
        <v>9905.2659999999996</v>
      </c>
      <c r="Q11" s="52">
        <f t="shared" si="3"/>
        <v>666.06299999999999</v>
      </c>
    </row>
    <row r="12" spans="1:18" s="7" customFormat="1" ht="14.25" x14ac:dyDescent="0.2">
      <c r="A12" s="6" t="s">
        <v>61</v>
      </c>
      <c r="B12" s="51">
        <f>B13+B14+B15+B16+B17</f>
        <v>2903.0770000000002</v>
      </c>
      <c r="C12" s="51">
        <f>C13+C14+C15+C16+C17</f>
        <v>2675.866</v>
      </c>
      <c r="D12" s="51">
        <f>D13+D14+D15+D16+D17</f>
        <v>1234.087</v>
      </c>
      <c r="E12" s="51">
        <f>E13+E14+E15+E16+E17</f>
        <v>3528.5729999999999</v>
      </c>
      <c r="F12" s="51">
        <f t="shared" ref="F12:L12" si="4">F13+F14+F15+F16+F17</f>
        <v>3029.6619999999998</v>
      </c>
      <c r="G12" s="51">
        <f t="shared" si="4"/>
        <v>1007.333</v>
      </c>
      <c r="H12" s="51">
        <f t="shared" si="4"/>
        <v>2977.145</v>
      </c>
      <c r="I12" s="51">
        <f t="shared" si="4"/>
        <v>2606.6039999999998</v>
      </c>
      <c r="J12" s="51">
        <f t="shared" si="4"/>
        <v>947.40499999999997</v>
      </c>
      <c r="K12" s="51">
        <f t="shared" si="4"/>
        <v>2516.4540000000002</v>
      </c>
      <c r="L12" s="51">
        <f t="shared" si="4"/>
        <v>2403.7620000000002</v>
      </c>
      <c r="M12" s="51">
        <f>M13+M14+M15+M16+M17</f>
        <v>1428.4680000000001</v>
      </c>
      <c r="N12" s="51">
        <f t="shared" ref="N12:N23" si="5">SUM(B12:M12)</f>
        <v>27258.436000000002</v>
      </c>
      <c r="O12" s="54">
        <f>B12+E12+H12+K12</f>
        <v>11925.249</v>
      </c>
      <c r="P12" s="54">
        <f t="shared" si="3"/>
        <v>10715.894</v>
      </c>
      <c r="Q12" s="54">
        <f t="shared" ref="Q12:Q17" si="6">D12+G12+J12+M12</f>
        <v>4617.2929999999997</v>
      </c>
      <c r="R12" s="19"/>
    </row>
    <row r="13" spans="1:18" ht="36.75" customHeight="1" x14ac:dyDescent="0.25">
      <c r="A13" s="63" t="s">
        <v>146</v>
      </c>
      <c r="B13" s="52">
        <f>300+0.001</f>
        <v>300.00099999999998</v>
      </c>
      <c r="C13" s="52">
        <v>475.25799999999998</v>
      </c>
      <c r="D13" s="52">
        <v>105</v>
      </c>
      <c r="E13" s="52">
        <f>250+43.741</f>
        <v>293.74099999999999</v>
      </c>
      <c r="F13" s="52">
        <v>515.62599999999998</v>
      </c>
      <c r="G13" s="52">
        <v>53.65</v>
      </c>
      <c r="H13" s="52">
        <v>250.41800000000001</v>
      </c>
      <c r="I13" s="52">
        <v>522.303</v>
      </c>
      <c r="J13" s="52">
        <v>80</v>
      </c>
      <c r="K13" s="52">
        <v>200</v>
      </c>
      <c r="L13" s="52">
        <v>465.77</v>
      </c>
      <c r="M13" s="52">
        <v>83.971999999999994</v>
      </c>
      <c r="N13" s="52">
        <f>SUM(B13:M13)</f>
        <v>3345.739</v>
      </c>
      <c r="O13" s="52">
        <f>B13+E13+H13+K13</f>
        <v>1044.1600000000001</v>
      </c>
      <c r="P13" s="52">
        <f>C13+F13+I13+L13</f>
        <v>1978.9570000000001</v>
      </c>
      <c r="Q13" s="52">
        <f t="shared" si="6"/>
        <v>322.62200000000001</v>
      </c>
      <c r="R13" s="19"/>
    </row>
    <row r="14" spans="1:18" ht="30" x14ac:dyDescent="0.25">
      <c r="A14" s="63" t="s">
        <v>145</v>
      </c>
      <c r="B14" s="52">
        <v>150</v>
      </c>
      <c r="C14" s="52">
        <f>2151.559-500-250</f>
        <v>1401.559</v>
      </c>
      <c r="D14" s="52">
        <f>11.517+1100.94-257.071-56.299</f>
        <v>799.08699999999999</v>
      </c>
      <c r="E14" s="52">
        <f>150+484.832</f>
        <v>634.83199999999999</v>
      </c>
      <c r="F14" s="52">
        <f>1813.991-0.858</f>
        <v>1813.133</v>
      </c>
      <c r="G14" s="52">
        <f>1060-449.369-98.412</f>
        <v>512.21900000000005</v>
      </c>
      <c r="H14" s="52">
        <v>150</v>
      </c>
      <c r="I14" s="52">
        <f>2484.136-1000</f>
        <v>1484.136</v>
      </c>
      <c r="J14" s="52">
        <f>1060-514.844-112.751</f>
        <v>432.40499999999997</v>
      </c>
      <c r="K14" s="52">
        <v>116.45399999999999</v>
      </c>
      <c r="L14" s="52">
        <f>2437.992-1000</f>
        <v>1437.992</v>
      </c>
      <c r="M14" s="52">
        <f>1360-390.723-85.568</f>
        <v>883.70899999999995</v>
      </c>
      <c r="N14" s="52">
        <f t="shared" ref="N14:N17" si="7">SUM(B14:M14)</f>
        <v>9815.5259999999998</v>
      </c>
      <c r="O14" s="52">
        <f>B14+E14+H14+K14</f>
        <v>1051.2860000000001</v>
      </c>
      <c r="P14" s="52">
        <f t="shared" ref="P14:P16" si="8">C14+F14+I14+L14</f>
        <v>6136.82</v>
      </c>
      <c r="Q14" s="52">
        <f t="shared" si="6"/>
        <v>2627.42</v>
      </c>
      <c r="R14" s="19"/>
    </row>
    <row r="15" spans="1:18" ht="20.25" customHeight="1" x14ac:dyDescent="0.25">
      <c r="A15" s="63" t="s">
        <v>133</v>
      </c>
      <c r="B15" s="52">
        <f>753.133-0.057</f>
        <v>753.07600000000002</v>
      </c>
      <c r="C15" s="52"/>
      <c r="D15" s="52">
        <v>130</v>
      </c>
      <c r="E15" s="52">
        <v>800</v>
      </c>
      <c r="F15" s="52"/>
      <c r="G15" s="52">
        <v>120.464</v>
      </c>
      <c r="H15" s="52">
        <v>907.66</v>
      </c>
      <c r="I15" s="52"/>
      <c r="J15" s="52">
        <v>120</v>
      </c>
      <c r="K15" s="52">
        <v>500</v>
      </c>
      <c r="L15" s="52"/>
      <c r="M15" s="52">
        <v>130</v>
      </c>
      <c r="N15" s="52">
        <f t="shared" si="7"/>
        <v>3461.2</v>
      </c>
      <c r="O15" s="52">
        <f t="shared" ref="O15:O17" si="9">B15+E15+H15+K15</f>
        <v>2960.7359999999999</v>
      </c>
      <c r="P15" s="52">
        <f t="shared" si="8"/>
        <v>0</v>
      </c>
      <c r="Q15" s="52">
        <f t="shared" si="6"/>
        <v>500.464</v>
      </c>
      <c r="R15" s="19"/>
    </row>
    <row r="16" spans="1:18" ht="34.9" customHeight="1" x14ac:dyDescent="0.25">
      <c r="A16" s="63" t="s">
        <v>148</v>
      </c>
      <c r="B16" s="52"/>
      <c r="C16" s="52">
        <v>799.04899999999998</v>
      </c>
      <c r="D16" s="52">
        <v>100</v>
      </c>
      <c r="E16" s="52"/>
      <c r="F16" s="52">
        <v>700.90300000000002</v>
      </c>
      <c r="G16" s="52">
        <v>221</v>
      </c>
      <c r="H16" s="52"/>
      <c r="I16" s="52">
        <v>600.16499999999996</v>
      </c>
      <c r="J16" s="52">
        <v>215</v>
      </c>
      <c r="K16" s="52"/>
      <c r="L16" s="52">
        <v>500</v>
      </c>
      <c r="M16" s="52">
        <v>230.78700000000001</v>
      </c>
      <c r="N16" s="52">
        <f t="shared" si="7"/>
        <v>3366.904</v>
      </c>
      <c r="O16" s="52">
        <f t="shared" si="9"/>
        <v>0</v>
      </c>
      <c r="P16" s="52">
        <f t="shared" si="8"/>
        <v>2600.1170000000002</v>
      </c>
      <c r="Q16" s="55">
        <f t="shared" si="6"/>
        <v>766.78700000000003</v>
      </c>
      <c r="R16" s="19"/>
    </row>
    <row r="17" spans="1:18" s="32" customFormat="1" ht="30.6" customHeight="1" x14ac:dyDescent="0.25">
      <c r="A17" s="63" t="s">
        <v>144</v>
      </c>
      <c r="B17" s="52">
        <v>1700</v>
      </c>
      <c r="C17" s="52"/>
      <c r="D17" s="52">
        <v>100</v>
      </c>
      <c r="E17" s="52">
        <v>1800</v>
      </c>
      <c r="F17" s="52"/>
      <c r="G17" s="52">
        <v>100</v>
      </c>
      <c r="H17" s="52">
        <v>1669.067</v>
      </c>
      <c r="I17" s="52"/>
      <c r="J17" s="52">
        <v>100</v>
      </c>
      <c r="K17" s="52">
        <v>1700</v>
      </c>
      <c r="L17" s="52"/>
      <c r="M17" s="52">
        <v>100</v>
      </c>
      <c r="N17" s="52">
        <f t="shared" si="7"/>
        <v>7269.067</v>
      </c>
      <c r="O17" s="52">
        <f t="shared" si="9"/>
        <v>6869.067</v>
      </c>
      <c r="P17" s="52">
        <f>C17+F17+I17+L17</f>
        <v>0</v>
      </c>
      <c r="Q17" s="52">
        <f t="shared" si="6"/>
        <v>400</v>
      </c>
      <c r="R17" s="19"/>
    </row>
    <row r="18" spans="1:18" s="34" customFormat="1" ht="42.75" x14ac:dyDescent="0.2">
      <c r="A18" s="6" t="s">
        <v>134</v>
      </c>
      <c r="B18" s="51">
        <f>B20+B19+B23</f>
        <v>68</v>
      </c>
      <c r="C18" s="51">
        <f>C20+C19</f>
        <v>43.722000000000001</v>
      </c>
      <c r="D18" s="51">
        <f>D20+D19+D21</f>
        <v>5</v>
      </c>
      <c r="E18" s="51">
        <f>E20+E19+E23</f>
        <v>69.045000000000002</v>
      </c>
      <c r="F18" s="51">
        <f>F20+F19+F23</f>
        <v>43.701999999999998</v>
      </c>
      <c r="G18" s="51">
        <f>G21</f>
        <v>5</v>
      </c>
      <c r="H18" s="51">
        <f>H20+H19</f>
        <v>70</v>
      </c>
      <c r="I18" s="51">
        <f>I20+I19</f>
        <v>43.722000000000001</v>
      </c>
      <c r="J18" s="51">
        <f>J21</f>
        <v>5</v>
      </c>
      <c r="K18" s="51">
        <f>K20+K19</f>
        <v>68</v>
      </c>
      <c r="L18" s="51">
        <f>L20+L19</f>
        <v>43.722000000000001</v>
      </c>
      <c r="M18" s="51">
        <f>M21</f>
        <v>5</v>
      </c>
      <c r="N18" s="51">
        <f>SUM(B18:M18)</f>
        <v>469.91300000000001</v>
      </c>
      <c r="O18" s="51">
        <f>B18+E18+H18+K18</f>
        <v>275.04500000000002</v>
      </c>
      <c r="P18" s="51">
        <f>C18+F18+I18+L18</f>
        <v>174.86799999999999</v>
      </c>
      <c r="Q18" s="51">
        <f>D18+G18+J18+M18</f>
        <v>20</v>
      </c>
      <c r="R18" s="19"/>
    </row>
    <row r="19" spans="1:18" s="33" customFormat="1" ht="15" hidden="1" customHeight="1" x14ac:dyDescent="0.25">
      <c r="A19" s="64" t="s">
        <v>135</v>
      </c>
      <c r="B19" s="56">
        <v>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>
        <f t="shared" si="5"/>
        <v>0</v>
      </c>
      <c r="O19" s="57">
        <f t="shared" ref="O19:P26" si="10">B19+E19+H19+K19</f>
        <v>0</v>
      </c>
      <c r="P19" s="58">
        <f t="shared" si="10"/>
        <v>0</v>
      </c>
      <c r="Q19" s="52">
        <f t="shared" ref="Q19:Q23" si="11">D19+G19+J19+M19</f>
        <v>0</v>
      </c>
      <c r="R19" s="19"/>
    </row>
    <row r="20" spans="1:18" s="31" customFormat="1" ht="23.25" customHeight="1" x14ac:dyDescent="0.25">
      <c r="A20" s="8" t="s">
        <v>136</v>
      </c>
      <c r="B20" s="59">
        <v>68</v>
      </c>
      <c r="C20" s="59">
        <v>43.722000000000001</v>
      </c>
      <c r="D20" s="59">
        <v>0</v>
      </c>
      <c r="E20" s="59">
        <v>69.045000000000002</v>
      </c>
      <c r="F20" s="59">
        <v>43.701999999999998</v>
      </c>
      <c r="G20" s="59">
        <v>0</v>
      </c>
      <c r="H20" s="59">
        <v>70</v>
      </c>
      <c r="I20" s="59">
        <v>43.722000000000001</v>
      </c>
      <c r="J20" s="59">
        <v>0</v>
      </c>
      <c r="K20" s="59">
        <v>68</v>
      </c>
      <c r="L20" s="59">
        <v>43.722000000000001</v>
      </c>
      <c r="M20" s="59">
        <v>0</v>
      </c>
      <c r="N20" s="59">
        <f>SUM(B20:M20)</f>
        <v>449.91300000000001</v>
      </c>
      <c r="O20" s="52">
        <f>B20+E20+H20+K20</f>
        <v>275.04500000000002</v>
      </c>
      <c r="P20" s="51">
        <f t="shared" si="10"/>
        <v>174.86799999999999</v>
      </c>
      <c r="Q20" s="51">
        <f>D20+G20+J20+M20</f>
        <v>0</v>
      </c>
      <c r="R20" s="69"/>
    </row>
    <row r="21" spans="1:18" s="31" customFormat="1" ht="20.25" customHeight="1" x14ac:dyDescent="0.25">
      <c r="A21" s="8" t="s">
        <v>155</v>
      </c>
      <c r="B21" s="59"/>
      <c r="C21" s="59"/>
      <c r="D21" s="59">
        <v>5</v>
      </c>
      <c r="E21" s="59"/>
      <c r="F21" s="59"/>
      <c r="G21" s="59">
        <v>5</v>
      </c>
      <c r="H21" s="59"/>
      <c r="I21" s="59"/>
      <c r="J21" s="59">
        <v>5</v>
      </c>
      <c r="K21" s="59"/>
      <c r="L21" s="59"/>
      <c r="M21" s="59">
        <v>5</v>
      </c>
      <c r="N21" s="59">
        <f t="shared" ref="N21:N22" si="12">SUM(B21:M21)</f>
        <v>20</v>
      </c>
      <c r="O21" s="52"/>
      <c r="P21" s="51"/>
      <c r="Q21" s="52">
        <f t="shared" si="11"/>
        <v>20</v>
      </c>
      <c r="R21" s="19"/>
    </row>
    <row r="22" spans="1:18" s="32" customFormat="1" ht="47.25" customHeight="1" x14ac:dyDescent="0.25">
      <c r="A22" s="63" t="s">
        <v>156</v>
      </c>
      <c r="B22" s="52">
        <v>68</v>
      </c>
      <c r="C22" s="52">
        <v>43.722000000000001</v>
      </c>
      <c r="D22" s="52"/>
      <c r="E22" s="52">
        <v>69.045000000000002</v>
      </c>
      <c r="F22" s="52">
        <v>43.701999999999998</v>
      </c>
      <c r="G22" s="52"/>
      <c r="H22" s="52">
        <v>70</v>
      </c>
      <c r="I22" s="52">
        <v>43.722000000000001</v>
      </c>
      <c r="J22" s="52"/>
      <c r="K22" s="52">
        <v>68</v>
      </c>
      <c r="L22" s="52">
        <v>43.722000000000001</v>
      </c>
      <c r="M22" s="52"/>
      <c r="N22" s="59">
        <f t="shared" si="12"/>
        <v>449.91300000000001</v>
      </c>
      <c r="O22" s="52">
        <f>B22+E22+H22+K22</f>
        <v>275.04500000000002</v>
      </c>
      <c r="P22" s="51">
        <f t="shared" si="10"/>
        <v>174.86799999999999</v>
      </c>
      <c r="Q22" s="52">
        <f t="shared" si="11"/>
        <v>0</v>
      </c>
      <c r="R22" s="19"/>
    </row>
    <row r="23" spans="1:18" ht="19.5" customHeight="1" x14ac:dyDescent="0.25">
      <c r="A23" s="6" t="s">
        <v>137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>
        <f t="shared" si="5"/>
        <v>0</v>
      </c>
      <c r="O23" s="52">
        <f t="shared" si="10"/>
        <v>0</v>
      </c>
      <c r="P23" s="51">
        <f t="shared" si="10"/>
        <v>0</v>
      </c>
      <c r="Q23" s="52">
        <f t="shared" si="11"/>
        <v>0</v>
      </c>
      <c r="R23" s="19"/>
    </row>
    <row r="24" spans="1:18" s="9" customFormat="1" ht="33" customHeight="1" x14ac:dyDescent="0.25">
      <c r="A24" s="6" t="s">
        <v>138</v>
      </c>
      <c r="B24" s="51">
        <f>B26+B25</f>
        <v>0</v>
      </c>
      <c r="C24" s="51">
        <f>C25</f>
        <v>0</v>
      </c>
      <c r="D24" s="51">
        <f t="shared" ref="D24:G24" si="13">D25</f>
        <v>0</v>
      </c>
      <c r="E24" s="51">
        <f>E25+E26</f>
        <v>2974.8389999999999</v>
      </c>
      <c r="F24" s="51">
        <f t="shared" si="13"/>
        <v>0</v>
      </c>
      <c r="G24" s="51">
        <f t="shared" si="13"/>
        <v>0</v>
      </c>
      <c r="H24" s="51">
        <f>H25</f>
        <v>0</v>
      </c>
      <c r="I24" s="51">
        <f t="shared" ref="I24:M24" si="14">I25</f>
        <v>0</v>
      </c>
      <c r="J24" s="51">
        <f t="shared" si="14"/>
        <v>46.35</v>
      </c>
      <c r="K24" s="51">
        <f t="shared" si="14"/>
        <v>0</v>
      </c>
      <c r="L24" s="51">
        <f t="shared" si="14"/>
        <v>0</v>
      </c>
      <c r="M24" s="51">
        <f t="shared" si="14"/>
        <v>0</v>
      </c>
      <c r="N24" s="51">
        <f>N25+N26</f>
        <v>3021.1889999999999</v>
      </c>
      <c r="O24" s="52">
        <f>B24+E24+H24+K24</f>
        <v>2974.8389999999999</v>
      </c>
      <c r="P24" s="51">
        <f>P25</f>
        <v>0</v>
      </c>
      <c r="Q24" s="51">
        <f>D24+G24+J24+M24</f>
        <v>46.35</v>
      </c>
      <c r="R24" s="19"/>
    </row>
    <row r="25" spans="1:18" s="9" customFormat="1" ht="50.25" customHeight="1" x14ac:dyDescent="0.25">
      <c r="A25" s="8" t="s">
        <v>139</v>
      </c>
      <c r="B25" s="52">
        <v>0</v>
      </c>
      <c r="C25" s="52">
        <v>0</v>
      </c>
      <c r="D25" s="59"/>
      <c r="E25" s="59">
        <v>954.73299999999995</v>
      </c>
      <c r="F25" s="59"/>
      <c r="G25" s="59"/>
      <c r="H25" s="59"/>
      <c r="I25" s="59"/>
      <c r="J25" s="59">
        <v>46.35</v>
      </c>
      <c r="K25" s="59"/>
      <c r="L25" s="59">
        <v>0</v>
      </c>
      <c r="M25" s="59"/>
      <c r="N25" s="51">
        <f>SUM(B25:M25)</f>
        <v>1001.083</v>
      </c>
      <c r="O25" s="52">
        <f t="shared" si="10"/>
        <v>954.73299999999995</v>
      </c>
      <c r="P25" s="51">
        <f>C25+F25+I25+L25</f>
        <v>0</v>
      </c>
      <c r="Q25" s="61">
        <f>D25+G25+J25+M25</f>
        <v>46.35</v>
      </c>
      <c r="R25" s="19"/>
    </row>
    <row r="26" spans="1:18" s="9" customFormat="1" ht="25.5" customHeight="1" x14ac:dyDescent="0.25">
      <c r="A26" s="8" t="s">
        <v>140</v>
      </c>
      <c r="B26" s="14"/>
      <c r="C26" s="59"/>
      <c r="D26" s="59"/>
      <c r="E26" s="59">
        <v>2020.106</v>
      </c>
      <c r="F26" s="59"/>
      <c r="G26" s="59"/>
      <c r="H26" s="59"/>
      <c r="I26" s="59"/>
      <c r="J26" s="59"/>
      <c r="K26" s="59"/>
      <c r="L26" s="59"/>
      <c r="M26" s="59"/>
      <c r="N26" s="62">
        <f>SUM(B26:M26)</f>
        <v>2020.106</v>
      </c>
      <c r="O26" s="52">
        <f>E26+B26+H26+K26</f>
        <v>2020.106</v>
      </c>
      <c r="P26" s="51">
        <f t="shared" si="10"/>
        <v>0</v>
      </c>
      <c r="Q26" s="60"/>
      <c r="R26" s="19"/>
    </row>
    <row r="27" spans="1:18" ht="33" customHeight="1" x14ac:dyDescent="0.25">
      <c r="A27" s="6" t="s">
        <v>141</v>
      </c>
      <c r="B27" s="51">
        <f>B9+B12+B18+B24</f>
        <v>6192.0069999999996</v>
      </c>
      <c r="C27" s="51">
        <f t="shared" ref="C27:M27" si="15">C9+C12+C18+C24</f>
        <v>14954.344999999999</v>
      </c>
      <c r="D27" s="51">
        <f t="shared" si="15"/>
        <v>1830.3240000000001</v>
      </c>
      <c r="E27" s="51">
        <f>E9+E12+E18+E24</f>
        <v>9765.6219999999994</v>
      </c>
      <c r="F27" s="51">
        <f t="shared" si="15"/>
        <v>15670.17</v>
      </c>
      <c r="G27" s="51">
        <f>G9+G12+G18+G24</f>
        <v>2045.8340000000001</v>
      </c>
      <c r="H27" s="51">
        <f t="shared" si="15"/>
        <v>6268.0749999999998</v>
      </c>
      <c r="I27" s="51">
        <f>I9+I12+I18+I232</f>
        <v>19005.392</v>
      </c>
      <c r="J27" s="51">
        <f t="shared" si="15"/>
        <v>2182.8420000000001</v>
      </c>
      <c r="K27" s="51">
        <f t="shared" si="15"/>
        <v>5744.4319999999998</v>
      </c>
      <c r="L27" s="51">
        <f t="shared" si="15"/>
        <v>16172.484</v>
      </c>
      <c r="M27" s="51">
        <f t="shared" si="15"/>
        <v>2332.0880000000002</v>
      </c>
      <c r="N27" s="51">
        <f>N9+N12+N18+N24</f>
        <v>102163.61500000001</v>
      </c>
      <c r="O27" s="66">
        <f>O10+O11+O12+O22+O24</f>
        <v>27970.135999999999</v>
      </c>
      <c r="P27" s="66">
        <f>P10+P11+P12+P22+P24</f>
        <v>65802.391000000003</v>
      </c>
      <c r="Q27" s="51">
        <f>Q10+Q11+Q12+Q22+Q21+Q24</f>
        <v>8391.0879999999997</v>
      </c>
      <c r="R27" s="19"/>
    </row>
    <row r="28" spans="1:18" ht="36.7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0"/>
      <c r="O28" s="10"/>
      <c r="P28" s="10"/>
      <c r="Q28" s="10"/>
    </row>
    <row r="29" spans="1:18" ht="31.5" customHeight="1" x14ac:dyDescent="0.25">
      <c r="A29" s="90" t="s">
        <v>149</v>
      </c>
      <c r="B29" s="90"/>
      <c r="C29" s="12" t="s">
        <v>142</v>
      </c>
      <c r="D29" s="12"/>
      <c r="E29" s="13" t="s">
        <v>150</v>
      </c>
    </row>
    <row r="30" spans="1:18" x14ac:dyDescent="0.25">
      <c r="E30" s="14"/>
      <c r="F30" s="14"/>
      <c r="G30" s="14"/>
    </row>
    <row r="31" spans="1:18" x14ac:dyDescent="0.25">
      <c r="B31" s="15"/>
      <c r="H31" s="14"/>
      <c r="K31" s="14"/>
    </row>
    <row r="32" spans="1:18" x14ac:dyDescent="0.25">
      <c r="F32" s="14"/>
      <c r="H32" s="16"/>
      <c r="K32" s="16"/>
    </row>
  </sheetData>
  <mergeCells count="24">
    <mergeCell ref="A29:B29"/>
    <mergeCell ref="G6:G7"/>
    <mergeCell ref="M1:N1"/>
    <mergeCell ref="A2:N2"/>
    <mergeCell ref="A3:N3"/>
    <mergeCell ref="B4:N4"/>
    <mergeCell ref="A5:A7"/>
    <mergeCell ref="B5:D5"/>
    <mergeCell ref="E5:G5"/>
    <mergeCell ref="H5:J5"/>
    <mergeCell ref="K5:M5"/>
    <mergeCell ref="N5:N7"/>
    <mergeCell ref="B6:B7"/>
    <mergeCell ref="C6:C7"/>
    <mergeCell ref="D6:D7"/>
    <mergeCell ref="E6:E7"/>
    <mergeCell ref="O5:Q6"/>
    <mergeCell ref="F6:F7"/>
    <mergeCell ref="H6:H7"/>
    <mergeCell ref="I6:I7"/>
    <mergeCell ref="J6:J7"/>
    <mergeCell ref="K6:K7"/>
    <mergeCell ref="L6:L7"/>
    <mergeCell ref="M6:M7"/>
  </mergeCells>
  <pageMargins left="0.70866141732283472" right="0.70866141732283472" top="0.19685039370078741" bottom="0.19685039370078741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фин.план</vt:lpstr>
      <vt:lpstr>обсяги витрат</vt:lpstr>
      <vt:lpstr>'обсяги витрат'!Область_печати</vt:lpstr>
      <vt:lpstr>фин.план!Область_печати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Admin</cp:lastModifiedBy>
  <cp:lastPrinted>2025-12-16T13:53:36Z</cp:lastPrinted>
  <dcterms:created xsi:type="dcterms:W3CDTF">2015-06-05T18:19:34Z</dcterms:created>
  <dcterms:modified xsi:type="dcterms:W3CDTF">2025-12-16T13:53:46Z</dcterms:modified>
</cp:coreProperties>
</file>