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B-1-FIN-OTDEL\share\БЮДЖЕТ 2025 рік\Рішення про бюджет 2025\7. Рішення №      -VIII від      12.2025р\Рішення від                2025 р №        -VIII\Рішення нова редакція (Олімп+Пальне+Матрезерв)\"/>
    </mc:Choice>
  </mc:AlternateContent>
  <xr:revisionPtr revIDLastSave="0" documentId="13_ncr:1_{2A401EFB-EC67-43ED-95B8-B4911B0AD4F6}" xr6:coauthVersionLast="47" xr6:coauthVersionMax="47" xr10:uidLastSave="{00000000-0000-0000-0000-000000000000}"/>
  <bookViews>
    <workbookView xWindow="-120" yWindow="-120" windowWidth="29040" windowHeight="15720" activeTab="6" xr2:uid="{00000000-000D-0000-FFFF-FFFF00000000}"/>
  </bookViews>
  <sheets>
    <sheet name="дод 1 Доходи" sheetId="21" r:id="rId1"/>
    <sheet name="дод 2 Джерела" sheetId="16" r:id="rId2"/>
    <sheet name="дод 3 Видатки" sheetId="19" r:id="rId3"/>
    <sheet name="дод 4 Трансферти" sheetId="20" r:id="rId4"/>
    <sheet name="дод 5 Програми" sheetId="11" r:id="rId5"/>
    <sheet name="дод 6 Бюдж розвитку" sheetId="17" r:id="rId6"/>
    <sheet name="дод 7 ФОНС " sheetId="22" r:id="rId7"/>
  </sheets>
  <externalReferences>
    <externalReference r:id="rId8"/>
  </externalReferences>
  <definedNames>
    <definedName name="_Hlk120021892" localSheetId="4">'дод 5 Програми'!$E$45</definedName>
    <definedName name="_Hlk125474567" localSheetId="4">'дод 5 Програми'!$E$42</definedName>
    <definedName name="_xlnm.Print_Titles" localSheetId="2">'дод 3 Видатки'!$18:$22</definedName>
    <definedName name="_xlnm.Print_Titles" localSheetId="4">'дод 5 Програми'!$21:$23</definedName>
    <definedName name="_xlnm.Print_Titles" localSheetId="5">'дод 6 Бюдж розвитку'!$21:$23</definedName>
    <definedName name="_xlnm.Print_Area" localSheetId="0">'дод 1 Доходи'!$A$1:$F$94</definedName>
    <definedName name="_xlnm.Print_Area" localSheetId="1">'дод 2 Джерела'!$A$1:$F$41</definedName>
    <definedName name="_xlnm.Print_Area" localSheetId="2">'дод 3 Видатки'!$A$1:$P$150</definedName>
    <definedName name="_xlnm.Print_Area" localSheetId="3">'дод 4 Трансферти'!$A$1:$D$84</definedName>
    <definedName name="_xlnm.Print_Area" localSheetId="4">'дод 5 Програми'!$A$1:$J$134</definedName>
    <definedName name="_xlnm.Print_Area" localSheetId="5">'дод 6 Бюдж розвитку'!$A$1:$K$118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03" i="11" l="1"/>
  <c r="F112" i="19"/>
  <c r="D27" i="16"/>
  <c r="H35" i="11"/>
  <c r="H112" i="19"/>
  <c r="H103" i="19" s="1"/>
  <c r="H45" i="19"/>
  <c r="F45" i="19"/>
  <c r="H44" i="19"/>
  <c r="F44" i="19"/>
  <c r="H34" i="19"/>
  <c r="F34" i="19"/>
  <c r="H25" i="19"/>
  <c r="H24" i="19" s="1"/>
  <c r="G25" i="19"/>
  <c r="F25" i="19"/>
  <c r="J53" i="17"/>
  <c r="J50" i="17" s="1"/>
  <c r="J49" i="17" s="1"/>
  <c r="J89" i="11"/>
  <c r="I89" i="11" s="1"/>
  <c r="H89" i="11"/>
  <c r="O87" i="19"/>
  <c r="O98" i="19"/>
  <c r="K98" i="19" s="1"/>
  <c r="F98" i="19"/>
  <c r="E29" i="16"/>
  <c r="D29" i="16"/>
  <c r="D26" i="16" s="1"/>
  <c r="H41" i="11"/>
  <c r="F27" i="16"/>
  <c r="F34" i="16" s="1"/>
  <c r="E27" i="16"/>
  <c r="E34" i="16" s="1"/>
  <c r="J32" i="17"/>
  <c r="H95" i="11"/>
  <c r="H42" i="11"/>
  <c r="J42" i="11"/>
  <c r="D77" i="20"/>
  <c r="D74" i="20"/>
  <c r="F106" i="19"/>
  <c r="O40" i="19"/>
  <c r="F40" i="19"/>
  <c r="D59" i="21"/>
  <c r="D58" i="21"/>
  <c r="D23" i="21"/>
  <c r="D53" i="21"/>
  <c r="D49" i="21"/>
  <c r="D48" i="21"/>
  <c r="D43" i="21"/>
  <c r="D41" i="21"/>
  <c r="D40" i="21"/>
  <c r="D39" i="21"/>
  <c r="D28" i="21"/>
  <c r="D27" i="21"/>
  <c r="D24" i="21"/>
  <c r="E45" i="21"/>
  <c r="I105" i="11"/>
  <c r="J35" i="17"/>
  <c r="O43" i="19"/>
  <c r="K43" i="19" s="1"/>
  <c r="F43" i="19"/>
  <c r="H73" i="11"/>
  <c r="H72" i="11"/>
  <c r="F154" i="19"/>
  <c r="H53" i="11"/>
  <c r="H51" i="11"/>
  <c r="H48" i="11"/>
  <c r="I114" i="11"/>
  <c r="I113" i="11"/>
  <c r="I112" i="11"/>
  <c r="I109" i="11"/>
  <c r="J109" i="11" s="1"/>
  <c r="I108" i="11"/>
  <c r="H26" i="11"/>
  <c r="I31" i="11"/>
  <c r="H101" i="11"/>
  <c r="H96" i="11"/>
  <c r="H91" i="11"/>
  <c r="H90" i="11"/>
  <c r="H88" i="11"/>
  <c r="H79" i="11" s="1"/>
  <c r="H52" i="11"/>
  <c r="H49" i="11"/>
  <c r="H38" i="11"/>
  <c r="D24" i="20"/>
  <c r="D46" i="20"/>
  <c r="D45" i="20" s="1"/>
  <c r="J94" i="17"/>
  <c r="K100" i="17"/>
  <c r="K99" i="17"/>
  <c r="K97" i="17"/>
  <c r="J85" i="17"/>
  <c r="J81" i="17"/>
  <c r="J61" i="17"/>
  <c r="J68" i="17"/>
  <c r="J66" i="17"/>
  <c r="J60" i="17"/>
  <c r="J38" i="17"/>
  <c r="J37" i="17"/>
  <c r="J36" i="17"/>
  <c r="J26" i="17"/>
  <c r="F27" i="22"/>
  <c r="O114" i="19"/>
  <c r="F28" i="22"/>
  <c r="F26" i="22"/>
  <c r="J34" i="17" l="1"/>
  <c r="J33" i="17"/>
  <c r="F25" i="22"/>
  <c r="F24" i="22" s="1"/>
  <c r="F23" i="22" s="1"/>
  <c r="F30" i="22" s="1"/>
  <c r="O124" i="19"/>
  <c r="O123" i="19"/>
  <c r="O122" i="19"/>
  <c r="O119" i="19"/>
  <c r="K117" i="19"/>
  <c r="O117" i="19"/>
  <c r="O51" i="19"/>
  <c r="K51" i="19" s="1"/>
  <c r="K45" i="19"/>
  <c r="O45" i="19"/>
  <c r="O44" i="19"/>
  <c r="O42" i="19" s="1"/>
  <c r="O27" i="19"/>
  <c r="G144" i="19"/>
  <c r="F144" i="19"/>
  <c r="G137" i="19"/>
  <c r="F137" i="19"/>
  <c r="G132" i="19"/>
  <c r="F132" i="19"/>
  <c r="G128" i="19"/>
  <c r="F128" i="19"/>
  <c r="G118" i="19"/>
  <c r="F118" i="19"/>
  <c r="F110" i="19"/>
  <c r="F107" i="19"/>
  <c r="F101" i="19"/>
  <c r="F100" i="19"/>
  <c r="G100" i="19"/>
  <c r="F97" i="19"/>
  <c r="G97" i="19"/>
  <c r="G93" i="19"/>
  <c r="F93" i="19"/>
  <c r="G92" i="19"/>
  <c r="F92" i="19"/>
  <c r="G91" i="19"/>
  <c r="F91" i="19"/>
  <c r="F94" i="19"/>
  <c r="G94" i="19"/>
  <c r="G89" i="19"/>
  <c r="F89" i="19"/>
  <c r="G88" i="19"/>
  <c r="F88" i="19"/>
  <c r="G84" i="19"/>
  <c r="F84" i="19"/>
  <c r="F80" i="19"/>
  <c r="G79" i="19"/>
  <c r="F79" i="19"/>
  <c r="G73" i="19"/>
  <c r="F73" i="19"/>
  <c r="G69" i="19"/>
  <c r="F69" i="19"/>
  <c r="F54" i="19"/>
  <c r="G54" i="19"/>
  <c r="F57" i="19"/>
  <c r="G57" i="19"/>
  <c r="F53" i="19"/>
  <c r="F52" i="19"/>
  <c r="G52" i="19"/>
  <c r="H51" i="19"/>
  <c r="F51" i="19"/>
  <c r="G51" i="19"/>
  <c r="G45" i="19"/>
  <c r="G44" i="19"/>
  <c r="G43" i="19"/>
  <c r="F37" i="19"/>
  <c r="E37" i="19" s="1"/>
  <c r="D69" i="21"/>
  <c r="D84" i="21"/>
  <c r="C84" i="21" s="1"/>
  <c r="D50" i="20"/>
  <c r="D49" i="20" s="1"/>
  <c r="J113" i="17"/>
  <c r="J112" i="17" s="1"/>
  <c r="J110" i="17"/>
  <c r="J109" i="17" s="1"/>
  <c r="J107" i="17"/>
  <c r="J106" i="17" s="1"/>
  <c r="J105" i="17"/>
  <c r="J104" i="17" s="1"/>
  <c r="J103" i="17" s="1"/>
  <c r="J102" i="17"/>
  <c r="H102" i="17"/>
  <c r="G102" i="17"/>
  <c r="J101" i="17"/>
  <c r="H101" i="17"/>
  <c r="G101" i="17"/>
  <c r="K94" i="17"/>
  <c r="I94" i="17"/>
  <c r="H91" i="17"/>
  <c r="I91" i="17" s="1"/>
  <c r="K85" i="17"/>
  <c r="J84" i="17"/>
  <c r="H82" i="17"/>
  <c r="H81" i="17"/>
  <c r="I81" i="17" s="1"/>
  <c r="J77" i="17"/>
  <c r="H77" i="17"/>
  <c r="I77" i="17" s="1"/>
  <c r="H74" i="17"/>
  <c r="G74" i="17"/>
  <c r="K70" i="17"/>
  <c r="I70" i="17"/>
  <c r="I67" i="17"/>
  <c r="K66" i="17"/>
  <c r="H64" i="17"/>
  <c r="H63" i="17" s="1"/>
  <c r="I63" i="17" s="1"/>
  <c r="J63" i="17"/>
  <c r="H62" i="17"/>
  <c r="H61" i="17"/>
  <c r="I61" i="17" s="1"/>
  <c r="K60" i="17"/>
  <c r="J55" i="17"/>
  <c r="J54" i="17" s="1"/>
  <c r="J47" i="17"/>
  <c r="J46" i="17" s="1"/>
  <c r="J45" i="17"/>
  <c r="J44" i="17"/>
  <c r="J31" i="17"/>
  <c r="J28" i="17"/>
  <c r="J27" i="17"/>
  <c r="K44" i="19" l="1"/>
  <c r="K42" i="19" s="1"/>
  <c r="J59" i="17"/>
  <c r="J58" i="17" s="1"/>
  <c r="J43" i="17"/>
  <c r="J42" i="17" s="1"/>
  <c r="J25" i="17"/>
  <c r="J24" i="17" s="1"/>
  <c r="K91" i="17"/>
  <c r="I101" i="17"/>
  <c r="K101" i="17"/>
  <c r="I102" i="17"/>
  <c r="I119" i="11"/>
  <c r="J119" i="11" s="1"/>
  <c r="I116" i="11"/>
  <c r="I115" i="11"/>
  <c r="I61" i="11"/>
  <c r="G61" i="11" s="1"/>
  <c r="I60" i="11"/>
  <c r="J41" i="11"/>
  <c r="J32" i="11"/>
  <c r="J34" i="11"/>
  <c r="H127" i="11"/>
  <c r="H102" i="11"/>
  <c r="H99" i="11"/>
  <c r="G99" i="11" s="1"/>
  <c r="H98" i="11"/>
  <c r="H62" i="11"/>
  <c r="G62" i="11" s="1"/>
  <c r="H37" i="11"/>
  <c r="H36" i="11"/>
  <c r="H34" i="11"/>
  <c r="H39" i="11"/>
  <c r="H33" i="11"/>
  <c r="H29" i="11"/>
  <c r="H30" i="11"/>
  <c r="D59" i="20"/>
  <c r="D58" i="20" s="1"/>
  <c r="D34" i="20"/>
  <c r="D26" i="20"/>
  <c r="D57" i="20"/>
  <c r="D56" i="20" s="1"/>
  <c r="D55" i="20"/>
  <c r="D54" i="20" s="1"/>
  <c r="D28" i="20"/>
  <c r="D27" i="20" s="1"/>
  <c r="D40" i="20"/>
  <c r="D52" i="20"/>
  <c r="D38" i="20"/>
  <c r="M153" i="19"/>
  <c r="M42" i="19"/>
  <c r="P152" i="19"/>
  <c r="K154" i="19"/>
  <c r="K136" i="19"/>
  <c r="J144" i="19"/>
  <c r="K144" i="19"/>
  <c r="O138" i="19"/>
  <c r="O136" i="19" s="1"/>
  <c r="J139" i="19"/>
  <c r="J140" i="19"/>
  <c r="O132" i="19"/>
  <c r="J132" i="19" s="1"/>
  <c r="K132" i="19"/>
  <c r="O129" i="19"/>
  <c r="J129" i="19" s="1"/>
  <c r="O125" i="19"/>
  <c r="K119" i="19"/>
  <c r="L64" i="19"/>
  <c r="J64" i="19" s="1"/>
  <c r="P64" i="19" s="1"/>
  <c r="J49" i="19"/>
  <c r="J50" i="19"/>
  <c r="J51" i="19"/>
  <c r="J52" i="19"/>
  <c r="J53" i="19"/>
  <c r="J54" i="19"/>
  <c r="J55" i="19"/>
  <c r="J56" i="19"/>
  <c r="J57" i="19"/>
  <c r="J58" i="19"/>
  <c r="J59" i="19"/>
  <c r="J60" i="19"/>
  <c r="J61" i="19"/>
  <c r="J62" i="19"/>
  <c r="J63" i="19"/>
  <c r="P63" i="19" s="1"/>
  <c r="J65" i="19"/>
  <c r="J66" i="19"/>
  <c r="J48" i="19"/>
  <c r="P48" i="19" s="1"/>
  <c r="J47" i="19"/>
  <c r="O28" i="19"/>
  <c r="G154" i="19"/>
  <c r="O30" i="19"/>
  <c r="F139" i="19"/>
  <c r="H118" i="19"/>
  <c r="F111" i="19"/>
  <c r="F109" i="19"/>
  <c r="H93" i="19"/>
  <c r="F76" i="19"/>
  <c r="F71" i="19"/>
  <c r="G78" i="19"/>
  <c r="F78" i="19"/>
  <c r="F49" i="19"/>
  <c r="E49" i="19" s="1"/>
  <c r="G56" i="19"/>
  <c r="F56" i="19"/>
  <c r="G47" i="19"/>
  <c r="F47" i="19"/>
  <c r="F50" i="19"/>
  <c r="F36" i="19"/>
  <c r="F35" i="19"/>
  <c r="F30" i="19"/>
  <c r="F38" i="19"/>
  <c r="F29" i="19"/>
  <c r="F27" i="19"/>
  <c r="D34" i="16"/>
  <c r="E26" i="16"/>
  <c r="E73" i="21"/>
  <c r="C73" i="21" s="1"/>
  <c r="D75" i="21"/>
  <c r="D72" i="21"/>
  <c r="F67" i="21"/>
  <c r="F66" i="21" s="1"/>
  <c r="E76" i="21"/>
  <c r="C76" i="21" s="1"/>
  <c r="E72" i="21"/>
  <c r="D71" i="21"/>
  <c r="C71" i="21" s="1"/>
  <c r="D81" i="21"/>
  <c r="D87" i="21"/>
  <c r="D80" i="21"/>
  <c r="D37" i="21"/>
  <c r="J115" i="17" l="1"/>
  <c r="D70" i="21"/>
  <c r="I47" i="11"/>
  <c r="J138" i="19"/>
  <c r="P138" i="19" s="1"/>
  <c r="D62" i="20"/>
  <c r="E70" i="21"/>
  <c r="E67" i="21" s="1"/>
  <c r="E66" i="21" s="1"/>
  <c r="C27" i="16"/>
  <c r="G60" i="11"/>
  <c r="P49" i="19"/>
  <c r="C72" i="21"/>
  <c r="J45" i="11" l="1"/>
  <c r="I45" i="11" s="1"/>
  <c r="H45" i="11"/>
  <c r="J44" i="11"/>
  <c r="I44" i="11" s="1"/>
  <c r="H44" i="11"/>
  <c r="J43" i="11"/>
  <c r="I43" i="11" s="1"/>
  <c r="H43" i="11"/>
  <c r="I42" i="11"/>
  <c r="J47" i="11"/>
  <c r="I110" i="11"/>
  <c r="G110" i="11" s="1"/>
  <c r="J108" i="11"/>
  <c r="H123" i="11"/>
  <c r="H104" i="11"/>
  <c r="G104" i="11" s="1"/>
  <c r="H70" i="11"/>
  <c r="G70" i="11" s="1"/>
  <c r="H67" i="11"/>
  <c r="H59" i="11"/>
  <c r="G59" i="11" s="1"/>
  <c r="H58" i="11"/>
  <c r="G58" i="11" s="1"/>
  <c r="D73" i="20"/>
  <c r="D36" i="20"/>
  <c r="D68" i="20"/>
  <c r="D69" i="20"/>
  <c r="H139" i="19"/>
  <c r="H93" i="11" l="1"/>
  <c r="G42" i="11"/>
  <c r="J110" i="11"/>
  <c r="G45" i="11"/>
  <c r="G44" i="11"/>
  <c r="G43" i="11"/>
  <c r="G108" i="11"/>
  <c r="O120" i="19"/>
  <c r="J117" i="19"/>
  <c r="O79" i="19"/>
  <c r="K79" i="19"/>
  <c r="K73" i="19"/>
  <c r="F134" i="19"/>
  <c r="F113" i="19"/>
  <c r="E113" i="19" s="1"/>
  <c r="P113" i="19" s="1"/>
  <c r="G104" i="19"/>
  <c r="F104" i="19"/>
  <c r="F70" i="19"/>
  <c r="O73" i="19"/>
  <c r="F62" i="19"/>
  <c r="E62" i="19" s="1"/>
  <c r="P62" i="19" s="1"/>
  <c r="F61" i="19"/>
  <c r="E61" i="19" s="1"/>
  <c r="P61" i="19" s="1"/>
  <c r="E60" i="19"/>
  <c r="H57" i="19"/>
  <c r="H54" i="19"/>
  <c r="H52" i="19"/>
  <c r="H43" i="19"/>
  <c r="E40" i="19"/>
  <c r="E34" i="19"/>
  <c r="P34" i="19" s="1"/>
  <c r="D78" i="21"/>
  <c r="D86" i="21"/>
  <c r="C86" i="21" l="1"/>
  <c r="D79" i="21"/>
  <c r="C79" i="21"/>
  <c r="P117" i="19"/>
  <c r="F103" i="19"/>
  <c r="G64" i="11" l="1"/>
  <c r="J38" i="11"/>
  <c r="I38" i="11"/>
  <c r="G123" i="11"/>
  <c r="H122" i="11"/>
  <c r="H121" i="11" s="1"/>
  <c r="G95" i="11"/>
  <c r="H63" i="11"/>
  <c r="D78" i="20"/>
  <c r="D47" i="20"/>
  <c r="D35" i="20"/>
  <c r="O116" i="19"/>
  <c r="N42" i="19"/>
  <c r="E66" i="19"/>
  <c r="O37" i="19"/>
  <c r="K37" i="19"/>
  <c r="E132" i="19"/>
  <c r="P132" i="19" s="1"/>
  <c r="E134" i="19"/>
  <c r="P134" i="19" s="1"/>
  <c r="F133" i="19"/>
  <c r="F131" i="19" s="1"/>
  <c r="E106" i="19"/>
  <c r="P106" i="19" s="1"/>
  <c r="E99" i="19"/>
  <c r="P99" i="19" s="1"/>
  <c r="H65" i="19"/>
  <c r="H42" i="19" s="1"/>
  <c r="G65" i="19"/>
  <c r="F65" i="19"/>
  <c r="C85" i="21"/>
  <c r="C78" i="21"/>
  <c r="C77" i="21" s="1"/>
  <c r="D77" i="21"/>
  <c r="H47" i="11" l="1"/>
  <c r="G47" i="11" s="1"/>
  <c r="P66" i="19"/>
  <c r="G87" i="19"/>
  <c r="C89" i="21"/>
  <c r="C87" i="21"/>
  <c r="C83" i="21"/>
  <c r="C82" i="21"/>
  <c r="C81" i="21"/>
  <c r="C80" i="21"/>
  <c r="C75" i="21"/>
  <c r="C74" i="21"/>
  <c r="C70" i="21" s="1"/>
  <c r="C69" i="21"/>
  <c r="D68" i="21"/>
  <c r="C68" i="21" s="1"/>
  <c r="F64" i="21"/>
  <c r="F63" i="21" s="1"/>
  <c r="C64" i="21"/>
  <c r="C63" i="21" s="1"/>
  <c r="E63" i="21"/>
  <c r="C62" i="21"/>
  <c r="E61" i="21"/>
  <c r="C61" i="21" s="1"/>
  <c r="F60" i="21"/>
  <c r="F57" i="21" s="1"/>
  <c r="F46" i="21" s="1"/>
  <c r="C60" i="21"/>
  <c r="C59" i="21"/>
  <c r="C58" i="21"/>
  <c r="E57" i="21"/>
  <c r="D57" i="21"/>
  <c r="C56" i="21"/>
  <c r="C55" i="21"/>
  <c r="C54" i="21"/>
  <c r="C53" i="21"/>
  <c r="C52" i="21"/>
  <c r="D51" i="21"/>
  <c r="C51" i="21" s="1"/>
  <c r="C50" i="21"/>
  <c r="C49" i="21"/>
  <c r="C48" i="21"/>
  <c r="D47" i="21"/>
  <c r="C47" i="21" s="1"/>
  <c r="C45" i="21"/>
  <c r="E44" i="21"/>
  <c r="E21" i="21" s="1"/>
  <c r="C43" i="21"/>
  <c r="C42" i="21"/>
  <c r="C41" i="21"/>
  <c r="C40" i="21"/>
  <c r="C39" i="21"/>
  <c r="C38" i="21"/>
  <c r="C37" i="21"/>
  <c r="D36" i="21"/>
  <c r="C36" i="21" s="1"/>
  <c r="C35" i="21"/>
  <c r="C34" i="21"/>
  <c r="C33" i="21"/>
  <c r="C32" i="21"/>
  <c r="D31" i="21"/>
  <c r="C31" i="21" s="1"/>
  <c r="C28" i="21"/>
  <c r="C27" i="21"/>
  <c r="C26" i="21"/>
  <c r="D25" i="21"/>
  <c r="C25" i="21" s="1"/>
  <c r="C24" i="21"/>
  <c r="C23" i="21"/>
  <c r="D22" i="21"/>
  <c r="C22" i="21" s="1"/>
  <c r="D67" i="21" l="1"/>
  <c r="D66" i="21" s="1"/>
  <c r="C57" i="21"/>
  <c r="E46" i="21"/>
  <c r="E65" i="21" s="1"/>
  <c r="E90" i="21" s="1"/>
  <c r="C44" i="21"/>
  <c r="F65" i="21"/>
  <c r="F90" i="21" s="1"/>
  <c r="D46" i="21"/>
  <c r="D30" i="21"/>
  <c r="C46" i="21" l="1"/>
  <c r="C67" i="21"/>
  <c r="C66" i="21"/>
  <c r="C30" i="21"/>
  <c r="D29" i="21"/>
  <c r="C29" i="21" l="1"/>
  <c r="D21" i="21"/>
  <c r="C21" i="21" l="1"/>
  <c r="D65" i="21"/>
  <c r="D90" i="21" s="1"/>
  <c r="C90" i="21" l="1"/>
  <c r="C65" i="21"/>
  <c r="D76" i="20" l="1"/>
  <c r="D82" i="20" s="1"/>
  <c r="I34" i="11" l="1"/>
  <c r="G34" i="11" s="1"/>
  <c r="H77" i="11"/>
  <c r="G74" i="11"/>
  <c r="H71" i="11"/>
  <c r="H66" i="11" s="1"/>
  <c r="I41" i="11"/>
  <c r="I40" i="11"/>
  <c r="H32" i="11"/>
  <c r="K40" i="19"/>
  <c r="K29" i="19"/>
  <c r="K28" i="19"/>
  <c r="F85" i="19"/>
  <c r="F81" i="19"/>
  <c r="E81" i="19" s="1"/>
  <c r="P81" i="19" s="1"/>
  <c r="F28" i="19"/>
  <c r="O24" i="19" l="1"/>
  <c r="G41" i="11"/>
  <c r="G71" i="11"/>
  <c r="J28" i="19"/>
  <c r="K30" i="19"/>
  <c r="J40" i="19"/>
  <c r="P40" i="19" s="1"/>
  <c r="C26" i="16" l="1"/>
  <c r="C25" i="16" s="1"/>
  <c r="C30" i="16" s="1"/>
  <c r="I111" i="11" l="1"/>
  <c r="G115" i="11"/>
  <c r="G114" i="11"/>
  <c r="G56" i="11"/>
  <c r="G57" i="11"/>
  <c r="G50" i="11"/>
  <c r="G103" i="11"/>
  <c r="G38" i="11"/>
  <c r="G40" i="11"/>
  <c r="H28" i="11"/>
  <c r="H25" i="11" s="1"/>
  <c r="G27" i="11"/>
  <c r="G111" i="11" l="1"/>
  <c r="I107" i="11"/>
  <c r="J113" i="11"/>
  <c r="J114" i="11"/>
  <c r="G109" i="11"/>
  <c r="J115" i="11"/>
  <c r="G113" i="11"/>
  <c r="J111" i="11"/>
  <c r="D51" i="20"/>
  <c r="D37" i="20"/>
  <c r="D33" i="20"/>
  <c r="D29" i="20"/>
  <c r="O127" i="19"/>
  <c r="J121" i="19"/>
  <c r="P121" i="19" s="1"/>
  <c r="J124" i="19"/>
  <c r="P124" i="19" s="1"/>
  <c r="K124" i="19"/>
  <c r="K123" i="19"/>
  <c r="K121" i="19"/>
  <c r="J120" i="19"/>
  <c r="P120" i="19" s="1"/>
  <c r="J119" i="19"/>
  <c r="J128" i="19"/>
  <c r="P58" i="19"/>
  <c r="P59" i="19"/>
  <c r="J37" i="19"/>
  <c r="P37" i="19" s="1"/>
  <c r="J33" i="19"/>
  <c r="J35" i="19"/>
  <c r="J36" i="19"/>
  <c r="J38" i="19"/>
  <c r="J39" i="19"/>
  <c r="E112" i="19"/>
  <c r="P112" i="19" s="1"/>
  <c r="F87" i="19"/>
  <c r="E78" i="19"/>
  <c r="P78" i="19" s="1"/>
  <c r="F68" i="19"/>
  <c r="E46" i="19"/>
  <c r="E47" i="19"/>
  <c r="P47" i="19" s="1"/>
  <c r="E56" i="19"/>
  <c r="P56" i="19" s="1"/>
  <c r="P60" i="19"/>
  <c r="J46" i="19"/>
  <c r="L45" i="19"/>
  <c r="L42" i="19" s="1"/>
  <c r="E39" i="19"/>
  <c r="F26" i="19"/>
  <c r="F24" i="19" s="1"/>
  <c r="P119" i="19" l="1"/>
  <c r="P46" i="19"/>
  <c r="K122" i="19"/>
  <c r="K120" i="19"/>
  <c r="J123" i="19"/>
  <c r="P123" i="19" s="1"/>
  <c r="P39" i="19"/>
  <c r="H136" i="19" l="1"/>
  <c r="H135" i="19" s="1"/>
  <c r="G55" i="19" l="1"/>
  <c r="F55" i="19" s="1"/>
  <c r="F42" i="19" s="1"/>
  <c r="E55" i="19" l="1"/>
  <c r="P55" i="19" s="1"/>
  <c r="E71" i="19"/>
  <c r="P71" i="19" s="1"/>
  <c r="E72" i="19"/>
  <c r="P72" i="19" s="1"/>
  <c r="H126" i="11" l="1"/>
  <c r="H125" i="11" s="1"/>
  <c r="G127" i="11"/>
  <c r="J118" i="11" l="1"/>
  <c r="J117" i="11" s="1"/>
  <c r="I118" i="11"/>
  <c r="I117" i="11" s="1"/>
  <c r="H118" i="11"/>
  <c r="H117" i="11" s="1"/>
  <c r="G119" i="11"/>
  <c r="G117" i="11" l="1"/>
  <c r="G118" i="11"/>
  <c r="N127" i="19" l="1"/>
  <c r="M127" i="19"/>
  <c r="L127" i="19"/>
  <c r="J127" i="19" s="1"/>
  <c r="K129" i="19"/>
  <c r="K127" i="19" s="1"/>
  <c r="E129" i="19"/>
  <c r="J122" i="19"/>
  <c r="G50" i="19"/>
  <c r="P129" i="19" l="1"/>
  <c r="I93" i="11"/>
  <c r="G93" i="11" s="1"/>
  <c r="J98" i="11"/>
  <c r="G31" i="11"/>
  <c r="J31" i="11"/>
  <c r="G97" i="11"/>
  <c r="J97" i="11"/>
  <c r="J30" i="11"/>
  <c r="J25" i="11" s="1"/>
  <c r="J93" i="11" l="1"/>
  <c r="G101" i="11" l="1"/>
  <c r="I124" i="11"/>
  <c r="J124" i="11"/>
  <c r="G128" i="11"/>
  <c r="G126" i="11"/>
  <c r="G125" i="11"/>
  <c r="H107" i="11"/>
  <c r="G100" i="11"/>
  <c r="G68" i="11"/>
  <c r="H124" i="11" l="1"/>
  <c r="J66" i="11"/>
  <c r="I66" i="11"/>
  <c r="G66" i="11" s="1"/>
  <c r="G63" i="11"/>
  <c r="G124" i="11" l="1"/>
  <c r="N116" i="19"/>
  <c r="M116" i="19"/>
  <c r="L116" i="19"/>
  <c r="I116" i="19"/>
  <c r="H116" i="19"/>
  <c r="G116" i="19"/>
  <c r="F116" i="19"/>
  <c r="K125" i="19"/>
  <c r="K116" i="19" s="1"/>
  <c r="J125" i="19"/>
  <c r="E122" i="19"/>
  <c r="E125" i="19"/>
  <c r="P125" i="19" l="1"/>
  <c r="O103" i="19"/>
  <c r="N103" i="19"/>
  <c r="M103" i="19"/>
  <c r="L103" i="19"/>
  <c r="K103" i="19"/>
  <c r="I103" i="19"/>
  <c r="G103" i="19"/>
  <c r="J108" i="19"/>
  <c r="E108" i="19"/>
  <c r="P108" i="19" l="1"/>
  <c r="K27" i="19"/>
  <c r="K24" i="19" s="1"/>
  <c r="G143" i="19" l="1"/>
  <c r="F143" i="19"/>
  <c r="E146" i="19"/>
  <c r="P146" i="19" s="1"/>
  <c r="G136" i="19"/>
  <c r="F136" i="19"/>
  <c r="E141" i="19"/>
  <c r="P141" i="19" s="1"/>
  <c r="E139" i="19"/>
  <c r="P139" i="19" s="1"/>
  <c r="E140" i="19"/>
  <c r="P140" i="19" s="1"/>
  <c r="E110" i="19"/>
  <c r="N87" i="19"/>
  <c r="M87" i="19"/>
  <c r="L87" i="19"/>
  <c r="I87" i="19"/>
  <c r="H87" i="19"/>
  <c r="H73" i="19"/>
  <c r="G70" i="19"/>
  <c r="O68" i="19"/>
  <c r="N68" i="19"/>
  <c r="M68" i="19"/>
  <c r="L68" i="19"/>
  <c r="K68" i="19"/>
  <c r="I68" i="19"/>
  <c r="E65" i="19"/>
  <c r="P65" i="19" s="1"/>
  <c r="P110" i="19" l="1"/>
  <c r="G68" i="19"/>
  <c r="H68" i="19"/>
  <c r="G53" i="19" l="1"/>
  <c r="G42" i="19" s="1"/>
  <c r="G127" i="19" l="1"/>
  <c r="E77" i="19" l="1"/>
  <c r="P77" i="19" s="1"/>
  <c r="E74" i="19"/>
  <c r="P74" i="19" s="1"/>
  <c r="E75" i="19"/>
  <c r="P75" i="19" s="1"/>
  <c r="D39" i="20" l="1"/>
  <c r="G26" i="11" l="1"/>
  <c r="N24" i="19" l="1"/>
  <c r="M24" i="19"/>
  <c r="L24" i="19"/>
  <c r="I24" i="19"/>
  <c r="G24" i="19"/>
  <c r="G55" i="11" l="1"/>
  <c r="I42" i="19" l="1"/>
  <c r="K94" i="19"/>
  <c r="K92" i="19"/>
  <c r="K91" i="19"/>
  <c r="K89" i="19"/>
  <c r="P122" i="19"/>
  <c r="J137" i="19"/>
  <c r="J136" i="19" s="1"/>
  <c r="J114" i="19"/>
  <c r="I143" i="19"/>
  <c r="K143" i="19"/>
  <c r="L143" i="19"/>
  <c r="M143" i="19"/>
  <c r="N143" i="19"/>
  <c r="O143" i="19"/>
  <c r="O142" i="19" s="1"/>
  <c r="H143" i="19"/>
  <c r="E36" i="16"/>
  <c r="E33" i="16" s="1"/>
  <c r="K87" i="19" l="1"/>
  <c r="J112" i="11"/>
  <c r="G112" i="11"/>
  <c r="J145" i="19" l="1"/>
  <c r="E145" i="19"/>
  <c r="E144" i="19"/>
  <c r="K142" i="19"/>
  <c r="G142" i="19"/>
  <c r="F142" i="19"/>
  <c r="I142" i="19"/>
  <c r="H142" i="19"/>
  <c r="E137" i="19"/>
  <c r="P137" i="19" s="1"/>
  <c r="P136" i="19" s="1"/>
  <c r="O135" i="19"/>
  <c r="N136" i="19"/>
  <c r="N135" i="19" s="1"/>
  <c r="M136" i="19"/>
  <c r="M135" i="19" s="1"/>
  <c r="L136" i="19"/>
  <c r="L135" i="19" s="1"/>
  <c r="K135" i="19"/>
  <c r="I136" i="19"/>
  <c r="I135" i="19" s="1"/>
  <c r="G135" i="19"/>
  <c r="F135" i="19"/>
  <c r="E133" i="19"/>
  <c r="J131" i="19"/>
  <c r="J130" i="19" s="1"/>
  <c r="O131" i="19"/>
  <c r="O130" i="19" s="1"/>
  <c r="N131" i="19"/>
  <c r="N130" i="19" s="1"/>
  <c r="M131" i="19"/>
  <c r="M130" i="19" s="1"/>
  <c r="L131" i="19"/>
  <c r="L130" i="19" s="1"/>
  <c r="K131" i="19"/>
  <c r="K130" i="19" s="1"/>
  <c r="I131" i="19"/>
  <c r="I130" i="19" s="1"/>
  <c r="H131" i="19"/>
  <c r="H130" i="19" s="1"/>
  <c r="G131" i="19"/>
  <c r="G130" i="19" s="1"/>
  <c r="F130" i="19"/>
  <c r="J126" i="19"/>
  <c r="E128" i="19"/>
  <c r="O126" i="19"/>
  <c r="M126" i="19"/>
  <c r="L126" i="19"/>
  <c r="K126" i="19"/>
  <c r="I127" i="19"/>
  <c r="I126" i="19" s="1"/>
  <c r="H127" i="19"/>
  <c r="H126" i="19" s="1"/>
  <c r="G126" i="19"/>
  <c r="F127" i="19"/>
  <c r="F126" i="19" s="1"/>
  <c r="N126" i="19"/>
  <c r="J118" i="19"/>
  <c r="J116" i="19" s="1"/>
  <c r="E118" i="19"/>
  <c r="E116" i="19" s="1"/>
  <c r="O115" i="19"/>
  <c r="N115" i="19"/>
  <c r="M115" i="19"/>
  <c r="L115" i="19"/>
  <c r="K115" i="19"/>
  <c r="I115" i="19"/>
  <c r="H115" i="19"/>
  <c r="G115" i="19"/>
  <c r="E114" i="19"/>
  <c r="J111" i="19"/>
  <c r="E111" i="19"/>
  <c r="J109" i="19"/>
  <c r="E109" i="19"/>
  <c r="J107" i="19"/>
  <c r="E107" i="19"/>
  <c r="J105" i="19"/>
  <c r="E105" i="19"/>
  <c r="K102" i="19"/>
  <c r="E104" i="19"/>
  <c r="O102" i="19"/>
  <c r="N102" i="19"/>
  <c r="M102" i="19"/>
  <c r="L102" i="19"/>
  <c r="I102" i="19"/>
  <c r="H102" i="19"/>
  <c r="G102" i="19"/>
  <c r="F102" i="19"/>
  <c r="J101" i="19"/>
  <c r="E101" i="19"/>
  <c r="J100" i="19"/>
  <c r="E100" i="19"/>
  <c r="J98" i="19"/>
  <c r="E98" i="19"/>
  <c r="P98" i="19" s="1"/>
  <c r="J97" i="19"/>
  <c r="E97" i="19"/>
  <c r="J96" i="19"/>
  <c r="E96" i="19"/>
  <c r="J95" i="19"/>
  <c r="E95" i="19"/>
  <c r="J94" i="19"/>
  <c r="E94" i="19"/>
  <c r="J93" i="19"/>
  <c r="E93" i="19"/>
  <c r="J92" i="19"/>
  <c r="E92" i="19"/>
  <c r="J91" i="19"/>
  <c r="E91" i="19"/>
  <c r="J90" i="19"/>
  <c r="E90" i="19"/>
  <c r="J89" i="19"/>
  <c r="E89" i="19"/>
  <c r="J88" i="19"/>
  <c r="E88" i="19"/>
  <c r="O86" i="19"/>
  <c r="N86" i="19"/>
  <c r="M86" i="19"/>
  <c r="L86" i="19"/>
  <c r="K86" i="19"/>
  <c r="I86" i="19"/>
  <c r="H86" i="19"/>
  <c r="G86" i="19"/>
  <c r="F86" i="19"/>
  <c r="J85" i="19"/>
  <c r="E85" i="19"/>
  <c r="J84" i="19"/>
  <c r="E84" i="19"/>
  <c r="O83" i="19"/>
  <c r="O82" i="19" s="1"/>
  <c r="N83" i="19"/>
  <c r="N82" i="19" s="1"/>
  <c r="M83" i="19"/>
  <c r="M82" i="19" s="1"/>
  <c r="L83" i="19"/>
  <c r="L82" i="19" s="1"/>
  <c r="K83" i="19"/>
  <c r="K82" i="19" s="1"/>
  <c r="I83" i="19"/>
  <c r="I82" i="19" s="1"/>
  <c r="H83" i="19"/>
  <c r="H82" i="19" s="1"/>
  <c r="G83" i="19"/>
  <c r="G82" i="19" s="1"/>
  <c r="F83" i="19"/>
  <c r="F82" i="19" s="1"/>
  <c r="J80" i="19"/>
  <c r="E80" i="19"/>
  <c r="J79" i="19"/>
  <c r="E79" i="19"/>
  <c r="J76" i="19"/>
  <c r="E76" i="19"/>
  <c r="J73" i="19"/>
  <c r="E73" i="19"/>
  <c r="J70" i="19"/>
  <c r="E70" i="19"/>
  <c r="J69" i="19"/>
  <c r="E69" i="19"/>
  <c r="O67" i="19"/>
  <c r="N67" i="19"/>
  <c r="M67" i="19"/>
  <c r="L67" i="19"/>
  <c r="K67" i="19"/>
  <c r="I67" i="19"/>
  <c r="H67" i="19"/>
  <c r="G67" i="19"/>
  <c r="F67" i="19"/>
  <c r="E57" i="19"/>
  <c r="E54" i="19"/>
  <c r="E53" i="19"/>
  <c r="E52" i="19"/>
  <c r="P52" i="19" s="1"/>
  <c r="E51" i="19"/>
  <c r="P51" i="19" s="1"/>
  <c r="F41" i="19"/>
  <c r="J45" i="19"/>
  <c r="E45" i="19"/>
  <c r="J44" i="19"/>
  <c r="E44" i="19"/>
  <c r="J43" i="19"/>
  <c r="E43" i="19"/>
  <c r="N41" i="19"/>
  <c r="M41" i="19"/>
  <c r="K41" i="19"/>
  <c r="H41" i="19"/>
  <c r="O41" i="19"/>
  <c r="L41" i="19"/>
  <c r="I41" i="19"/>
  <c r="E38" i="19"/>
  <c r="E36" i="19"/>
  <c r="E35" i="19"/>
  <c r="E33" i="19"/>
  <c r="J32" i="19"/>
  <c r="E32" i="19"/>
  <c r="J31" i="19"/>
  <c r="E31" i="19"/>
  <c r="J30" i="19"/>
  <c r="E30" i="19"/>
  <c r="J29" i="19"/>
  <c r="E29" i="19"/>
  <c r="E28" i="19"/>
  <c r="J27" i="19"/>
  <c r="E27" i="19"/>
  <c r="J26" i="19"/>
  <c r="E26" i="19"/>
  <c r="J25" i="19"/>
  <c r="E25" i="19"/>
  <c r="O23" i="19"/>
  <c r="N23" i="19"/>
  <c r="M23" i="19"/>
  <c r="K23" i="19"/>
  <c r="I23" i="19"/>
  <c r="H23" i="19"/>
  <c r="G23" i="19"/>
  <c r="F23" i="19"/>
  <c r="L23" i="19"/>
  <c r="J87" i="19" l="1"/>
  <c r="H147" i="19"/>
  <c r="J42" i="19"/>
  <c r="E24" i="19"/>
  <c r="O147" i="19"/>
  <c r="K147" i="19"/>
  <c r="K155" i="19" s="1"/>
  <c r="J41" i="19"/>
  <c r="M147" i="19"/>
  <c r="M154" i="19" s="1"/>
  <c r="P116" i="19"/>
  <c r="E103" i="19"/>
  <c r="E102" i="19" s="1"/>
  <c r="P53" i="19"/>
  <c r="P133" i="19"/>
  <c r="E131" i="19"/>
  <c r="E130" i="19" s="1"/>
  <c r="P130" i="19" s="1"/>
  <c r="E87" i="19"/>
  <c r="E86" i="19" s="1"/>
  <c r="E68" i="19"/>
  <c r="E67" i="19" s="1"/>
  <c r="J24" i="19"/>
  <c r="J23" i="19" s="1"/>
  <c r="E127" i="19"/>
  <c r="E126" i="19" s="1"/>
  <c r="P126" i="19" s="1"/>
  <c r="P128" i="19"/>
  <c r="P57" i="19"/>
  <c r="G155" i="19"/>
  <c r="E143" i="19"/>
  <c r="E142" i="19" s="1"/>
  <c r="J103" i="19"/>
  <c r="J102" i="19" s="1"/>
  <c r="E136" i="19"/>
  <c r="E135" i="19" s="1"/>
  <c r="J68" i="19"/>
  <c r="J67" i="19" s="1"/>
  <c r="E115" i="19"/>
  <c r="F115" i="19" s="1"/>
  <c r="F147" i="19" s="1"/>
  <c r="J86" i="19"/>
  <c r="E50" i="19"/>
  <c r="E42" i="19" s="1"/>
  <c r="P43" i="19"/>
  <c r="P35" i="19"/>
  <c r="J115" i="19"/>
  <c r="P107" i="19"/>
  <c r="P26" i="19"/>
  <c r="P32" i="19"/>
  <c r="P38" i="19"/>
  <c r="P109" i="19"/>
  <c r="P88" i="19"/>
  <c r="P104" i="19"/>
  <c r="P105" i="19"/>
  <c r="P89" i="19"/>
  <c r="P97" i="19"/>
  <c r="P91" i="19"/>
  <c r="P92" i="19"/>
  <c r="P96" i="19"/>
  <c r="P101" i="19"/>
  <c r="P45" i="19"/>
  <c r="P70" i="19"/>
  <c r="P90" i="19"/>
  <c r="G41" i="19"/>
  <c r="G147" i="19" s="1"/>
  <c r="F155" i="19" s="1"/>
  <c r="P36" i="19"/>
  <c r="P54" i="19"/>
  <c r="P84" i="19"/>
  <c r="P79" i="19"/>
  <c r="P25" i="19"/>
  <c r="P44" i="19"/>
  <c r="P73" i="19"/>
  <c r="P85" i="19"/>
  <c r="P144" i="19"/>
  <c r="J83" i="19"/>
  <c r="J82" i="19" s="1"/>
  <c r="P33" i="19"/>
  <c r="L147" i="19"/>
  <c r="P31" i="19"/>
  <c r="P28" i="19"/>
  <c r="J143" i="19"/>
  <c r="J142" i="19" s="1"/>
  <c r="J135" i="19"/>
  <c r="P94" i="19"/>
  <c r="P111" i="19"/>
  <c r="P145" i="19"/>
  <c r="P80" i="19"/>
  <c r="P93" i="19"/>
  <c r="P118" i="19"/>
  <c r="I147" i="19"/>
  <c r="P29" i="19"/>
  <c r="P114" i="19"/>
  <c r="P30" i="19"/>
  <c r="P76" i="19"/>
  <c r="P27" i="19"/>
  <c r="N147" i="19"/>
  <c r="P100" i="19"/>
  <c r="E83" i="19"/>
  <c r="P69" i="19"/>
  <c r="P95" i="19"/>
  <c r="P87" i="19" l="1"/>
  <c r="P42" i="19"/>
  <c r="J147" i="19"/>
  <c r="J154" i="19" s="1"/>
  <c r="J156" i="19" s="1"/>
  <c r="P103" i="19"/>
  <c r="P24" i="19"/>
  <c r="P68" i="19"/>
  <c r="P127" i="19"/>
  <c r="E23" i="19"/>
  <c r="P143" i="19"/>
  <c r="P131" i="19"/>
  <c r="P50" i="19"/>
  <c r="P86" i="19"/>
  <c r="P135" i="19"/>
  <c r="P115" i="19"/>
  <c r="P142" i="19"/>
  <c r="P67" i="19"/>
  <c r="P102" i="19"/>
  <c r="E82" i="19"/>
  <c r="P82" i="19" s="1"/>
  <c r="P83" i="19"/>
  <c r="E41" i="19"/>
  <c r="P23" i="19" l="1"/>
  <c r="E147" i="19"/>
  <c r="P41" i="19"/>
  <c r="P147" i="19" l="1"/>
  <c r="D23" i="20"/>
  <c r="I32" i="11" l="1"/>
  <c r="I25" i="11" s="1"/>
  <c r="G25" i="11" s="1"/>
  <c r="H120" i="11"/>
  <c r="I121" i="11"/>
  <c r="I120" i="11" s="1"/>
  <c r="J121" i="11"/>
  <c r="J120" i="11" s="1"/>
  <c r="G122" i="11"/>
  <c r="G121" i="11" s="1"/>
  <c r="G120" i="11" l="1"/>
  <c r="G81" i="11" l="1"/>
  <c r="G69" i="11"/>
  <c r="G72" i="11"/>
  <c r="H78" i="11" l="1"/>
  <c r="G91" i="11"/>
  <c r="J24" i="11" l="1"/>
  <c r="H24" i="11"/>
  <c r="G33" i="11"/>
  <c r="G28" i="11" l="1"/>
  <c r="G116" i="11" l="1"/>
  <c r="G77" i="11"/>
  <c r="J116" i="11" l="1"/>
  <c r="J107" i="11" s="1"/>
  <c r="G107" i="11" l="1"/>
  <c r="G105" i="11"/>
  <c r="G102" i="11"/>
  <c r="G98" i="11"/>
  <c r="G96" i="11"/>
  <c r="G94" i="11"/>
  <c r="J79" i="11"/>
  <c r="I79" i="11"/>
  <c r="G79" i="11" s="1"/>
  <c r="G90" i="11"/>
  <c r="G89" i="11"/>
  <c r="G88" i="11"/>
  <c r="G87" i="11"/>
  <c r="G86" i="11"/>
  <c r="G85" i="11"/>
  <c r="G84" i="11"/>
  <c r="G83" i="11"/>
  <c r="G82" i="11"/>
  <c r="G80" i="11"/>
  <c r="G73" i="11"/>
  <c r="G67" i="11"/>
  <c r="G49" i="11"/>
  <c r="G51" i="11"/>
  <c r="G52" i="11"/>
  <c r="G53" i="11"/>
  <c r="G54" i="11"/>
  <c r="G48" i="11"/>
  <c r="G32" i="11" l="1"/>
  <c r="G35" i="11"/>
  <c r="G36" i="11"/>
  <c r="G37" i="11"/>
  <c r="G39" i="11"/>
  <c r="G30" i="11"/>
  <c r="G29" i="11"/>
  <c r="D71" i="20" l="1"/>
  <c r="D67" i="20"/>
  <c r="D43" i="20"/>
  <c r="D41" i="20"/>
  <c r="D31" i="20"/>
  <c r="D25" i="20"/>
  <c r="D61" i="20" s="1"/>
  <c r="D81" i="20" l="1"/>
  <c r="D80" i="20" s="1"/>
  <c r="D60" i="20"/>
  <c r="D25" i="16" l="1"/>
  <c r="D32" i="16" s="1"/>
  <c r="D36" i="16" l="1"/>
  <c r="C33" i="16" l="1"/>
  <c r="C32" i="16"/>
  <c r="C34" i="16"/>
  <c r="F29" i="16"/>
  <c r="E25" i="16"/>
  <c r="F36" i="16" l="1"/>
  <c r="F33" i="16" s="1"/>
  <c r="F26" i="16"/>
  <c r="F25" i="16" s="1"/>
  <c r="F32" i="16" s="1"/>
  <c r="C37" i="16"/>
  <c r="E30" i="16"/>
  <c r="E37" i="16" s="1"/>
  <c r="E32" i="16"/>
  <c r="D33" i="16"/>
  <c r="F30" i="16" l="1"/>
  <c r="F37" i="16" s="1"/>
  <c r="D30" i="16"/>
  <c r="D37" i="16" s="1"/>
  <c r="I24" i="11" l="1"/>
  <c r="G24" i="11" l="1"/>
  <c r="J92" i="11"/>
  <c r="I92" i="11"/>
  <c r="J78" i="11"/>
  <c r="J76" i="11"/>
  <c r="J75" i="11" s="1"/>
  <c r="I76" i="11"/>
  <c r="I75" i="11" s="1"/>
  <c r="H76" i="11"/>
  <c r="J65" i="11"/>
  <c r="H65" i="11"/>
  <c r="J46" i="11"/>
  <c r="H46" i="11"/>
  <c r="H75" i="11" l="1"/>
  <c r="G76" i="11"/>
  <c r="I78" i="11"/>
  <c r="G78" i="11" s="1"/>
  <c r="J106" i="11"/>
  <c r="J129" i="11" s="1"/>
  <c r="I106" i="11"/>
  <c r="I65" i="11"/>
  <c r="G65" i="11" s="1"/>
  <c r="H106" i="11"/>
  <c r="I46" i="11"/>
  <c r="G46" i="11" l="1"/>
  <c r="I129" i="11"/>
  <c r="G75" i="11"/>
  <c r="G106" i="11"/>
  <c r="H92" i="11"/>
  <c r="H129" i="11" s="1"/>
  <c r="G92" i="11" l="1"/>
  <c r="G129" i="11"/>
</calcChain>
</file>

<file path=xl/sharedStrings.xml><?xml version="1.0" encoding="utf-8"?>
<sst xmlns="http://schemas.openxmlformats.org/spreadsheetml/2006/main" count="1772" uniqueCount="687">
  <si>
    <t>(код бюджету)</t>
  </si>
  <si>
    <t>(грн)</t>
  </si>
  <si>
    <t>Усього</t>
  </si>
  <si>
    <t>Загальний фонд</t>
  </si>
  <si>
    <t>Спеціальний фонд</t>
  </si>
  <si>
    <t>усього</t>
  </si>
  <si>
    <t>у тому числі бюджет розвитку</t>
  </si>
  <si>
    <t>X</t>
  </si>
  <si>
    <t xml:space="preserve">"Про  бюджет Южненської міської </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</si>
  <si>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</si>
  <si>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</si>
  <si>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</si>
  <si>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</si>
  <si>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</si>
  <si>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видатки споживання</t>
  </si>
  <si>
    <t>0200000</t>
  </si>
  <si>
    <t/>
  </si>
  <si>
    <t>0210000</t>
  </si>
  <si>
    <t>0111</t>
  </si>
  <si>
    <t>0212010</t>
  </si>
  <si>
    <t>2010</t>
  </si>
  <si>
    <t>0731</t>
  </si>
  <si>
    <t>Багатопрофільна стаціонарна медична допомога населенню</t>
  </si>
  <si>
    <t>0212111</t>
  </si>
  <si>
    <t>2111</t>
  </si>
  <si>
    <t>0726</t>
  </si>
  <si>
    <t>Первинна медична допомога населенню, що надається центрами первинної медичної (медико-санітарної) допомоги</t>
  </si>
  <si>
    <t>6030</t>
  </si>
  <si>
    <t>0620</t>
  </si>
  <si>
    <t>Організація благоустрою населених пунктів</t>
  </si>
  <si>
    <t>0217530</t>
  </si>
  <si>
    <t>7530</t>
  </si>
  <si>
    <t>0460</t>
  </si>
  <si>
    <t>Інші заходи у сфері зв`язку, телекомунікації та інформатики</t>
  </si>
  <si>
    <t>0218220</t>
  </si>
  <si>
    <t>8220</t>
  </si>
  <si>
    <t>0380</t>
  </si>
  <si>
    <t>Заходи та роботи з мобілізаційної підготовки місцевого значення</t>
  </si>
  <si>
    <t>0218410</t>
  </si>
  <si>
    <t>8410</t>
  </si>
  <si>
    <t>0830</t>
  </si>
  <si>
    <t>0600000</t>
  </si>
  <si>
    <t>0610000</t>
  </si>
  <si>
    <t>0160</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</si>
  <si>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</si>
  <si>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</si>
  <si>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</si>
  <si>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</si>
  <si>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</si>
  <si>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</si>
  <si>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</si>
  <si>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t>
  </si>
  <si>
    <t>0611070</t>
  </si>
  <si>
    <t>1070</t>
  </si>
  <si>
    <t>0960</t>
  </si>
  <si>
    <t>Надання позашкільної освіти закладами позашкільної освіти, заходи із позашкільної роботи з дітьми</t>
  </si>
  <si>
    <t>0990</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</si>
  <si>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</si>
  <si>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</si>
  <si>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</si>
  <si>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</si>
  <si>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</si>
  <si>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</si>
  <si>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0611160</t>
  </si>
  <si>
    <t>1160</t>
  </si>
  <si>
    <t>Забезпечення діяльності центрів професійного розвитку педагогічних працівників</t>
  </si>
  <si>
    <t>1040</t>
  </si>
  <si>
    <t>0800000</t>
  </si>
  <si>
    <t>0810000</t>
  </si>
  <si>
    <t>1030</t>
  </si>
  <si>
    <t>0813032</t>
  </si>
  <si>
    <t>3032</t>
  </si>
  <si>
    <t>Надання пільг окремим категоріям громадян з оплати послуг зв`язку</t>
  </si>
  <si>
    <t>1090</t>
  </si>
  <si>
    <t>0813242</t>
  </si>
  <si>
    <t>3242</t>
  </si>
  <si>
    <t>Інші заходи у сфері соціального захисту і соціального забезпечення</t>
  </si>
  <si>
    <t>0900000</t>
  </si>
  <si>
    <t>0910000</t>
  </si>
  <si>
    <t>0913112</t>
  </si>
  <si>
    <t>3112</t>
  </si>
  <si>
    <t>Заходи державної політики з питань дітей та їх соціального захисту</t>
  </si>
  <si>
    <t>1000000</t>
  </si>
  <si>
    <t>1010000</t>
  </si>
  <si>
    <t>1011080</t>
  </si>
  <si>
    <t>1080</t>
  </si>
  <si>
    <t>Надання спеціалізованої освіти мистецькими школами</t>
  </si>
  <si>
    <t>1013133</t>
  </si>
  <si>
    <t>3133</t>
  </si>
  <si>
    <t>Інші заходи та заклади молодіжної політики</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</si>
  <si>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</si>
  <si>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</si>
  <si>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</si>
  <si>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</si>
  <si>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</si>
  <si>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</si>
  <si>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</si>
  <si>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</si>
  <si>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</si>
  <si>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</si>
  <si>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</si>
  <si>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0829</t>
  </si>
  <si>
    <t>1014082</t>
  </si>
  <si>
    <t>4082</t>
  </si>
  <si>
    <t>Інші заходи в галузі культури і мистецтва</t>
  </si>
  <si>
    <t>1015011</t>
  </si>
  <si>
    <t>5011</t>
  </si>
  <si>
    <t>0810</t>
  </si>
  <si>
    <t>Проведення навчально-тренувальних зборів і змагань з олімпійських видів спорту</t>
  </si>
  <si>
    <t>1015031</t>
  </si>
  <si>
    <t>5031</t>
  </si>
  <si>
    <t>1015061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</si>
  <si>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</si>
  <si>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</si>
  <si>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1015062</t>
  </si>
  <si>
    <t>5062</t>
  </si>
  <si>
    <t>Підтримка спорту вищих досягнень та організацій, які здійснюють фізкультурно-спортивну діяльність в регіоні</t>
  </si>
  <si>
    <t>1200000</t>
  </si>
  <si>
    <t>1210000</t>
  </si>
  <si>
    <t>1210160</t>
  </si>
  <si>
    <t>1213210</t>
  </si>
  <si>
    <t>3210</t>
  </si>
  <si>
    <t>1050</t>
  </si>
  <si>
    <t>Організація та проведення громадських робіт</t>
  </si>
  <si>
    <t>1216013</t>
  </si>
  <si>
    <t>6013</t>
  </si>
  <si>
    <t>Забезпечення діяльності водопровідно-каналізаційного господарства</t>
  </si>
  <si>
    <t>1216030</t>
  </si>
  <si>
    <t>1217461</t>
  </si>
  <si>
    <t>7461</t>
  </si>
  <si>
    <t>0456</t>
  </si>
  <si>
    <t>Утримання та розвиток автомобільних доріг та дорожньої інфраструктури за рахунок коштів місцевого бюджету</t>
  </si>
  <si>
    <t>1218340</t>
  </si>
  <si>
    <t>8340</t>
  </si>
  <si>
    <t>0540</t>
  </si>
  <si>
    <t>Природоохоронні заходи за рахунок цільових фондів</t>
  </si>
  <si>
    <t>1500000</t>
  </si>
  <si>
    <t>1510000</t>
  </si>
  <si>
    <t>УСЬОГО</t>
  </si>
  <si>
    <t>Найменування місцевої/ регіональної програми</t>
  </si>
  <si>
    <t>Дата та номер документа, яким затверджено місцеву регіональну програму</t>
  </si>
  <si>
    <t>0218230</t>
  </si>
  <si>
    <t>Інші заходи громадського порядку та безпеки</t>
  </si>
  <si>
    <t>Код</t>
  </si>
  <si>
    <t>Найменування згідно з Класифікацією фінансування бюджету</t>
  </si>
  <si>
    <t>Фінансування за типом кредитора</t>
  </si>
  <si>
    <t>200000</t>
  </si>
  <si>
    <t>Внутрішнє фінансування</t>
  </si>
  <si>
    <t>208000</t>
  </si>
  <si>
    <t>Фінансування за рахунок зміни залишків коштів бюджетів</t>
  </si>
  <si>
    <t>208100</t>
  </si>
  <si>
    <t>На початок періоду</t>
  </si>
  <si>
    <t>208200</t>
  </si>
  <si>
    <t>На кінець періоду</t>
  </si>
  <si>
    <t>208400</t>
  </si>
  <si>
    <t>Кошти, що передаються із загального фонду бюджету до бюджету розвитку (спеціального фонду)</t>
  </si>
  <si>
    <t>Загальне фінансування</t>
  </si>
  <si>
    <t>Фінансування за типом боргового зобов'язання</t>
  </si>
  <si>
    <t>600000</t>
  </si>
  <si>
    <t>Фінансування за активними операціями</t>
  </si>
  <si>
    <t>602000</t>
  </si>
  <si>
    <t>Зміни обсягів бюджетних коштів</t>
  </si>
  <si>
    <t>602100</t>
  </si>
  <si>
    <t>602200</t>
  </si>
  <si>
    <t>602400</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</si>
  <si>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</si>
  <si>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</si>
  <si>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Загальна тривалість будівництва       ( рік початку і закінчення)</t>
  </si>
  <si>
    <t xml:space="preserve">Загальна вартість робіт, гривень </t>
  </si>
  <si>
    <t>Обсяг видатків бюджету розвитку, які спрямовані на будівництво об'єкта на початок бюджетного періоду, гривень</t>
  </si>
  <si>
    <t>Рівень виконання робіт на початок бюджетного періоду,%</t>
  </si>
  <si>
    <t>Обсяг видатків бюджету розвитку, які спрямовуються на будівництво об'єкта у бюджетному періоді, гривень</t>
  </si>
  <si>
    <t>Рівень  готовності об'єкта на кінець бюджетного періоду, %</t>
  </si>
  <si>
    <t>1</t>
  </si>
  <si>
    <t>2</t>
  </si>
  <si>
    <t>3</t>
  </si>
  <si>
    <t>5</t>
  </si>
  <si>
    <t>6</t>
  </si>
  <si>
    <t>7</t>
  </si>
  <si>
    <t>8</t>
  </si>
  <si>
    <t>9</t>
  </si>
  <si>
    <t>Придбання обладнання і предметів довгострокового користування</t>
  </si>
  <si>
    <t>х</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</si>
  <si>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</si>
  <si>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</si>
  <si>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 – надавача міжбюджетного трансферту</t>
  </si>
  <si>
    <t>І. Трансферти до загального фонду бюджету</t>
  </si>
  <si>
    <t>41033900</t>
  </si>
  <si>
    <t>Освітня субвенція з державного бюджету місцевим бюджетам </t>
  </si>
  <si>
    <t>99000000000</t>
  </si>
  <si>
    <t>Державний бюджет</t>
  </si>
  <si>
    <t>Субвенція з місцевого бюджету на здійснення переданих видатків у сфері освіти за рахунок коштів освітньої субвенції</t>
  </si>
  <si>
    <t>Обласний бюджет Одеської області</t>
  </si>
  <si>
    <t>Інші субвенції з місцевого бюджету (пільгове медичне обслуговування громадян, які постраждали внаслідок Чорнобильської катастрофи)</t>
  </si>
  <si>
    <t>15100000000</t>
  </si>
  <si>
    <t>Інші субвенції з місцевого бюджету (видатки на поховання учасників бойових дій та осіб з інвалідністю внаслідок війни)</t>
  </si>
  <si>
    <t>Інші субвенції з місцевого бюджету (компенсаційні виплати особам з інвалідністю на бензин,ремонт,технічне обслуговування автомобілів, мотоколясок і на транспортне обслуговування)</t>
  </si>
  <si>
    <t>ІІ. Трансферти до спеціального фонду бюджету</t>
  </si>
  <si>
    <t xml:space="preserve">УСЬОГО за розділом І та ІІ, у тому числі: </t>
  </si>
  <si>
    <t>загальний фонд</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</si>
  <si>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</si>
  <si>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</si>
  <si>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</si>
  <si>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</si>
  <si>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Найменування трансферту/ Найменування бюджету – отримувача міжбюджетного трансферту</t>
  </si>
  <si>
    <t>І. Трансферти із загального фонду бюджету</t>
  </si>
  <si>
    <t xml:space="preserve">Інші субвенції з місцевого бюджету </t>
  </si>
  <si>
    <t>ІІ. Трансферти із спеціального фонду бюджету</t>
  </si>
  <si>
    <t>4</t>
  </si>
  <si>
    <t>Програма підтримки та розвитку вторинної медичної допомоги Южненської міської територіальної громади на  період 2023-2025 роки</t>
  </si>
  <si>
    <t>Додаток 1</t>
  </si>
  <si>
    <t>1559100000</t>
  </si>
  <si>
    <t>Додаток 2</t>
  </si>
  <si>
    <t>Додаток 3</t>
  </si>
  <si>
    <t>РОЗПОДІЛ</t>
  </si>
  <si>
    <t>РАЗОМ</t>
  </si>
  <si>
    <t>з них</t>
  </si>
  <si>
    <t>видатки розвитку</t>
  </si>
  <si>
    <t>комунальні послуги та енергоносії</t>
  </si>
  <si>
    <t>0210150</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</si>
  <si>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</si>
  <si>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</si>
  <si>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0217680</t>
  </si>
  <si>
    <t>7680</t>
  </si>
  <si>
    <t>0490</t>
  </si>
  <si>
    <t>Членські внески до асоціацій органів місцевого самоврядування</t>
  </si>
  <si>
    <t>8230</t>
  </si>
  <si>
    <t>0610160</t>
  </si>
  <si>
    <t>Керівництво і управління у відповідній сфері у містах (місті Києві), селищах, селах, територіальних громадах</t>
  </si>
  <si>
    <t>0611031</t>
  </si>
  <si>
    <t>1031</t>
  </si>
  <si>
    <t>0611141</t>
  </si>
  <si>
    <t>1141</t>
  </si>
  <si>
    <t>Забезпечення діяльності інших закладів у сфері освіти</t>
  </si>
  <si>
    <t>0810160</t>
  </si>
  <si>
    <t>0813105</t>
  </si>
  <si>
    <t>3105</t>
  </si>
  <si>
    <t>Надання реабілітаційних послуг особам з інвалідністю та дітям з інвалідністю</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</si>
  <si>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</si>
  <si>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</si>
  <si>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</si>
  <si>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0813241</t>
  </si>
  <si>
    <t>3241</t>
  </si>
  <si>
    <t>0910160</t>
  </si>
  <si>
    <t>1010160</t>
  </si>
  <si>
    <t>1014081</t>
  </si>
  <si>
    <t>4081</t>
  </si>
  <si>
    <t>Забезпечення діяльності інших закладів в галузі культури і мистецтва</t>
  </si>
  <si>
    <t>1015041</t>
  </si>
  <si>
    <t>5041</t>
  </si>
  <si>
    <t>1510160</t>
  </si>
  <si>
    <t>1600000</t>
  </si>
  <si>
    <t>1610000</t>
  </si>
  <si>
    <t>1610160</t>
  </si>
  <si>
    <t>2700000</t>
  </si>
  <si>
    <t>2710000</t>
  </si>
  <si>
    <t>2710160</t>
  </si>
  <si>
    <t>3100000</t>
  </si>
  <si>
    <t>3110000</t>
  </si>
  <si>
    <t>3110160</t>
  </si>
  <si>
    <t>3700000</t>
  </si>
  <si>
    <t>3710000</t>
  </si>
  <si>
    <t>3710160</t>
  </si>
  <si>
    <t>3718710</t>
  </si>
  <si>
    <t>8710</t>
  </si>
  <si>
    <t>0133</t>
  </si>
  <si>
    <t>Резервний фонд місцевого бюджету</t>
  </si>
  <si>
    <t>0180</t>
  </si>
  <si>
    <t>оплата праці з нарахуваннями 2110/2120</t>
  </si>
  <si>
    <t xml:space="preserve"> 
Інша діяльність у сфері державного управління</t>
  </si>
  <si>
    <t xml:space="preserve">Програма  щодо відзначення, заохочення та вшанування пам'яті громадян, яким присвоєно звання  "Почесний громадянин Южненської міської територіальної громади" та нагороджених Почесною відзнакою "За заслуги перед Южненською міською територіальною громадою" на 2023-2025 роки,  шляхом викладення її в новій редакції" </t>
  </si>
  <si>
    <t>Програма розвитку та підтримки первинної медико-санітарної допомоги Южненської міської територіальної громади  на 2024-2026 роки</t>
  </si>
  <si>
    <t xml:space="preserve">Міська цільова програма "Громадське здоров'я" Южненської міської територіальної громади на 2024-2026 роки" </t>
  </si>
  <si>
    <t>Програма  плану дій щодо реалізації  Конвенції ООН  про права дитини на 2024-2026 роки Южненської міської територіальної громади</t>
  </si>
  <si>
    <t>0212152</t>
  </si>
  <si>
    <t>0763</t>
  </si>
  <si>
    <t>Програма розвитку фізичної культури і спорту в Южненській міській територіальній  громаді на 2024-2026 роки</t>
  </si>
  <si>
    <t>0320</t>
  </si>
  <si>
    <t>Заходи із запобігання та ліквідації надзвичайних ситуацій та наслідків стихійного лиха</t>
  </si>
  <si>
    <t xml:space="preserve">'Рішення ЮМР від 23.08.2023 року № 1428-VIІI </t>
  </si>
  <si>
    <t>Забезпечення діяльності з виробництва, транспортування, постачання теплової енергії</t>
  </si>
  <si>
    <t>Програма "Соціальний автобус"  на території Южненської міської  територіальної громади на 2024-2026 роки</t>
  </si>
  <si>
    <t>Інші заходи у сфері автотранспорту</t>
  </si>
  <si>
    <t>0451</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</si>
  <si>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</si>
  <si>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Програма соціального захисту та підтримки окремих категорій населення Южненської міської територіальної громади на 2024-2026 роки</t>
  </si>
  <si>
    <t xml:space="preserve">Інші діяльність у сфері державного управління </t>
  </si>
  <si>
    <t>Інші програми та заходи у сфері охорони здоров'я</t>
  </si>
  <si>
    <t>0217650</t>
  </si>
  <si>
    <t>Проведення експертної грошової оцінки земельної ділянки чи права на неї</t>
  </si>
  <si>
    <t>0217660</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</si>
  <si>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</si>
  <si>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</si>
  <si>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1516012</t>
  </si>
  <si>
    <t>6012</t>
  </si>
  <si>
    <t xml:space="preserve">Видатки на проведення експертної грошової оцінки земельних ділянок, що підлягають продажу </t>
  </si>
  <si>
    <t>проектні роботи</t>
  </si>
  <si>
    <t>Програма національно-патріотичного виховання дітей та молоді  Южненської міської територіальної  громади на 2024-2026  роки</t>
  </si>
  <si>
    <t>Программа підтримки органу самоорганізації населення в місті Южному на 2023-2025 роки</t>
  </si>
  <si>
    <t>0611152</t>
  </si>
  <si>
    <t>1152</t>
  </si>
  <si>
    <t>Забезпечення діяльності інклюзивно-ресурсних центрів за рахунок освітньої субвенції</t>
  </si>
  <si>
    <t>0813050</t>
  </si>
  <si>
    <t>3050</t>
  </si>
  <si>
    <t>Пільгове медичне обслуговування осіб,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</si>
  <si>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</si>
  <si>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</si>
  <si>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</si>
  <si>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</si>
  <si>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</si>
  <si>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</si>
  <si>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Ігор ЧУГУННИКОВ</t>
  </si>
  <si>
    <t>видатків місцевого бюджету на 2025 рік</t>
  </si>
  <si>
    <t>Фінансування місцевого бюджету на 2025 рік</t>
  </si>
  <si>
    <t>Розподіл витрат місцевого бюджету на реалізацію місцевих програм у 2025 році</t>
  </si>
  <si>
    <t>територіальної громади  на 2025 рік"</t>
  </si>
  <si>
    <t>0210180</t>
  </si>
  <si>
    <t>0613140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</si>
  <si>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</si>
  <si>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</si>
  <si>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</si>
  <si>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Інші заходи, пов'язані з економічною діяльністю</t>
  </si>
  <si>
    <t>0511</t>
  </si>
  <si>
    <t>Охорона та раціональне використання природних ресурсів</t>
  </si>
  <si>
    <t>3719110</t>
  </si>
  <si>
    <t>9110</t>
  </si>
  <si>
    <t>Реверсна дотація</t>
  </si>
  <si>
    <t>Міжбюджетні трансферти на 2025 рік</t>
  </si>
  <si>
    <t>Забезпечення надійної та безперебійної експлуатації ліфтів</t>
  </si>
  <si>
    <t>Програма оздоровлення та відпочинку дітей Южненської міської територіальної громади на період 2025-2027 роки</t>
  </si>
  <si>
    <t>Програма розвитку культури в Южненській міській територіальній  громаді на 2025-2027 роки</t>
  </si>
  <si>
    <t>Програма проведення обовязкових профілактичних медичних оглядів працівників комунального спеціалізованого закладу "ЦЕНТР КОМПЛЕКСНОЇ РЕАБІЛІТАЦІЇ ДЛЯ ОСІБ З ІНВАЛІДНІСТЮ" на 2024-2026 роки</t>
  </si>
  <si>
    <t xml:space="preserve">Рішення ЮМР від 14.12.2024 року № 1561-VIIІ </t>
  </si>
  <si>
    <t>Програма надання пільг на оплату послуг зв"язку, інших передбачених законодавством пільг та компенсації за пільговий проїзд окремих категорій громадян Южненської міської територіальної громади на 2021-2025 роки</t>
  </si>
  <si>
    <t>Програма з локалізації та ліквідації амброзії полинолистної на території Южненської міської територіальної громади на 2025-2027 роки.</t>
  </si>
  <si>
    <t>Рішення ЮМР від 14.11.2024 року №1929-VIІІ</t>
  </si>
  <si>
    <t>Програма сприяння оборонній і мобілізаційній готовності Южненської міської територіальної громади на 2025-2027 роки</t>
  </si>
  <si>
    <t xml:space="preserve">Розподіл коштів бюджету розвитку на  2025 рік </t>
  </si>
  <si>
    <t xml:space="preserve">Виконавчий комітет Південнівської міської ради Одеського району Одеської області </t>
  </si>
  <si>
    <t>Капітальні трансферти підприємствам (установам, організаціям)</t>
  </si>
  <si>
    <t>Управління соціальної політики Південнівської міської ради Одеського району Одеської області</t>
  </si>
  <si>
    <t>1216015</t>
  </si>
  <si>
    <t>6015</t>
  </si>
  <si>
    <t xml:space="preserve">Управління капітального будівництва Південнівської міської ради Одеського району Одеської області </t>
  </si>
  <si>
    <t>Реконструкція котельні з встановленням когенераційної установки, за адресою: 65481, Одеська область, Одеський район, Южненська територіальна громада, м. Южне, вул. Старомиколаївське шосе, 8, в т.ч.:</t>
  </si>
  <si>
    <t>проєктні роботи</t>
  </si>
  <si>
    <t>у т.ч.</t>
  </si>
  <si>
    <t>Субвенція</t>
  </si>
  <si>
    <t>0443</t>
  </si>
  <si>
    <t>1517461</t>
  </si>
  <si>
    <t>Капітальний ремонт проїжджої частини вул. Приморської від вул. Будівельників до просп. Григорівського десанту м. Южного Одеської області, в т.ч.:</t>
  </si>
  <si>
    <t>2019-2025 роки</t>
  </si>
  <si>
    <t>коригування проектно-вишукувальної документації</t>
  </si>
  <si>
    <t>Капітальний ремонт проїжджої частини вул. Приморської від вул. Будівельників до просп. Григорівського десанту м. Южного Одеської області (І черга. Пішохідні доріжки)</t>
  </si>
  <si>
    <t>Екологічна програма заходів з охорони навколишнього природного середовища Южненської міської територіальної громади на 2024-2026 роки</t>
  </si>
  <si>
    <t>Розроблення комплексних планів просторового розвитку територій територіальних громад</t>
  </si>
  <si>
    <t>1617351</t>
  </si>
  <si>
    <t>7351</t>
  </si>
  <si>
    <t>Розроблення Комплексного плану просторового розвитку території Южненської міської територіальної громади</t>
  </si>
  <si>
    <t>до рішення Південнівської міської ради</t>
  </si>
  <si>
    <t>до рішення Південнівської   міської ради</t>
  </si>
  <si>
    <t>до рішення Південнівської  міської ради</t>
  </si>
  <si>
    <t>до  рішення Південнівської   міської ради</t>
  </si>
  <si>
    <t>Секретар Південнівської  міської ради</t>
  </si>
  <si>
    <t xml:space="preserve">Секретар Південнівської  міської ради                                                                                                    Ігор ЧУГУННИКОВ                                                     </t>
  </si>
  <si>
    <t xml:space="preserve">Секретар Південнівської  міської ради                                                                                                                                                       Ігор ЧУГУННИКОВ                                                         </t>
  </si>
  <si>
    <t>Програма створення та розвитку містобудівного кадастру Южненської міської територіальної громади Одеського району Одеської області на 2025-2026 роки</t>
  </si>
  <si>
    <t>Виконавчий комітет Південнівської міської ради Одеського району Одеської області</t>
  </si>
  <si>
    <t>Виконавчий комітет Південнівської  міської ради Одеського району Одеської області</t>
  </si>
  <si>
    <t>Рішення ЮМР від 28.10.2022 року           №1092-VIIІ з внесеними змінами від        13.12.2024 року   №1974-VIII шляхом викладення у новій редакції</t>
  </si>
  <si>
    <t>Рішення ЮМР від 06.06.2024 року № 1729-VІІІ з внесеними змінами від 24.12. 2024 року № 2010-VIIІ шляхом викладення у новій редакції</t>
  </si>
  <si>
    <t>від 24 грудня  2024 року</t>
  </si>
  <si>
    <t>№  2061-VIІІ</t>
  </si>
  <si>
    <t>№  2061 - VIІІ</t>
  </si>
  <si>
    <t>від  24 грудня  2024 року</t>
  </si>
  <si>
    <t>№ 2061 -VIІІ</t>
  </si>
  <si>
    <t>№ 2061 -VIII</t>
  </si>
  <si>
    <t>Розвиток здібностей у дітей та молоді з фізичної культури та спорту комунальними дитячо-юнацькими спортивними школами</t>
  </si>
  <si>
    <t>Розвиток та підтримка доступної спортивної інфраструктури</t>
  </si>
  <si>
    <t>Забезпечення молодіжними центрами соціального становлення та розвитку молоді та інші заходи у сфері молодіжної політики</t>
  </si>
  <si>
    <t xml:space="preserve">Надання комплексу послуг особам/сім`ям у сфері соціального захисту та соціального забезпечення іншими надавачами соціальних послуг </t>
  </si>
  <si>
    <t>Фінансова підтримка медіа (засобів масової інформації)</t>
  </si>
  <si>
    <t xml:space="preserve"> Надання комплексу послуг особам/сім’ям у сфері соціального захисту та соціального забезпечення іншими надавачами соціальних послуг</t>
  </si>
  <si>
    <t>Інші субвенції з місцевого бюджету</t>
  </si>
  <si>
    <t>(пункти 1.1)</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</si>
  <si>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</si>
  <si>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</si>
  <si>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Субвенція з державного бюджету місцевим бюджетам на надання державної підтримки особам з особливими освітніми потребами</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</si>
  <si>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</si>
  <si>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0219770</t>
  </si>
  <si>
    <t>Управління освіти Південнівської міської ради Одеського районого Одеської області</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</si>
  <si>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</si>
  <si>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</si>
  <si>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</si>
  <si>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</si>
  <si>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</si>
  <si>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</si>
  <si>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0813193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</si>
  <si>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</si>
  <si>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</si>
  <si>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0218240</t>
  </si>
  <si>
    <t>Заходи та роботи з територіальної оборони</t>
  </si>
  <si>
    <t>0611183</t>
  </si>
  <si>
    <t>0611184</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</si>
  <si>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</si>
  <si>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</si>
  <si>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Управління капітального будівництва Південнівської міської ради Одеського району Одеської області</t>
  </si>
  <si>
    <t>Надання загальної середньої освіти закладами загальної середньої освіти за рахунок коштів місцевого бюджету</t>
  </si>
  <si>
    <r>
      <t>Будівництво</t>
    </r>
    <r>
      <rPr>
        <b/>
        <vertAlign val="superscript"/>
        <sz val="12"/>
        <color rgb="FF333333"/>
        <rFont val="Times New Roman"/>
        <family val="1"/>
        <charset val="204"/>
      </rPr>
      <t>1</t>
    </r>
    <r>
      <rPr>
        <sz val="12"/>
        <color rgb="FF333333"/>
        <rFont val="Times New Roman"/>
        <family val="1"/>
        <charset val="204"/>
      </rPr>
      <t> закладів охорони здоров'я</t>
    </r>
  </si>
  <si>
    <t>(пункти 1.2, 1.3)</t>
  </si>
  <si>
    <t>"Додаток 2</t>
  </si>
  <si>
    <t>( пункт 1)"</t>
  </si>
  <si>
    <t>"Додаток 3</t>
  </si>
  <si>
    <t>( пункт 2)"</t>
  </si>
  <si>
    <t>Додаток 5</t>
  </si>
  <si>
    <t>(пункти 1.4)</t>
  </si>
  <si>
    <t>"Додаток 7</t>
  </si>
  <si>
    <t>(пункт 5)"</t>
  </si>
  <si>
    <t>Програма з виготовлення та розміщення соціальної реклами з питань популяризації та пропагування військової служби у військових формуваннях, правоохоронних органах спеціального призначення тощо, а також з питань життєзабезпечення Южненської міської територіальної громади на 2025-2027 роки</t>
  </si>
  <si>
    <t>Комплексна цільова програма "Електронна громада" на 2024-2026 роки</t>
  </si>
  <si>
    <t xml:space="preserve">Програма щодо відзначення, заохочення та вшанування пам'яті громадян, яким присвоєно звання  "Почесний громадянин Южненської міської територіальної громади" та нагороджених Почесною відзнакою "За заслуги перед Южненською міською територіальною громадою" на 2023-2025 роки,  шляхом викладення її в новій редакції" </t>
  </si>
  <si>
    <t>Міська програма підтримки суб’єкта у сфері аудіовізуальних медіа (КОМУНАЛЬНЕ НЕКОМЕРЦІЙНЕ ПІДПРИЄМСТВО "ТЕЛЕБАЧЕННЯ ГРОМАДИ"), засновником якого є Південнівська міська рада на 2024-2026 роки</t>
  </si>
  <si>
    <t xml:space="preserve">Рішення ЮМР від 23.08.2023 року № 1428-VIІI </t>
  </si>
  <si>
    <t xml:space="preserve">Рішення ЮМР від 29.08.2024 року № 1820-VIІI </t>
  </si>
  <si>
    <t>Програма національно-патріотичного виховання дітей та молоді  Южненської міської територіальної  громади на 2024-2026 роки</t>
  </si>
  <si>
    <t>1516013</t>
  </si>
  <si>
    <t>1516030</t>
  </si>
  <si>
    <t>1512170</t>
  </si>
  <si>
    <t>2170</t>
  </si>
  <si>
    <t xml:space="preserve">Найменування  об'єкта  будівництва/вид будівельних робіт, у тому числі проєктні роботи </t>
  </si>
  <si>
    <t>8240</t>
  </si>
  <si>
    <t>Управління освіти Південнівської міської ради Одеського району Одеської області</t>
  </si>
  <si>
    <t>1183</t>
  </si>
  <si>
    <t>1184</t>
  </si>
  <si>
    <t>1511021</t>
  </si>
  <si>
    <t>Капітальний ремонт системи вентиляції в приміщеннях найпростішого укриття № ХХІІІ; XХVII; XXIV; XXVIII; XXXII; XXXI; XXIX-XXX; XXXIX; XXXIII; XXXIV; XXXIX-1; XXXV; XXXV-1; XXXVI; XXXVII; XXXVIII; XXXVII-1; XXXVIII-1; I-1;I-2, що планується використовувати для укриття учасників освітнього процесу Ліцею № 3 "Авторська школа М.П.Гузика" Южненської міської ради Одеського району Одеської області за адресою: Одеська область, Одеський район, Южненська територіальна громада, м. Южне, вул. Хіміків, 10-А, в т.ч.:</t>
  </si>
  <si>
    <t>2024-2025 роки</t>
  </si>
  <si>
    <t>Капітальний ремонт частини підвального приміщення з влаштуванням споруд подвійного призначення з властивостями найпростішого укриття блоку № 3, що планується використовувати для укриття учасників освітнього процесу Ліцею № 1 Южненської міської ради Одеського району Одеської області за адресою: просп. Миру, будинок 19-А, м .Южне, Одеського району, Одеської області, у т.ч.:</t>
  </si>
  <si>
    <t>2023-2025  роки</t>
  </si>
  <si>
    <t xml:space="preserve">2025 рік </t>
  </si>
  <si>
    <t xml:space="preserve">Проєктні роботи "Реконструкція електричних мереж з встановленням сонячної станції на покрівлі КНП "Південнівська міська лікарня" Південнівської міської ради за адресою: Одеська область, Одеський район, м. Південне, вул. Хіміків, 1" </t>
  </si>
  <si>
    <t>2020,2023-2025 роки</t>
  </si>
  <si>
    <t xml:space="preserve">проектні роботи </t>
  </si>
  <si>
    <t>коригування проектної документації</t>
  </si>
  <si>
    <t xml:space="preserve">кошти на оплату послуг, пов'язаних із підготовкою до виконання робіт, їх здійсненням та введенням об'єктів будівництва в експлуатацію </t>
  </si>
  <si>
    <t>Капітальний ремонт ділянки теплових мереж від ТК-15 до вводів у будівлі Ліцею №1 та ЗДО №3 м.Южного Одеського району Одеської області, у т.ч.:</t>
  </si>
  <si>
    <t xml:space="preserve">2024-2025 роки </t>
  </si>
  <si>
    <t>Капітальний ремонт твердого покриття (пішохідна доріжка) вздовж житлових будинків по просп. Миру, 15,17,25 м. Южного Одеської області, в т.ч.:</t>
  </si>
  <si>
    <t>2021-2025 роки</t>
  </si>
  <si>
    <t>проектно-вишукувальні роботи</t>
  </si>
  <si>
    <t>Коригування проєктної документації: "Нове будівництво колумбарію на території Южненського кладовища, за адресою: 65481, Одеська область, Одеський район,  Южненська територіальна громада, м. Южне, Южненське кладовище"</t>
  </si>
  <si>
    <t>Проєктні роботи «Реконструкція благоустрою загальноміських територій з влаштуванням дитячого майданчику біля житлового будинку по вул. Хіміків, 18 м. Південного Одеського району Одеської області»</t>
  </si>
  <si>
    <t>"Додаток 8</t>
  </si>
  <si>
    <t>(пункт 1.2)"</t>
  </si>
  <si>
    <t>від 24 грудня  2024  року</t>
  </si>
  <si>
    <t>Служба у справах дітей Південнівської міської ради Одеського району Одеської області</t>
  </si>
  <si>
    <t>Фонд комунального майна Південнівської міської ради Одеського району Одеської області</t>
  </si>
  <si>
    <t>Рішення ЮМР від 18.06.2020 року № 1760-VII з внесеними змінами від  24.12.2024 року  № 2025 -VIIІ шляхом викладення у новій редакції</t>
  </si>
  <si>
    <t>Рішення ЮМР від 28.10.2022 року            №1091 -VIIІ з внесеними змінами від  06.03.2025 року   № 2103-VIIІ шляхом викладення у новій редакції</t>
  </si>
  <si>
    <t>Програма місцевих стимулів для працівників Комунального некомерційного підприємства"Південнівська міська лікарня" Південнівськоїї міської ради на 2023-2025 роки</t>
  </si>
  <si>
    <t>0819770</t>
  </si>
  <si>
    <t>Управління культури, спорту та молодіжної політики Південнівської міської ради Одеського району Одеської області</t>
  </si>
  <si>
    <t>0219800</t>
  </si>
  <si>
    <t>Субвенція з місцевого бюджету державному бюджету на виконання програм соціально-економічного розвитку регіонів</t>
  </si>
  <si>
    <t>Додаток 4</t>
  </si>
  <si>
    <t>"Додаток 5</t>
  </si>
  <si>
    <t>(пункт 3)"</t>
  </si>
  <si>
    <t>Програма поховання померлих одиноких громадян, осіб без місця проживання, громадян, від поховання яких відмовились рідні та знайдених невпізнаних трупів на території Южненської міської територіальної громади на 2025-2027 роки</t>
  </si>
  <si>
    <t xml:space="preserve">Рішення ПМР від 24.12.2024 року № 2023-VІІІ  </t>
  </si>
  <si>
    <t>Управління культури, спорту та молодіжної політики Південнівськоїміської ради Одеського району Одеської області</t>
  </si>
  <si>
    <t>Інші заходи у сфері зв'язку, телекомунікації та інформатики</t>
  </si>
  <si>
    <t>9800</t>
  </si>
  <si>
    <t>Капітальні трансферти органам державного управління інших рівнів</t>
  </si>
  <si>
    <t>"Додаток 1</t>
  </si>
  <si>
    <t xml:space="preserve">"Про бюджет Южненської міської  </t>
  </si>
  <si>
    <t>територіальної громади на 2025 рік"</t>
  </si>
  <si>
    <t>№ 2061-VIII</t>
  </si>
  <si>
    <t>(пункт 1)"</t>
  </si>
  <si>
    <t>Доходи місцевого бюджету на 2025 рік</t>
  </si>
  <si>
    <t>Найменування згідно з Класифікацією доходів бюджету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</si>
  <si>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</si>
  <si>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</si>
  <si>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</si>
  <si>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</si>
  <si>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</si>
  <si>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</si>
  <si>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11020000</t>
  </si>
  <si>
    <t>Податок на прибуток підприємств  </t>
  </si>
  <si>
    <t>14000000</t>
  </si>
  <si>
    <t>Внутрішні податки на товари та послуги  </t>
  </si>
  <si>
    <t>14020000</t>
  </si>
  <si>
    <t>Акцизний податок з вироблених в Україні підакцизних товарів (продукції) </t>
  </si>
  <si>
    <t>14030000</t>
  </si>
  <si>
    <t>Акцизний податок з ввезених на митну територію України підакцизних товарів (продукції) </t>
  </si>
  <si>
    <t>14040000</t>
  </si>
  <si>
    <t>Акцизний податок з реалізації суб`єктами господарювання роздрібної торгівлі підакцизних товарів </t>
  </si>
  <si>
    <t>18000000</t>
  </si>
  <si>
    <t>Місцеві податки та збори, що сплачуються (перераховуються) згідно з Податковим кодексом України</t>
  </si>
  <si>
    <t>18010000</t>
  </si>
  <si>
    <t>Податок на майно </t>
  </si>
  <si>
    <t>Податок на нерухоме майно, відмінне від земельної ділянки</t>
  </si>
  <si>
    <t>Податок на нерухоме майно, відмінне від земельної ділянки, сплачений юридичними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</si>
  <si>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</si>
  <si>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нежитлової нерухомості </t>
  </si>
  <si>
    <t>Податок на нерухоме майно, відмінне від земельної ділянки, сплачений юридичними особами, які є власниками об`єктів нежитлової нерухомості </t>
  </si>
  <si>
    <t>Плата за землю</t>
  </si>
  <si>
    <t>Земельний податок з юридичних осіб </t>
  </si>
  <si>
    <t>Орендна плата з юридичних осіб </t>
  </si>
  <si>
    <t>Земельний податок з фізичних осіб </t>
  </si>
  <si>
    <t>Орендна плата з фізичних осіб </t>
  </si>
  <si>
    <t>Транспортний податок з фізичних осіб</t>
  </si>
  <si>
    <t>18030000</t>
  </si>
  <si>
    <t>Туристичний збір </t>
  </si>
  <si>
    <t>18050000</t>
  </si>
  <si>
    <t>Єдиний податок  </t>
  </si>
  <si>
    <t>19000000</t>
  </si>
  <si>
    <t>Інші податки та збори </t>
  </si>
  <si>
    <t>19010000</t>
  </si>
  <si>
    <t>Екологічний податок </t>
  </si>
  <si>
    <t>20000000</t>
  </si>
  <si>
    <t>Неподаткові надходження  </t>
  </si>
  <si>
    <t>21000000</t>
  </si>
  <si>
    <t>Доходи від власності та підприємницької діяльності  </t>
  </si>
  <si>
    <t>21010300</t>
  </si>
  <si>
    <t>Частина чистого прибутку (доходу) комунальних унітарних підприємств та їх об`єднань, що вилучається до відповідного місцевого бюджету</t>
  </si>
  <si>
    <t>21081100</t>
  </si>
  <si>
    <t>Адміністративні штрафи та інші санкції </t>
  </si>
  <si>
    <t>21081700</t>
  </si>
  <si>
    <t>Плата за встановлення земельного сервітуту</t>
  </si>
  <si>
    <t>22000000</t>
  </si>
  <si>
    <t>Адміністративні збори та платежі, доходи від некомерційної господарської діяльності </t>
  </si>
  <si>
    <t>22010300</t>
  </si>
  <si>
    <t xml:space="preserve">Адміністративний збір , що справляється відповідно до Закону України "Про державну реестрацію юридичних осіб, фізичних осіб-підприємців та громадських формувань" </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</si>
  <si>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</si>
  <si>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</si>
  <si>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</si>
  <si>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 </t>
  </si>
  <si>
    <t>22080400</t>
  </si>
  <si>
    <t>Надходження від орендної плати за користування майновим комплексом та іншим майном, що перебуває в комунальній власності</t>
  </si>
  <si>
    <t>22090000</t>
  </si>
  <si>
    <t>Державне мито  </t>
  </si>
  <si>
    <t>24000000</t>
  </si>
  <si>
    <t>Інші неподаткові надходження  </t>
  </si>
  <si>
    <t>24060300</t>
  </si>
  <si>
    <t>Інші надходження  </t>
  </si>
  <si>
    <t>24062200</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</si>
  <si>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t>
  </si>
  <si>
    <t>24170000</t>
  </si>
  <si>
    <t>Надходження коштів пайової участі у розвитку інфраструктури населеного пункту</t>
  </si>
  <si>
    <t>25000000</t>
  </si>
  <si>
    <t>Власні надходження бюджетних установ  </t>
  </si>
  <si>
    <t>25010000</t>
  </si>
  <si>
    <t>Надходження від плати за послуги, що надаються бюджетними установами згідно із законодавством </t>
  </si>
  <si>
    <t>30000000</t>
  </si>
  <si>
    <t>Доходи від операцій з капіталом  </t>
  </si>
  <si>
    <t>33010100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</si>
  <si>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</si>
  <si>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Усього доходів (без урахування міжбюджетних трансфертів)</t>
  </si>
  <si>
    <t>40000000</t>
  </si>
  <si>
    <t>Офіційні трансферти  </t>
  </si>
  <si>
    <t>41000000</t>
  </si>
  <si>
    <t>Від органів державного управління  </t>
  </si>
  <si>
    <t>Дотації з державного бюджету місцевим бюджетам</t>
  </si>
  <si>
    <t>41030000</t>
  </si>
  <si>
    <t>Субвенції з державного бюджету місцевим бюджетам</t>
  </si>
  <si>
    <t>Субвенції з місцевих бюджетів іншим місцевим бюджетам</t>
  </si>
  <si>
    <t>Інші субвенції з місцевого бюджету (компенсаційні виплати особам з інвалідністю на бензин, ремонт, технічне обслуговування автомобілів, мотоколясок і на транспортне обслуговування)</t>
  </si>
  <si>
    <t>Разом доходів</t>
  </si>
  <si>
    <t>Дотації з місцевих бюджетів іншим місцевим бюджетам</t>
  </si>
  <si>
    <t>Інші дотації з місцевого бюджету</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</si>
  <si>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</si>
  <si>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Виконання окремих заходів з реалізації соціального проекту "Активні парки - локації здорової України"</t>
  </si>
  <si>
    <t>0619750</t>
  </si>
  <si>
    <t>Субвенція з місцевого бюджету на співфінансування інвестиційних проектів</t>
  </si>
  <si>
    <t>41057700</t>
  </si>
  <si>
    <t>Муніципальна інвестиційна програма розвитку Южненської міської територіальної громади на 2025-2027 роки</t>
  </si>
  <si>
    <t>Капітальний ремонт автоматичної системи протипожежного захисту в приміщеннях найпростішого укриття прибудови, що планується використовувати для укриття учасників освітнього процесу Комунального опорного закладу загальної середньої освіти «Ліцей №2» Південнівської міської ради Одеського району Одеської області за адресою: Одеська область, Одеський район, Южненська територіальна громада, м. Південне, просп. Миру, 18, у т.ч.:</t>
  </si>
  <si>
    <t>Капітальний ремонт (заміна віконних блоків) пошкоджених  внаслідок збройної агресії об’єктів критичної інфраструктури: будівлі котельні та будівлі АПК і РММ комплексу "КОТЕЛЬНА", за адресою: Одеська область, Одеський район, Южненська територіальна громада, м. Південне, вул. Старомиколаївське шосе, будинок 8, у т.ч.:</t>
  </si>
  <si>
    <t>Додаток 6</t>
  </si>
  <si>
    <t>(пункти 1.2)</t>
  </si>
  <si>
    <t>Рішення ЮМР від 13.07.2023 року №1402 -VIIІ з внесеними змінами від  10.04.2025 року № 2183-VIII шляхом викладення у новій редакції</t>
  </si>
  <si>
    <t>Рішення Южненської міської ради  від 29.04.2021 року №360-VIIІ з внесеними змінами  від  22.05.2025 року № 2248-VIII, шляхом викладення у новій редакції</t>
  </si>
  <si>
    <t>Субвенція з місцевого бюджету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відповідної субвенції з державного бюджету</t>
  </si>
  <si>
    <t>0218110</t>
  </si>
  <si>
    <t>0611231</t>
  </si>
  <si>
    <t>0611232</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</si>
  <si>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t>
  </si>
  <si>
    <t>Виконання заходів щодо забезпечення реалізації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</si>
  <si>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Проєктні роботи: «Капітальний ремонт систем вентиляції та кондиціонування адміністративної будівлі, яка знаходиться в комунальній власності, за адресою: Одеська область, Одеський район, Южненська територіальна громада, м. Південне, проспект Григорівського десанту, 18»</t>
  </si>
  <si>
    <t>1512010</t>
  </si>
  <si>
    <t>Капітальний ремонт частини підвального приміщення закладу охорони здоров'я з влаштуванням найпростішого укриття, що розміщується за адресою: Одеська область, Одеський район, м. Южне, вул. Будівельників, 19, у т.ч.:</t>
  </si>
  <si>
    <t xml:space="preserve">проєктні роботи </t>
  </si>
  <si>
    <t xml:space="preserve">2023 - 2025 роки </t>
  </si>
  <si>
    <t>Нове будівництво колумбарію на території Южненського кладовища, за адресою: 65481, Одеська область, Одеський район,  Южненська територіальна громада, м. Южне, Южненське кладовище, у т.ч.:</t>
  </si>
  <si>
    <t>2023-2025 роки</t>
  </si>
  <si>
    <t>Програма «Поліцейський офіцер громади» Южненської міської територіальної громади Одеського району Одеської області на 2025-2027 роки</t>
  </si>
  <si>
    <t>Програма підвищення ефективності діяльності прикордонних загонів Південного регіонального управління Державної прикордонної служби України на 2025-2027 роки</t>
  </si>
  <si>
    <t>Програма протидії злочинності та посилення публічної безпеки на території Южненської міської територіальної громади Одеського району Одеської області на 2024-2026 роки</t>
  </si>
  <si>
    <t xml:space="preserve">Рішення ПМР від  09.03.2024 року № 1680-VIIІ з внесеними змінами від 14.11.2024 року № 1932-VIII шляхом викладення  у новій редакції  </t>
  </si>
  <si>
    <t>Капітальний ремонт частини підвального приміщення Комунального опорного закладу загальної середньої освіти "Ліцей № 2" Південнівської міської ради Одеського району Одеської області з влаштуванням найпростішого укриття, що планується використовувати для укриття учасників освітнього процесу за адресою:  Одеська область, Одеський район, м. Південне, просп. Миру, 18, в т.ч.:</t>
  </si>
  <si>
    <t>Рішення ЮМР від 13.07.2023 року № 1401-VIІI з внесеними змінами від  24.07.2025 року № 2293-VIIІ шляхом викладення у новій редакції</t>
  </si>
  <si>
    <t>Рішення ЮМР від 13.07.2023 року № 1401-VIІI з внесеними змінами від 24.07.2025 року № 2293-VIIІ шляхом викладення у новій редакції</t>
  </si>
  <si>
    <t>Рішення ПМР від  24.07.2025 року №  2295-VIII</t>
  </si>
  <si>
    <t>Рішення ЮМР від 07.03.2023 року               №1299-VIIІ з внесеними змінами від   22.05.2025 року   № 2243-VIII шляхом викладення у новій редакції</t>
  </si>
  <si>
    <t xml:space="preserve">Рішення Южненської міської ради від 14.11.2024 року № 1919-VIIІ  з внесеними змінами  від  10.04.2025  року № 2180-VIII, шляхом викладення у новій редакції  </t>
  </si>
  <si>
    <t>Рішення ЮМР від 07.03.2023 року               №1299-VIIІ з внесеними змінами від  22.05.2025 року   № 2243-VIII шляхом викладення у новій редакції</t>
  </si>
  <si>
    <t xml:space="preserve">Рішення Южненської міської ради від 26.10.2023 року № 1503-VIIІ  з внесеними змінами  від 24.07.2025  року № 2292 -VIII, шляхом викладення у новій редакції  </t>
  </si>
  <si>
    <t>Рішення ПМР від 06.03.2025 року № 2094-VІІІ з внесеними змінами від  24.07.2025 року  № 2288 -VIIІ шляхом викладення у новій редакції</t>
  </si>
  <si>
    <t xml:space="preserve">Рішення ЮМР від 14.12.2023 року № 1567-VIIІ  з внесеними змінами  від  24.07.2025 року №2300-VIII шляхом викладення  у новій редакції  </t>
  </si>
  <si>
    <t xml:space="preserve">Одеського району Одеської області </t>
  </si>
  <si>
    <t>Рішення ЮМР від 07.03.2023 року               №1299-VIIІ з внесеними змінами від  22.05.2025 року   №  2243-VIII шляхом викладення у новій редакції</t>
  </si>
  <si>
    <t>Рішення ЮМР від 07.12.2022року               №1177-VIIІ з внесеними змінами від  14.12.2023 року   № 1602-VIII шляхом викладення у новій редакції</t>
  </si>
  <si>
    <t>Цільова програма "Соціальне таксі" на 2025 рік</t>
  </si>
  <si>
    <t>1510150</t>
  </si>
  <si>
    <t>Субвенція з державного бюджету місцевим бюджетам на забезпечення харчуванням учнів закладів загальної середньої освіти</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</si>
  <si>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</si>
  <si>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</si>
  <si>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Забезпечення харчуванням учнів закладів загальної середньої освіти за рахунок субвенції з державного бюджету місцевим бюджетам</t>
  </si>
  <si>
    <t>0611279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</si>
  <si>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</si>
  <si>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</si>
  <si>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</si>
  <si>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0611501</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</si>
  <si>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</si>
  <si>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Управління житлово-комунального господарства Південнівської міської ради Одеського району Одеської області</t>
  </si>
  <si>
    <t>Капітальний ремонт ділянки магістрального водопроводу від колодязя В 1 по проспекту Григорівського десанту до колодязя В 5  по вул. Т.Г. Шевченка м.Южного Одеського району Одеської області , у т.ч.:</t>
  </si>
  <si>
    <t>Нове будівництво меморіального скверу для вшанування загиблих військовослужбовців Збройних Сил України інших українських військових та правоохоронних формувань, а також добровольців які загинули в боях за Україну, за адресою: пл. Перемоги, місто Южне, Одеський район, Одеська область, в т.ч.:</t>
  </si>
  <si>
    <t>проєктно-вишукувальні роботи</t>
  </si>
  <si>
    <t>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 а також добровольців які загинули в боях за Україну, за адресою: пл. Перемоги, місто Південне, Одеський район, Одеська область, в т.ч.:</t>
  </si>
  <si>
    <t>Управління економіки Південнівської міської ради Одеського району Одеської області</t>
  </si>
  <si>
    <t>3117660</t>
  </si>
  <si>
    <t>Виготовлення проєкту землеустрою щодо відведення земельної ділянки для продажу права оренди на земельних торгах</t>
  </si>
  <si>
    <t>Фінансове управління  Південнівської міської ради Одеського району Одеської області</t>
  </si>
  <si>
    <t>Фінансове управління Південнівської міської ради Одеського району Одеської області</t>
  </si>
  <si>
    <t xml:space="preserve">Рішення ЮМР від 13.07.2023 року № 1404-VII з внесеними змінами від  23.10.2025 року  №2365-VIIІ  </t>
  </si>
  <si>
    <t>Рішення ЮМР від 23.08.2023 року № 1431- VIIІ з внесеними змінами від  23.10.2025 року   № 2366-VIIІ шляхом викладення у новій редакції</t>
  </si>
  <si>
    <t>Рішення ЮМР від 23.08.2023 року № 1433- VIIІ з внесеними змінами від  23.10.2025 року   №  2367-VIIІ шляхом викладення у новій редакції</t>
  </si>
  <si>
    <t>Рішення ЮМР від 26.10.2023 року №1520-VІIІ з внесеними змінами від  23.10.2025 року  №  2382-VIIІ шляхом викладення у новій редакції</t>
  </si>
  <si>
    <t>Рішення Южненської міської ради від 14.11.2024 року № 1968-VIIІ  з внесеними змінами від 23.10.2025 року № 2383-VIIІ шляхом викладення у новій редакції</t>
  </si>
  <si>
    <t>Інші субвенції з місцевого бюджету (заохочення та відзначення осіб (працівників), які виконують роботи з будівництва фортифікаційних споруд на територіях, де ведуться бойові дії)</t>
  </si>
  <si>
    <t xml:space="preserve">"Про  бюджет Южненської міської  </t>
  </si>
  <si>
    <t>від  24 грудня 2024 року</t>
  </si>
  <si>
    <t xml:space="preserve">Перелік об'єктів, видатки по яких планується здійснювати у 2025 році на природоохоронні заходи  </t>
  </si>
  <si>
    <t>Найменування  заходу</t>
  </si>
  <si>
    <t>Обсяг видатків на бюджетний період</t>
  </si>
  <si>
    <t>Озеленення території Южненської міської територіальної громади   у т.ч.</t>
  </si>
  <si>
    <t xml:space="preserve">Придбання пластикових сміттєприймальних контейнерів, об"ємом 1,1 м³                                    </t>
  </si>
  <si>
    <t>Додаток 7</t>
  </si>
  <si>
    <t>"Додаток 9</t>
  </si>
  <si>
    <t>(пункт 6)"</t>
  </si>
  <si>
    <t>Капітальний ремонт ділянки теплових мереж від ЦТП №29 до вводу у житлові будинки по просп. Григорівського десанту, 26, 28, 30/16, вул. Хіміків, 18,будівель по просп. Григорівського десанту, 26а та 24а м.Южного Одеської області, в т.ч.:</t>
  </si>
  <si>
    <t>(пункт 1.5)</t>
  </si>
  <si>
    <t>Управління архітектури та містобудування Південнівської міської ради Одеського району Одеської області</t>
  </si>
  <si>
    <t>Управління житлово-комунального господарства                                Південнівської міської ради Одеського району Одеської області</t>
  </si>
  <si>
    <t xml:space="preserve">Управління житлово-комунального господарства Південнівської міської ради Одеського району Одеської області </t>
  </si>
  <si>
    <t xml:space="preserve"> 
Будівництво закладів охорони здоров'я</t>
  </si>
  <si>
    <t>Нове будівництво елементів благоустрою сектору військових поховань Захисників України на території Нового кладовища с. Сичавка Південнівської міської територіальної громади Одеського району Одеської області, у т. ч.:</t>
  </si>
  <si>
    <t>Рішення ЮМР від 26.10.2023 року № 1511-VIIІ  з внесеними змінами від  23.10.2025 року № 2368-VIIІ шляхом викладення у новій редакції</t>
  </si>
  <si>
    <t>Рішення ЮМР від 14.10.2024 року № 1892-VІІІ з внесеними змінами від   18.12.2025 року  № 2445-VIIІ шляхом викладення у новій редакції</t>
  </si>
  <si>
    <t>Програма розвитку освіти Південнівської міської територіальної громади  на 2025-2027 роки</t>
  </si>
  <si>
    <t>'Програма розвитку освіти Південнівської міської територіальної громади  на 2025-2027 роки</t>
  </si>
  <si>
    <t>Цільова соціальна програма Молодь Південнівської міської територіальної громади на 2025-2027 роки</t>
  </si>
  <si>
    <t>Рішення ЮМР від 29.08.2024 року № 1816-VІІІ з внесеними змінами від 18.12. 2025 року № 2449-VIIІ шляхом викладення у новій редакції</t>
  </si>
  <si>
    <t xml:space="preserve">Рішення ПМР від 24.07.2025 року № 2296-VIIIз внесеними змінами від  18.12.2025 року № 2459-VIII шляхом викладення  у новій редакції  </t>
  </si>
  <si>
    <t xml:space="preserve">Рішення ПМР від  24.07.2025 року № 2297-VIIIз внесеними змінами від  18.12.2025 року № 2460-VIII шляхом викладення  у новій редакції  </t>
  </si>
  <si>
    <t>Програма зміцнення законності, безпеки та порядку на території Південнівської міської територіальної громади Одеського району Одеської області на 2025-2027 роки</t>
  </si>
  <si>
    <t>Програма підготовки територіальної оборони та місцевого населення до участі в русі національного спротиву, посилення заходів громадської безпеки в Південнівській міській територіальній громаді Одеського району Одеської області на 2025-2027 роки</t>
  </si>
  <si>
    <t xml:space="preserve">Рішення ПМР від  06.03.2025 року № 2109-VIIІ з внесеними змінами від  18.12.2025 року № 2461-VIII шляхом викладення  у новій редакції  </t>
  </si>
  <si>
    <t>Програма створення та використання матеріальних резервів для запобігання і ліквідації наслідків надзвичайних ситуацій на території Південнівської міської територіальної громади на 2023-2025 роки</t>
  </si>
  <si>
    <t>Рішення ЮМР від 24.12.2024 року № 2040-VIІІ з внесеними змінами від 18.12.2025 року № 2473-VIIІ шляхом викладення у новій редакції</t>
  </si>
  <si>
    <t>Програма забезпечення діяльності ПІВДЕННІВСЬКОГО КОМУНАЛЬНОГО ПІДПРИЄМСТВА "МУНІЦИПАЛЬНА ВАРТА" на 2025-2027 роки</t>
  </si>
  <si>
    <t>Програма капітального ремонту (модернізації, заміни) ліфтів в місті Південному Одеського району Одеської області на 2024-2026 роки</t>
  </si>
  <si>
    <t>Рішення ЮМР від 06.06.2024 року № 1735-VIІI з внесеними змінами від 18.12.2025 року № 2466-VIIІ шляхом викладення у новій редакції</t>
  </si>
  <si>
    <t>Програма реформування і розвитку житлово-комунального господарства Південнівської міської територіальної громади на 2025-2027 роки</t>
  </si>
  <si>
    <t>Рішення ЮМР від 29.08.2024 року № 1856-VIІI з внесеними змінами від  18.12.2025 року № 2467 -VIIІ шляхом викладення у новій редакції</t>
  </si>
  <si>
    <t>Програма енергоефективності в житлово-комунальному господарстві та бюджетній сфері Південнівської міської територіальної громади на 2025-2027 роки</t>
  </si>
  <si>
    <t>Рішення ЮМР від 14.11.2024 року № 1934-VIІI з внесеними змінами від 18.12.2025 року № 2468-VIIІ шляхом викладення у новій редакції</t>
  </si>
  <si>
    <t>Програма розвитку інфраструктури Південнівської міської територіальної громади на 2025-2027 роки</t>
  </si>
  <si>
    <t>Рішення ЮМР від 24.12.2024 року № 2053-VIІI з внесеними змінами від 18.12.2025 року №2474-VIIІ шляхом викладення у новій редакції</t>
  </si>
  <si>
    <t>Рішення ЮМР від 28.10.2022 року № 1121-VIІI з внесеними змінами від 18.12.2025 року № 2481 -VIIІ шляхом викладення у новій редакції</t>
  </si>
  <si>
    <r>
      <t>Будівництво</t>
    </r>
    <r>
      <rPr>
        <b/>
        <vertAlign val="superscript"/>
        <sz val="12"/>
        <color theme="1"/>
        <rFont val="Times New Roman"/>
        <family val="1"/>
        <charset val="204"/>
      </rPr>
      <t>1</t>
    </r>
    <r>
      <rPr>
        <sz val="12"/>
        <color theme="1"/>
        <rFont val="Times New Roman"/>
        <family val="1"/>
        <charset val="204"/>
      </rPr>
      <t> закладів охорони здоров'я</t>
    </r>
  </si>
  <si>
    <t>від  18.12.2025 року</t>
  </si>
  <si>
    <t>№ 2482-VIII</t>
  </si>
  <si>
    <t xml:space="preserve">Рішення ЮМР від 14.11.2024 року               № 1915-VIIІ </t>
  </si>
  <si>
    <t>від 18.12.2025 року</t>
  </si>
  <si>
    <t xml:space="preserve">№ 2482-VIII </t>
  </si>
  <si>
    <t>від  18.2.2025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</si>
</sst>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р_._-;\-* #,##0.00_р_._-;_-* &quot;-&quot;??_р_._-;_-@_-"/>
    <numFmt numFmtId="165" formatCode="#,##0;\-#,##0;#,&quot;-&quot;"/>
    <numFmt numFmtId="166" formatCode="_-* #,##0.00\ _г_р_н_._-;\-* #,##0.00\ _г_р_н_._-;_-* &quot;-&quot;??\ _г_р_н_._-;_-@_-"/>
    <numFmt numFmtId="167" formatCode="_-* #,##0\ _г_р_н_._-;\-* #,##0\ _г_р_н_._-;_-* &quot;-&quot;??\ _г_р_н_._-;_-@_-"/>
    <numFmt numFmtId="168" formatCode="#,##0.00;[Red]#,##0.00"/>
    <numFmt numFmtId="169" formatCode="#,##0_ ;\-#,##0\ "/>
    <numFmt numFmtId="170" formatCode="_-* #,##0_р_._-;\-* #,##0_р_._-;_-* &quot;-&quot;??_р_._-;_-@_-"/>
    <numFmt numFmtId="171" formatCode="0.0%"/>
  </numFmts>
  <fonts count="49" x14ac:knownFonts="1">
    <font>
      <sz val="10"/>
      <color theme="1"/>
      <name val="Calibri"/>
      <family val="2"/>
      <charset val="204"/>
      <scheme val="minor"/>
    </font>
    <font>
      <sz val="11"/>
      <color theme="1"/>
      <name val="Calibri"/>
      <family val="2"/>
      <charset val="204"/>
      <scheme val="minor"/>
    </font>
    <font>
      <sz val="10"/>
      <color theme="1"/>
      <name val="Times New Roman"/>
      <family val="1"/>
      <charset val="204"/>
    </font>
    <font>
      <b/>
      <sz val="16"/>
      <color theme="1"/>
      <name val="Times New Roman"/>
      <family val="1"/>
      <charset val="204"/>
    </font>
    <font>
      <sz val="16"/>
      <color theme="1"/>
      <name val="Times New Roman"/>
      <family val="1"/>
      <charset val="204"/>
    </font>
    <font>
      <b/>
      <u/>
      <sz val="12"/>
      <color theme="1"/>
      <name val="Times New Roman"/>
      <family val="1"/>
      <charset val="204"/>
    </font>
    <font>
      <sz val="12"/>
      <color theme="1"/>
      <name val="Times New Roman"/>
      <family val="1"/>
      <charset val="204"/>
    </font>
    <font>
      <b/>
      <sz val="12"/>
      <color theme="1"/>
      <name val="Times New Roman"/>
      <family val="1"/>
      <charset val="204"/>
    </font>
    <font>
      <sz val="12"/>
      <name val="Times New Roman"/>
      <family val="1"/>
      <charset val="204"/>
    </font>
    <font>
      <i/>
      <sz val="12"/>
      <color theme="1"/>
      <name val="Times New Roman"/>
      <family val="1"/>
      <charset val="204"/>
    </font>
    <font>
      <sz val="10"/>
      <name val="Times New Roman"/>
      <family val="1"/>
      <charset val="204"/>
    </font>
    <font>
      <sz val="12"/>
      <color indexed="8"/>
      <name val="Times New Roman"/>
      <family val="1"/>
      <charset val="204"/>
    </font>
    <font>
      <sz val="10"/>
      <name val="Arial Cyr"/>
      <charset val="204"/>
    </font>
    <font>
      <sz val="14"/>
      <name val="Times New Roman"/>
      <family val="1"/>
      <charset val="204"/>
    </font>
    <font>
      <sz val="10"/>
      <color theme="1"/>
      <name val="Calibri"/>
      <family val="2"/>
      <charset val="204"/>
      <scheme val="minor"/>
    </font>
    <font>
      <sz val="11"/>
      <color theme="1"/>
      <name val="Times New Roman"/>
      <family val="1"/>
      <charset val="204"/>
    </font>
    <font>
      <b/>
      <sz val="12"/>
      <name val="Times New Roman"/>
      <family val="1"/>
      <charset val="204"/>
    </font>
    <font>
      <sz val="12"/>
      <color rgb="FF000000"/>
      <name val="Times New Roman"/>
      <family val="1"/>
      <charset val="204"/>
    </font>
    <font>
      <b/>
      <i/>
      <sz val="12"/>
      <color theme="1"/>
      <name val="Times New Roman"/>
      <family val="1"/>
      <charset val="204"/>
    </font>
    <font>
      <i/>
      <sz val="12"/>
      <name val="Times New Roman"/>
      <family val="1"/>
      <charset val="204"/>
    </font>
    <font>
      <sz val="11"/>
      <name val="Times New Roman"/>
      <family val="1"/>
      <charset val="204"/>
    </font>
    <font>
      <b/>
      <sz val="16"/>
      <name val="Times New Roman"/>
      <family val="1"/>
      <charset val="204"/>
    </font>
    <font>
      <u/>
      <sz val="12"/>
      <color indexed="8"/>
      <name val="Times New Roman"/>
      <family val="1"/>
      <charset val="204"/>
    </font>
    <font>
      <b/>
      <sz val="14"/>
      <color rgb="FF333333"/>
      <name val="Times New Roman"/>
      <family val="1"/>
      <charset val="204"/>
    </font>
    <font>
      <b/>
      <sz val="14"/>
      <name val="Times New Roman"/>
      <family val="1"/>
      <charset val="204"/>
    </font>
    <font>
      <i/>
      <sz val="16"/>
      <name val="Times New Roman"/>
      <family val="1"/>
      <charset val="204"/>
    </font>
    <font>
      <sz val="16"/>
      <name val="Times New Roman"/>
      <family val="1"/>
      <charset val="204"/>
    </font>
    <font>
      <sz val="16"/>
      <color rgb="FF000000"/>
      <name val="Times New Roman"/>
      <family val="1"/>
      <charset val="204"/>
    </font>
    <font>
      <b/>
      <sz val="16"/>
      <color indexed="8"/>
      <name val="Times New Roman"/>
      <family val="1"/>
      <charset val="204"/>
    </font>
    <font>
      <b/>
      <i/>
      <sz val="14"/>
      <name val="Times New Roman"/>
      <family val="1"/>
      <charset val="204"/>
    </font>
    <font>
      <sz val="16"/>
      <color theme="1"/>
      <name val="Calibri"/>
      <family val="2"/>
      <charset val="204"/>
      <scheme val="minor"/>
    </font>
    <font>
      <b/>
      <i/>
      <sz val="12"/>
      <name val="Times New Roman"/>
      <family val="1"/>
      <charset val="204"/>
    </font>
    <font>
      <b/>
      <sz val="10"/>
      <color theme="1"/>
      <name val="Calibri"/>
      <family val="2"/>
      <charset val="204"/>
      <scheme val="minor"/>
    </font>
    <font>
      <u/>
      <sz val="12"/>
      <name val="Times New Roman"/>
      <family val="1"/>
      <charset val="204"/>
    </font>
    <font>
      <sz val="12"/>
      <name val="Arial Cyr"/>
      <charset val="204"/>
    </font>
    <font>
      <b/>
      <sz val="14"/>
      <color theme="1"/>
      <name val="Times New Roman"/>
      <family val="1"/>
      <charset val="204"/>
    </font>
    <font>
      <sz val="14"/>
      <color theme="1"/>
      <name val="Times New Roman"/>
      <family val="1"/>
      <charset val="204"/>
    </font>
    <font>
      <sz val="14"/>
      <color theme="1"/>
      <name val="Calibri"/>
      <family val="2"/>
      <charset val="204"/>
      <scheme val="minor"/>
    </font>
    <font>
      <i/>
      <sz val="14"/>
      <name val="Times New Roman"/>
      <family val="1"/>
      <charset val="204"/>
    </font>
    <font>
      <sz val="12"/>
      <color rgb="FFFF0000"/>
      <name val="Times New Roman"/>
      <family val="1"/>
      <charset val="204"/>
    </font>
    <font>
      <i/>
      <sz val="16"/>
      <color theme="1"/>
      <name val="Times New Roman"/>
      <family val="1"/>
      <charset val="204"/>
    </font>
    <font>
      <i/>
      <sz val="14"/>
      <color theme="1"/>
      <name val="Times New Roman"/>
      <family val="1"/>
      <charset val="204"/>
    </font>
    <font>
      <sz val="12"/>
      <color rgb="FF333333"/>
      <name val="Times New Roman"/>
      <family val="1"/>
      <charset val="204"/>
    </font>
    <font>
      <b/>
      <vertAlign val="superscript"/>
      <sz val="12"/>
      <color rgb="FF333333"/>
      <name val="Times New Roman"/>
      <family val="1"/>
      <charset val="204"/>
    </font>
    <font>
      <b/>
      <sz val="18"/>
      <name val="Times New Roman"/>
      <family val="1"/>
      <charset val="204"/>
    </font>
    <font>
      <i/>
      <sz val="10"/>
      <color theme="1"/>
      <name val="Calibri"/>
      <family val="2"/>
      <charset val="204"/>
      <scheme val="minor"/>
    </font>
    <font>
      <b/>
      <sz val="12"/>
      <color indexed="8"/>
      <name val="Times New Roman"/>
      <family val="1"/>
      <charset val="204"/>
    </font>
    <font>
      <b/>
      <sz val="14"/>
      <color indexed="8"/>
      <name val="Times New Roman"/>
      <family val="1"/>
      <charset val="204"/>
    </font>
    <font>
      <b/>
      <vertAlign val="superscript"/>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thin">
        <color indexed="64"/>
      </right>
      <top style="medium">
        <color indexed="64"/>
      </top>
      <bottom/>
      <diagonal/>
    </border>
    <border>
      <left/>
      <right style="thin">
        <color indexed="64"/>
      </right>
      <top/>
      <bottom style="medium">
        <color indexed="64"/>
      </bottom>
      <diagonal/>
    </border>
  </borders>
  <cellStyleXfs count="5">
    <xf numFmtId="0" fontId="0" fillId="0" borderId="0"/>
    <xf numFmtId="166" fontId="12" fillId="0" borderId="0" applyFont="0" applyFill="0" applyBorder="0" applyAlignment="0" applyProtection="0"/>
    <xf numFmtId="0" fontId="14" fillId="0" borderId="0"/>
    <xf numFmtId="0" fontId="12" fillId="0" borderId="0"/>
    <xf numFmtId="164" fontId="14" fillId="0" borderId="0" applyFont="0" applyFill="0" applyBorder="0" applyAlignment="0" applyProtection="0"/>
  </cellStyleXfs>
  <cellXfs count="871">
    <xf numFmtId="0" fontId="0" fillId="0" borderId="0" xfId="0"/>
    <xf numFmtId="0" fontId="6" fillId="0" borderId="0" xfId="0" applyFont="1"/>
    <xf numFmtId="0" fontId="6" fillId="0" borderId="0" xfId="0" applyFont="1" applyAlignment="1">
      <alignment horizontal="right"/>
    </xf>
    <xf numFmtId="0" fontId="8" fillId="0" borderId="0" xfId="0" applyFont="1" applyAlignment="1">
      <alignment horizontal="left" vertical="center"/>
    </xf>
    <xf numFmtId="49" fontId="8" fillId="0" borderId="0" xfId="0" applyNumberFormat="1" applyFont="1" applyAlignment="1">
      <alignment vertical="center"/>
    </xf>
    <xf numFmtId="0" fontId="8" fillId="0" borderId="0" xfId="0" applyFont="1" applyAlignment="1">
      <alignment vertical="center"/>
    </xf>
    <xf numFmtId="0" fontId="8" fillId="0" borderId="2" xfId="0" applyFont="1" applyBorder="1"/>
    <xf numFmtId="49" fontId="8" fillId="0" borderId="2" xfId="0" applyNumberFormat="1" applyFont="1" applyBorder="1" applyAlignment="1">
      <alignment vertical="center"/>
    </xf>
    <xf numFmtId="165" fontId="6" fillId="2" borderId="1" xfId="0" applyNumberFormat="1" applyFont="1" applyFill="1" applyBorder="1" applyAlignment="1">
      <alignment horizontal="right" vertical="center"/>
    </xf>
    <xf numFmtId="0" fontId="6" fillId="0" borderId="12" xfId="0" applyFont="1" applyBorder="1" applyAlignment="1">
      <alignment horizontal="center" vertical="center" wrapText="1"/>
    </xf>
    <xf numFmtId="0" fontId="15" fillId="0" borderId="0" xfId="0" applyFont="1"/>
    <xf numFmtId="0" fontId="10" fillId="0" borderId="0" xfId="0" applyFont="1" applyAlignment="1">
      <alignment vertical="center"/>
    </xf>
    <xf numFmtId="0" fontId="15" fillId="0" borderId="0" xfId="0" applyFont="1" applyAlignment="1">
      <alignment horizontal="right"/>
    </xf>
    <xf numFmtId="0" fontId="6" fillId="0" borderId="22"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2" borderId="27" xfId="0" applyFont="1" applyFill="1" applyBorder="1" applyAlignment="1">
      <alignment horizontal="center" vertical="center" wrapText="1"/>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5" xfId="0" quotePrefix="1" applyFont="1" applyBorder="1" applyAlignment="1">
      <alignment vertical="center" wrapText="1"/>
    </xf>
    <xf numFmtId="165" fontId="7" fillId="2" borderId="15" xfId="0" applyNumberFormat="1" applyFont="1" applyFill="1" applyBorder="1" applyAlignment="1">
      <alignment horizontal="right" vertical="center"/>
    </xf>
    <xf numFmtId="165" fontId="7" fillId="0" borderId="15" xfId="0" applyNumberFormat="1" applyFont="1" applyBorder="1" applyAlignment="1">
      <alignment horizontal="right" vertical="center"/>
    </xf>
    <xf numFmtId="165" fontId="7" fillId="0" borderId="16" xfId="0" applyNumberFormat="1" applyFont="1" applyBorder="1" applyAlignment="1">
      <alignment horizontal="right" vertical="center"/>
    </xf>
    <xf numFmtId="49" fontId="9" fillId="0" borderId="17" xfId="0" applyNumberFormat="1" applyFont="1" applyBorder="1" applyAlignment="1">
      <alignment horizontal="center" vertical="center" wrapText="1"/>
    </xf>
    <xf numFmtId="0" fontId="9" fillId="0" borderId="18" xfId="0" applyFont="1" applyBorder="1" applyAlignment="1">
      <alignment horizontal="center" vertical="center" wrapText="1"/>
    </xf>
    <xf numFmtId="0" fontId="9" fillId="0" borderId="18" xfId="0" quotePrefix="1" applyFont="1" applyBorder="1" applyAlignment="1">
      <alignment vertical="center" wrapText="1"/>
    </xf>
    <xf numFmtId="165" fontId="6" fillId="2" borderId="18" xfId="0" applyNumberFormat="1" applyFont="1" applyFill="1" applyBorder="1" applyAlignment="1">
      <alignment horizontal="right" vertical="center"/>
    </xf>
    <xf numFmtId="165" fontId="6" fillId="0" borderId="18" xfId="0" applyNumberFormat="1" applyFont="1" applyBorder="1" applyAlignment="1">
      <alignment horizontal="right" vertical="center"/>
    </xf>
    <xf numFmtId="165" fontId="6" fillId="0" borderId="19" xfId="0" applyNumberFormat="1" applyFont="1" applyBorder="1" applyAlignment="1">
      <alignment horizontal="right" vertical="center"/>
    </xf>
    <xf numFmtId="0" fontId="6" fillId="0" borderId="1" xfId="0" quotePrefix="1" applyFont="1" applyBorder="1" applyAlignment="1">
      <alignment vertical="center" wrapText="1"/>
    </xf>
    <xf numFmtId="165" fontId="6" fillId="0" borderId="1" xfId="0" applyNumberFormat="1" applyFont="1" applyBorder="1" applyAlignment="1">
      <alignment horizontal="right" vertical="center"/>
    </xf>
    <xf numFmtId="165" fontId="6" fillId="0" borderId="10" xfId="0" applyNumberFormat="1" applyFont="1" applyBorder="1" applyAlignment="1">
      <alignment horizontal="right" vertical="center"/>
    </xf>
    <xf numFmtId="0" fontId="6" fillId="0" borderId="12" xfId="0" quotePrefix="1" applyFont="1" applyBorder="1" applyAlignment="1">
      <alignment vertical="center" wrapText="1"/>
    </xf>
    <xf numFmtId="165" fontId="6" fillId="2" borderId="12" xfId="0" applyNumberFormat="1" applyFont="1" applyFill="1" applyBorder="1" applyAlignment="1">
      <alignment horizontal="right" vertical="center"/>
    </xf>
    <xf numFmtId="165" fontId="6" fillId="0" borderId="12" xfId="0" applyNumberFormat="1" applyFont="1" applyBorder="1" applyAlignment="1">
      <alignment horizontal="right" vertical="center"/>
    </xf>
    <xf numFmtId="165" fontId="6" fillId="0" borderId="13" xfId="0" applyNumberFormat="1" applyFont="1" applyBorder="1" applyAlignment="1">
      <alignment horizontal="right" vertical="center"/>
    </xf>
    <xf numFmtId="165" fontId="9" fillId="2" borderId="18" xfId="0" applyNumberFormat="1" applyFont="1" applyFill="1" applyBorder="1" applyAlignment="1">
      <alignment horizontal="right" vertical="center"/>
    </xf>
    <xf numFmtId="165" fontId="9" fillId="0" borderId="18" xfId="0" applyNumberFormat="1" applyFont="1" applyBorder="1" applyAlignment="1">
      <alignment horizontal="right" vertical="center"/>
    </xf>
    <xf numFmtId="165" fontId="9" fillId="0" borderId="19" xfId="0" applyNumberFormat="1" applyFont="1" applyBorder="1" applyAlignment="1">
      <alignment horizontal="right" vertical="center"/>
    </xf>
    <xf numFmtId="49" fontId="9" fillId="0" borderId="6"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9" fillId="0" borderId="7" xfId="0" quotePrefix="1" applyFont="1" applyBorder="1" applyAlignment="1">
      <alignment vertical="center" wrapText="1"/>
    </xf>
    <xf numFmtId="165" fontId="9" fillId="2" borderId="7" xfId="0" applyNumberFormat="1" applyFont="1" applyFill="1" applyBorder="1" applyAlignment="1">
      <alignment horizontal="right" vertical="center"/>
    </xf>
    <xf numFmtId="165" fontId="9" fillId="0" borderId="7" xfId="0" applyNumberFormat="1" applyFont="1" applyBorder="1" applyAlignment="1">
      <alignment horizontal="right" vertical="center"/>
    </xf>
    <xf numFmtId="165" fontId="9" fillId="0" borderId="8" xfId="0" applyNumberFormat="1" applyFont="1" applyBorder="1" applyAlignment="1">
      <alignment horizontal="right" vertical="center"/>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8" xfId="0" quotePrefix="1" applyFont="1" applyBorder="1" applyAlignment="1">
      <alignment vertical="center" wrapText="1"/>
    </xf>
    <xf numFmtId="0" fontId="9" fillId="0" borderId="17" xfId="0" applyFont="1" applyBorder="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vertical="center" wrapText="1"/>
    </xf>
    <xf numFmtId="165" fontId="7" fillId="2" borderId="0" xfId="0" applyNumberFormat="1" applyFont="1" applyFill="1" applyAlignment="1">
      <alignment horizontal="right" vertical="center"/>
    </xf>
    <xf numFmtId="0" fontId="8" fillId="0" borderId="0" xfId="0" applyFont="1"/>
    <xf numFmtId="0" fontId="9" fillId="0" borderId="30" xfId="0" quotePrefix="1" applyFont="1" applyBorder="1" applyAlignment="1">
      <alignment vertical="center" wrapText="1"/>
    </xf>
    <xf numFmtId="0" fontId="6" fillId="0" borderId="5" xfId="0" quotePrefix="1" applyFont="1" applyBorder="1" applyAlignment="1">
      <alignment vertical="center" wrapText="1"/>
    </xf>
    <xf numFmtId="0" fontId="6" fillId="2" borderId="5" xfId="0" quotePrefix="1" applyFont="1" applyFill="1" applyBorder="1" applyAlignment="1">
      <alignment vertical="center" wrapText="1"/>
    </xf>
    <xf numFmtId="0" fontId="6" fillId="0" borderId="30" xfId="0" quotePrefix="1" applyFont="1" applyBorder="1" applyAlignment="1">
      <alignment vertical="center" wrapText="1"/>
    </xf>
    <xf numFmtId="0" fontId="17" fillId="0" borderId="0" xfId="0" applyFont="1" applyAlignment="1">
      <alignment vertical="center"/>
    </xf>
    <xf numFmtId="0" fontId="4" fillId="0" borderId="0" xfId="0" applyFont="1"/>
    <xf numFmtId="0" fontId="8" fillId="0" borderId="0" xfId="0" applyFont="1" applyAlignment="1">
      <alignment horizontal="right" vertical="center"/>
    </xf>
    <xf numFmtId="0" fontId="6" fillId="0" borderId="0" xfId="0" applyFont="1" applyAlignment="1">
      <alignment vertical="center"/>
    </xf>
    <xf numFmtId="0" fontId="3" fillId="0" borderId="0" xfId="0" applyFont="1" applyAlignment="1">
      <alignment horizontal="center"/>
    </xf>
    <xf numFmtId="0" fontId="4" fillId="0" borderId="0" xfId="0" applyFont="1" applyAlignment="1">
      <alignment horizontal="center"/>
    </xf>
    <xf numFmtId="0" fontId="5" fillId="0" borderId="0" xfId="0" quotePrefix="1" applyFont="1" applyAlignment="1">
      <alignment horizontal="left" vertical="top"/>
    </xf>
    <xf numFmtId="0" fontId="6" fillId="0" borderId="0" xfId="0" applyFont="1" applyAlignment="1">
      <alignment horizontal="left" vertical="top"/>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165" fontId="7" fillId="2" borderId="9" xfId="0" applyNumberFormat="1" applyFont="1" applyFill="1" applyBorder="1" applyAlignment="1">
      <alignment vertical="center"/>
    </xf>
    <xf numFmtId="165" fontId="7" fillId="2" borderId="1" xfId="0" applyNumberFormat="1" applyFont="1" applyFill="1" applyBorder="1" applyAlignment="1">
      <alignment vertical="center" wrapText="1"/>
    </xf>
    <xf numFmtId="165" fontId="7" fillId="2" borderId="1" xfId="0" applyNumberFormat="1" applyFont="1" applyFill="1" applyBorder="1" applyAlignment="1">
      <alignment horizontal="right" vertical="center"/>
    </xf>
    <xf numFmtId="165" fontId="7" fillId="2" borderId="10" xfId="0" applyNumberFormat="1" applyFont="1" applyFill="1" applyBorder="1" applyAlignment="1">
      <alignment horizontal="right" vertical="center"/>
    </xf>
    <xf numFmtId="165" fontId="6" fillId="2" borderId="9" xfId="0" applyNumberFormat="1" applyFont="1" applyFill="1" applyBorder="1" applyAlignment="1">
      <alignment vertical="center"/>
    </xf>
    <xf numFmtId="165" fontId="6" fillId="2" borderId="1" xfId="0" applyNumberFormat="1" applyFont="1" applyFill="1" applyBorder="1" applyAlignment="1">
      <alignment vertical="center" wrapText="1"/>
    </xf>
    <xf numFmtId="165" fontId="6" fillId="2" borderId="10" xfId="0" applyNumberFormat="1" applyFont="1" applyFill="1" applyBorder="1" applyAlignment="1">
      <alignment horizontal="right" vertical="center"/>
    </xf>
    <xf numFmtId="165" fontId="9" fillId="2" borderId="10" xfId="0" applyNumberFormat="1" applyFont="1" applyFill="1" applyBorder="1" applyAlignment="1">
      <alignment horizontal="right" vertical="center"/>
    </xf>
    <xf numFmtId="165" fontId="7" fillId="2" borderId="9" xfId="0" applyNumberFormat="1" applyFont="1" applyFill="1" applyBorder="1" applyAlignment="1">
      <alignment horizontal="center"/>
    </xf>
    <xf numFmtId="165" fontId="7" fillId="2" borderId="1" xfId="0" applyNumberFormat="1" applyFont="1" applyFill="1" applyBorder="1"/>
    <xf numFmtId="165" fontId="7" fillId="2" borderId="1" xfId="0" applyNumberFormat="1" applyFont="1" applyFill="1" applyBorder="1" applyAlignment="1">
      <alignment horizontal="right"/>
    </xf>
    <xf numFmtId="165" fontId="18" fillId="2" borderId="10" xfId="0" applyNumberFormat="1" applyFont="1" applyFill="1" applyBorder="1" applyAlignment="1">
      <alignment horizontal="right"/>
    </xf>
    <xf numFmtId="165" fontId="18" fillId="2" borderId="10" xfId="0" applyNumberFormat="1" applyFont="1" applyFill="1" applyBorder="1" applyAlignment="1">
      <alignment horizontal="right" vertical="center"/>
    </xf>
    <xf numFmtId="165" fontId="6" fillId="2" borderId="11" xfId="0" applyNumberFormat="1" applyFont="1" applyFill="1" applyBorder="1" applyAlignment="1">
      <alignment vertical="center"/>
    </xf>
    <xf numFmtId="165" fontId="6" fillId="2" borderId="12" xfId="0" applyNumberFormat="1" applyFont="1" applyFill="1" applyBorder="1" applyAlignment="1">
      <alignment vertical="center" wrapText="1"/>
    </xf>
    <xf numFmtId="165" fontId="6" fillId="2" borderId="13" xfId="0" applyNumberFormat="1" applyFont="1" applyFill="1" applyBorder="1" applyAlignment="1">
      <alignment horizontal="right" vertical="center"/>
    </xf>
    <xf numFmtId="165" fontId="7" fillId="2" borderId="14" xfId="0" applyNumberFormat="1" applyFont="1" applyFill="1" applyBorder="1" applyAlignment="1">
      <alignment horizontal="center"/>
    </xf>
    <xf numFmtId="165" fontId="7" fillId="2" borderId="15" xfId="0" applyNumberFormat="1" applyFont="1" applyFill="1" applyBorder="1"/>
    <xf numFmtId="165" fontId="7" fillId="2" borderId="15" xfId="0" applyNumberFormat="1" applyFont="1" applyFill="1" applyBorder="1" applyAlignment="1">
      <alignment horizontal="right"/>
    </xf>
    <xf numFmtId="165" fontId="18" fillId="2" borderId="16" xfId="0" applyNumberFormat="1" applyFont="1" applyFill="1" applyBorder="1" applyAlignment="1">
      <alignment horizontal="right"/>
    </xf>
    <xf numFmtId="0" fontId="6" fillId="0" borderId="9" xfId="0" applyFont="1" applyBorder="1" applyAlignment="1">
      <alignment horizontal="center" vertical="center" wrapText="1"/>
    </xf>
    <xf numFmtId="0" fontId="19" fillId="0" borderId="0" xfId="0" applyFont="1" applyAlignment="1">
      <alignment horizontal="left" vertical="center"/>
    </xf>
    <xf numFmtId="3" fontId="19" fillId="0" borderId="0" xfId="0" applyNumberFormat="1" applyFont="1" applyAlignment="1">
      <alignment horizontal="left" vertical="center"/>
    </xf>
    <xf numFmtId="2" fontId="8" fillId="0" borderId="0" xfId="0" applyNumberFormat="1" applyFont="1" applyAlignment="1">
      <alignment horizontal="left" vertical="center"/>
    </xf>
    <xf numFmtId="0" fontId="8" fillId="0" borderId="0" xfId="0" applyFont="1" applyAlignment="1">
      <alignment horizontal="left" vertical="center" wrapText="1"/>
    </xf>
    <xf numFmtId="0" fontId="0" fillId="0" borderId="0" xfId="0" applyAlignment="1">
      <alignment horizontal="left"/>
    </xf>
    <xf numFmtId="0" fontId="8" fillId="0" borderId="0" xfId="0" applyFont="1" applyAlignment="1">
      <alignment vertical="top"/>
    </xf>
    <xf numFmtId="49" fontId="21" fillId="0" borderId="37" xfId="0" applyNumberFormat="1" applyFont="1" applyBorder="1" applyAlignment="1">
      <alignment horizontal="center" vertical="center"/>
    </xf>
    <xf numFmtId="0" fontId="21" fillId="3" borderId="15" xfId="0" applyFont="1" applyFill="1" applyBorder="1" applyAlignment="1">
      <alignment horizontal="center" vertical="center" wrapText="1"/>
    </xf>
    <xf numFmtId="49" fontId="21" fillId="3" borderId="15" xfId="0" applyNumberFormat="1" applyFont="1" applyFill="1" applyBorder="1" applyAlignment="1">
      <alignment horizontal="center" vertical="center" wrapText="1"/>
    </xf>
    <xf numFmtId="3" fontId="21" fillId="3" borderId="15" xfId="0" applyNumberFormat="1" applyFont="1" applyFill="1" applyBorder="1" applyAlignment="1">
      <alignment horizontal="right" vertical="center" wrapText="1"/>
    </xf>
    <xf numFmtId="3" fontId="21" fillId="3" borderId="38" xfId="0" applyNumberFormat="1" applyFont="1" applyFill="1" applyBorder="1" applyAlignment="1">
      <alignment horizontal="right" vertical="center" wrapText="1"/>
    </xf>
    <xf numFmtId="167" fontId="21" fillId="2" borderId="38" xfId="0" applyNumberFormat="1" applyFont="1" applyFill="1" applyBorder="1" applyAlignment="1">
      <alignment horizontal="right" vertical="center" wrapText="1"/>
    </xf>
    <xf numFmtId="9" fontId="21" fillId="3" borderId="16" xfId="0" applyNumberFormat="1" applyFont="1" applyFill="1" applyBorder="1" applyAlignment="1">
      <alignment horizontal="right" vertical="center" wrapText="1"/>
    </xf>
    <xf numFmtId="49" fontId="25" fillId="0" borderId="26" xfId="0" applyNumberFormat="1" applyFont="1" applyBorder="1" applyAlignment="1">
      <alignment horizontal="center" vertical="center"/>
    </xf>
    <xf numFmtId="0" fontId="21" fillId="3" borderId="27" xfId="0" applyFont="1" applyFill="1" applyBorder="1" applyAlignment="1">
      <alignment horizontal="center" vertical="center" wrapText="1"/>
    </xf>
    <xf numFmtId="49" fontId="21" fillId="3" borderId="27" xfId="0" applyNumberFormat="1" applyFont="1" applyFill="1" applyBorder="1" applyAlignment="1">
      <alignment horizontal="center" vertical="center" wrapText="1"/>
    </xf>
    <xf numFmtId="3" fontId="25" fillId="3" borderId="27" xfId="0" applyNumberFormat="1" applyFont="1" applyFill="1" applyBorder="1" applyAlignment="1">
      <alignment horizontal="right" vertical="center" wrapText="1"/>
    </xf>
    <xf numFmtId="3" fontId="25" fillId="3" borderId="39" xfId="0" applyNumberFormat="1" applyFont="1" applyFill="1" applyBorder="1" applyAlignment="1">
      <alignment horizontal="right" vertical="center" wrapText="1"/>
    </xf>
    <xf numFmtId="167" fontId="25" fillId="0" borderId="39" xfId="1" applyNumberFormat="1" applyFont="1" applyFill="1" applyBorder="1" applyAlignment="1">
      <alignment horizontal="right" vertical="center" wrapText="1"/>
    </xf>
    <xf numFmtId="9" fontId="25" fillId="3" borderId="28" xfId="0" applyNumberFormat="1" applyFont="1" applyFill="1" applyBorder="1" applyAlignment="1">
      <alignment horizontal="right" vertical="center" wrapText="1"/>
    </xf>
    <xf numFmtId="49" fontId="21" fillId="0" borderId="14" xfId="0" applyNumberFormat="1" applyFont="1" applyBorder="1" applyAlignment="1">
      <alignment horizontal="center" vertical="center"/>
    </xf>
    <xf numFmtId="0" fontId="21" fillId="3" borderId="15" xfId="0" applyFont="1" applyFill="1" applyBorder="1" applyAlignment="1">
      <alignment horizontal="right" vertical="center" wrapText="1"/>
    </xf>
    <xf numFmtId="167" fontId="21" fillId="3" borderId="15" xfId="1" applyNumberFormat="1" applyFont="1" applyFill="1" applyBorder="1" applyAlignment="1">
      <alignment horizontal="right" vertical="center" wrapText="1"/>
    </xf>
    <xf numFmtId="167" fontId="25" fillId="3" borderId="18" xfId="1" applyNumberFormat="1" applyFont="1" applyFill="1" applyBorder="1" applyAlignment="1">
      <alignment horizontal="right" vertical="center" wrapText="1"/>
    </xf>
    <xf numFmtId="9" fontId="21" fillId="3" borderId="19" xfId="0" applyNumberFormat="1" applyFont="1" applyFill="1" applyBorder="1" applyAlignment="1">
      <alignment horizontal="right" vertical="center" wrapText="1"/>
    </xf>
    <xf numFmtId="0" fontId="28" fillId="3" borderId="15" xfId="0" applyFont="1" applyFill="1" applyBorder="1" applyAlignment="1">
      <alignment horizontal="center" vertical="center" wrapText="1"/>
    </xf>
    <xf numFmtId="49" fontId="28" fillId="3" borderId="15" xfId="0" applyNumberFormat="1" applyFont="1" applyFill="1" applyBorder="1" applyAlignment="1">
      <alignment horizontal="center" vertical="center" wrapText="1"/>
    </xf>
    <xf numFmtId="3" fontId="21" fillId="3" borderId="15" xfId="0" applyNumberFormat="1" applyFont="1" applyFill="1" applyBorder="1" applyAlignment="1">
      <alignment horizontal="center" vertical="center" wrapText="1"/>
    </xf>
    <xf numFmtId="9" fontId="21" fillId="3" borderId="16" xfId="0" applyNumberFormat="1" applyFont="1" applyFill="1" applyBorder="1" applyAlignment="1">
      <alignment horizontal="center" vertical="center" wrapText="1"/>
    </xf>
    <xf numFmtId="167" fontId="21" fillId="3" borderId="0" xfId="1" applyNumberFormat="1" applyFont="1" applyFill="1" applyBorder="1" applyAlignment="1">
      <alignment horizontal="right" vertical="center" wrapText="1"/>
    </xf>
    <xf numFmtId="0" fontId="24" fillId="0" borderId="0" xfId="0" applyFont="1" applyAlignment="1">
      <alignment horizontal="left" vertical="center"/>
    </xf>
    <xf numFmtId="0" fontId="29" fillId="0" borderId="0" xfId="0" applyFont="1" applyAlignment="1">
      <alignment horizontal="left" vertical="center"/>
    </xf>
    <xf numFmtId="3" fontId="29" fillId="0" borderId="0" xfId="0" applyNumberFormat="1" applyFont="1" applyAlignment="1">
      <alignment horizontal="left" vertical="center"/>
    </xf>
    <xf numFmtId="2" fontId="24" fillId="0" borderId="0" xfId="0" applyNumberFormat="1" applyFont="1" applyAlignment="1">
      <alignment horizontal="left" vertical="center"/>
    </xf>
    <xf numFmtId="0" fontId="24" fillId="0" borderId="0" xfId="0" applyFont="1" applyAlignment="1">
      <alignment vertical="center"/>
    </xf>
    <xf numFmtId="0" fontId="27" fillId="0" borderId="0" xfId="0" applyFont="1" applyAlignment="1">
      <alignment vertical="center"/>
    </xf>
    <xf numFmtId="0" fontId="4" fillId="0" borderId="0" xfId="0" applyFont="1" applyAlignment="1">
      <alignment vertical="center"/>
    </xf>
    <xf numFmtId="0" fontId="30" fillId="0" borderId="0" xfId="0" applyFont="1"/>
    <xf numFmtId="0" fontId="6" fillId="0" borderId="39" xfId="0" applyFont="1" applyBorder="1" applyAlignment="1">
      <alignment horizontal="center" vertical="center" wrapText="1"/>
    </xf>
    <xf numFmtId="0" fontId="7" fillId="0" borderId="38" xfId="0" quotePrefix="1" applyFont="1" applyBorder="1" applyAlignment="1">
      <alignment vertical="center" wrapText="1"/>
    </xf>
    <xf numFmtId="0" fontId="6" fillId="0" borderId="23" xfId="0" quotePrefix="1" applyFont="1" applyBorder="1" applyAlignment="1">
      <alignment vertical="center" wrapText="1"/>
    </xf>
    <xf numFmtId="0" fontId="9" fillId="0" borderId="33" xfId="0" quotePrefix="1" applyFont="1" applyBorder="1" applyAlignment="1">
      <alignment vertical="center" wrapText="1"/>
    </xf>
    <xf numFmtId="0" fontId="6" fillId="2" borderId="30" xfId="0" quotePrefix="1" applyFont="1" applyFill="1" applyBorder="1" applyAlignment="1">
      <alignment vertical="center" wrapText="1"/>
    </xf>
    <xf numFmtId="0" fontId="6" fillId="0" borderId="0" xfId="0" applyFont="1" applyAlignment="1">
      <alignment horizontal="left"/>
    </xf>
    <xf numFmtId="0" fontId="2" fillId="0" borderId="32" xfId="0" applyFont="1" applyBorder="1" applyAlignment="1">
      <alignment horizontal="center" vertical="top" wrapText="1"/>
    </xf>
    <xf numFmtId="0" fontId="2" fillId="0" borderId="41" xfId="0" applyFont="1" applyBorder="1" applyAlignment="1">
      <alignment horizontal="center" vertical="top" wrapText="1"/>
    </xf>
    <xf numFmtId="0" fontId="6" fillId="0" borderId="42" xfId="0" applyFont="1" applyBorder="1" applyAlignment="1">
      <alignment horizontal="center" vertical="top" wrapText="1"/>
    </xf>
    <xf numFmtId="0" fontId="6" fillId="0" borderId="44" xfId="0" applyFont="1" applyBorder="1" applyAlignment="1">
      <alignment horizontal="center" vertical="top" wrapText="1"/>
    </xf>
    <xf numFmtId="0" fontId="7" fillId="0" borderId="31" xfId="0" applyFont="1" applyBorder="1" applyAlignment="1">
      <alignment horizontal="center" vertical="center"/>
    </xf>
    <xf numFmtId="0" fontId="7" fillId="0" borderId="5" xfId="0" applyFont="1" applyBorder="1" applyAlignment="1">
      <alignment horizontal="centerContinuous" vertical="center"/>
    </xf>
    <xf numFmtId="0" fontId="6" fillId="0" borderId="31" xfId="0" applyFont="1" applyBorder="1" applyAlignment="1">
      <alignment horizontal="center" vertical="center"/>
    </xf>
    <xf numFmtId="0" fontId="16" fillId="0" borderId="9" xfId="0" applyFont="1" applyBorder="1" applyAlignment="1">
      <alignment horizontal="center" vertical="center"/>
    </xf>
    <xf numFmtId="3" fontId="16" fillId="0" borderId="10" xfId="0" applyNumberFormat="1" applyFont="1" applyBorder="1" applyAlignment="1">
      <alignment horizontal="center" vertical="center" wrapText="1"/>
    </xf>
    <xf numFmtId="0" fontId="34" fillId="0" borderId="0" xfId="0" applyFont="1"/>
    <xf numFmtId="49" fontId="8" fillId="0" borderId="9" xfId="0" applyNumberFormat="1" applyFont="1" applyBorder="1" applyAlignment="1">
      <alignment horizontal="center" vertical="center" wrapText="1"/>
    </xf>
    <xf numFmtId="3" fontId="8" fillId="0" borderId="10" xfId="0" applyNumberFormat="1" applyFont="1" applyBorder="1" applyAlignment="1">
      <alignment horizontal="center" vertical="center" wrapText="1"/>
    </xf>
    <xf numFmtId="3" fontId="16" fillId="0" borderId="28" xfId="0" applyNumberFormat="1" applyFont="1" applyBorder="1" applyAlignment="1">
      <alignment horizontal="center" vertical="center" wrapText="1"/>
    </xf>
    <xf numFmtId="165" fontId="6" fillId="0" borderId="44" xfId="0" applyNumberFormat="1" applyFont="1" applyBorder="1" applyAlignment="1">
      <alignment horizontal="center" vertical="center"/>
    </xf>
    <xf numFmtId="0" fontId="0" fillId="2" borderId="0" xfId="0" applyFill="1"/>
    <xf numFmtId="0" fontId="7" fillId="0" borderId="3" xfId="0" applyFont="1" applyBorder="1" applyAlignment="1">
      <alignment horizontal="left" vertical="center"/>
    </xf>
    <xf numFmtId="0" fontId="6" fillId="0" borderId="45" xfId="0" applyFont="1" applyBorder="1" applyAlignment="1">
      <alignment horizontal="left"/>
    </xf>
    <xf numFmtId="0" fontId="6" fillId="0" borderId="46" xfId="0" applyFont="1" applyBorder="1" applyAlignment="1">
      <alignment horizontal="right"/>
    </xf>
    <xf numFmtId="0" fontId="2" fillId="0" borderId="9"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11" xfId="0" applyFont="1" applyBorder="1" applyAlignment="1">
      <alignment horizontal="center" vertical="top" wrapText="1"/>
    </xf>
    <xf numFmtId="0" fontId="6" fillId="0" borderId="12" xfId="0" applyFont="1" applyBorder="1" applyAlignment="1">
      <alignment horizontal="center" vertical="top" wrapText="1"/>
    </xf>
    <xf numFmtId="0" fontId="6" fillId="0" borderId="13" xfId="0" applyFont="1" applyBorder="1" applyAlignment="1">
      <alignment horizontal="center" vertical="top" wrapText="1"/>
    </xf>
    <xf numFmtId="3" fontId="7" fillId="0" borderId="10" xfId="0" applyNumberFormat="1" applyFont="1" applyBorder="1" applyAlignment="1">
      <alignment horizontal="center"/>
    </xf>
    <xf numFmtId="0" fontId="7" fillId="0" borderId="1" xfId="0" applyFont="1" applyBorder="1" applyAlignment="1">
      <alignment horizontal="left"/>
    </xf>
    <xf numFmtId="0" fontId="32" fillId="0" borderId="0" xfId="0" applyFont="1"/>
    <xf numFmtId="0" fontId="6" fillId="0" borderId="1" xfId="0" applyFont="1" applyBorder="1" applyAlignment="1">
      <alignment horizontal="center"/>
    </xf>
    <xf numFmtId="165" fontId="7" fillId="0" borderId="10" xfId="0" applyNumberFormat="1" applyFont="1" applyBorder="1" applyAlignment="1">
      <alignment horizontal="center" vertical="center"/>
    </xf>
    <xf numFmtId="165" fontId="6" fillId="0" borderId="13" xfId="0" applyNumberFormat="1"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165" fontId="7" fillId="0" borderId="10" xfId="0" applyNumberFormat="1" applyFont="1" applyBorder="1" applyAlignment="1">
      <alignment horizont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47" xfId="0" applyFont="1" applyBorder="1" applyAlignment="1">
      <alignment horizontal="left" vertical="center"/>
    </xf>
    <xf numFmtId="165" fontId="7" fillId="0" borderId="22" xfId="0" applyNumberFormat="1" applyFont="1" applyBorder="1" applyAlignment="1">
      <alignment horizontal="center"/>
    </xf>
    <xf numFmtId="0" fontId="35" fillId="0" borderId="0" xfId="0" applyFont="1"/>
    <xf numFmtId="0" fontId="36" fillId="0" borderId="0" xfId="0" applyFont="1"/>
    <xf numFmtId="0" fontId="37" fillId="0" borderId="0" xfId="0" applyFont="1"/>
    <xf numFmtId="0" fontId="6" fillId="2" borderId="1" xfId="0" quotePrefix="1" applyFont="1" applyFill="1" applyBorder="1" applyAlignment="1">
      <alignment vertical="center" wrapText="1"/>
    </xf>
    <xf numFmtId="0" fontId="24" fillId="0" borderId="0" xfId="0" applyFont="1" applyAlignment="1">
      <alignment horizontal="center" vertical="center" wrapText="1"/>
    </xf>
    <xf numFmtId="49" fontId="8" fillId="0" borderId="15" xfId="0" applyNumberFormat="1" applyFont="1" applyBorder="1" applyAlignment="1">
      <alignment horizontal="center" vertical="center" wrapText="1"/>
    </xf>
    <xf numFmtId="0" fontId="8" fillId="0" borderId="1" xfId="0" applyFont="1" applyBorder="1" applyAlignment="1">
      <alignment vertical="center" wrapText="1"/>
    </xf>
    <xf numFmtId="0" fontId="20" fillId="0" borderId="0" xfId="0" applyFont="1"/>
    <xf numFmtId="0" fontId="20" fillId="0" borderId="0" xfId="0" applyFont="1" applyAlignment="1">
      <alignment horizontal="center" vertical="center"/>
    </xf>
    <xf numFmtId="49" fontId="20" fillId="0" borderId="0" xfId="0" applyNumberFormat="1" applyFont="1" applyAlignment="1">
      <alignment horizontal="center" vertical="center"/>
    </xf>
    <xf numFmtId="0" fontId="10" fillId="0" borderId="0" xfId="0" applyFont="1"/>
    <xf numFmtId="0" fontId="20" fillId="0" borderId="0" xfId="0" applyFont="1" applyAlignment="1">
      <alignment vertical="center"/>
    </xf>
    <xf numFmtId="0" fontId="20" fillId="0" borderId="0" xfId="0" applyFont="1" applyAlignment="1">
      <alignment horizontal="right" vertical="center"/>
    </xf>
    <xf numFmtId="9" fontId="20" fillId="0" borderId="0" xfId="0" applyNumberFormat="1" applyFont="1" applyAlignment="1">
      <alignment horizontal="right" vertical="center"/>
    </xf>
    <xf numFmtId="49" fontId="24" fillId="0" borderId="0" xfId="0" applyNumberFormat="1" applyFont="1" applyAlignment="1">
      <alignment horizontal="center" vertical="center" wrapText="1"/>
    </xf>
    <xf numFmtId="9" fontId="8" fillId="0" borderId="0" xfId="0" applyNumberFormat="1" applyFont="1" applyAlignment="1">
      <alignment horizontal="right" vertical="center" wrapText="1"/>
    </xf>
    <xf numFmtId="49" fontId="8" fillId="0" borderId="37" xfId="0" applyNumberFormat="1" applyFont="1" applyBorder="1" applyAlignment="1">
      <alignment horizontal="center" vertical="center" wrapText="1"/>
    </xf>
    <xf numFmtId="49" fontId="8" fillId="0" borderId="38" xfId="0" applyNumberFormat="1" applyFont="1" applyBorder="1" applyAlignment="1">
      <alignment horizontal="center" vertical="center" wrapText="1"/>
    </xf>
    <xf numFmtId="1" fontId="8" fillId="0" borderId="38" xfId="0" applyNumberFormat="1" applyFont="1" applyBorder="1" applyAlignment="1">
      <alignment horizontal="center" vertical="center" wrapText="1"/>
    </xf>
    <xf numFmtId="1" fontId="8" fillId="0" borderId="16" xfId="0" applyNumberFormat="1" applyFont="1" applyBorder="1" applyAlignment="1">
      <alignment horizontal="center" vertical="center" wrapText="1"/>
    </xf>
    <xf numFmtId="0" fontId="16" fillId="0" borderId="0" xfId="0" applyFont="1"/>
    <xf numFmtId="49" fontId="21" fillId="0" borderId="15" xfId="0" applyNumberFormat="1" applyFont="1" applyBorder="1" applyAlignment="1">
      <alignment horizontal="center" vertical="center"/>
    </xf>
    <xf numFmtId="49" fontId="21" fillId="0" borderId="38" xfId="0" applyNumberFormat="1" applyFont="1" applyBorder="1" applyAlignment="1">
      <alignment horizontal="center" vertical="center"/>
    </xf>
    <xf numFmtId="49" fontId="25" fillId="0" borderId="27" xfId="0" applyNumberFormat="1" applyFont="1" applyBorder="1" applyAlignment="1">
      <alignment horizontal="center" vertical="center"/>
    </xf>
    <xf numFmtId="49" fontId="25" fillId="0" borderId="17" xfId="0" applyNumberFormat="1" applyFont="1" applyBorder="1" applyAlignment="1">
      <alignment horizontal="center" vertical="center"/>
    </xf>
    <xf numFmtId="49" fontId="25" fillId="0" borderId="18" xfId="0" applyNumberFormat="1" applyFont="1" applyBorder="1" applyAlignment="1">
      <alignment horizontal="center" vertical="center"/>
    </xf>
    <xf numFmtId="0" fontId="21" fillId="3" borderId="18" xfId="0" applyFont="1" applyFill="1" applyBorder="1" applyAlignment="1">
      <alignment horizontal="left" vertical="center" wrapText="1"/>
    </xf>
    <xf numFmtId="49" fontId="21" fillId="3" borderId="18" xfId="0" applyNumberFormat="1" applyFont="1" applyFill="1" applyBorder="1" applyAlignment="1">
      <alignment horizontal="center" vertical="center" wrapText="1"/>
    </xf>
    <xf numFmtId="0" fontId="21" fillId="3" borderId="18" xfId="0" applyFont="1" applyFill="1" applyBorder="1" applyAlignment="1">
      <alignment horizontal="right" vertical="center" wrapText="1"/>
    </xf>
    <xf numFmtId="49" fontId="26" fillId="0" borderId="18" xfId="0" applyNumberFormat="1" applyFont="1" applyBorder="1" applyAlignment="1">
      <alignment horizontal="center" vertical="center" wrapText="1"/>
    </xf>
    <xf numFmtId="49" fontId="25" fillId="0" borderId="18" xfId="0" applyNumberFormat="1" applyFont="1" applyBorder="1" applyAlignment="1">
      <alignment horizontal="center" vertical="center" wrapText="1"/>
    </xf>
    <xf numFmtId="0" fontId="21" fillId="0" borderId="18" xfId="0" applyFont="1" applyBorder="1" applyAlignment="1">
      <alignment horizontal="left" vertical="center" wrapText="1"/>
    </xf>
    <xf numFmtId="49" fontId="21" fillId="0" borderId="18" xfId="0" applyNumberFormat="1" applyFont="1" applyBorder="1" applyAlignment="1">
      <alignment horizontal="center" vertical="center" wrapText="1"/>
    </xf>
    <xf numFmtId="3" fontId="25" fillId="0" borderId="18" xfId="0" applyNumberFormat="1" applyFont="1" applyBorder="1" applyAlignment="1">
      <alignment horizontal="right" vertical="center"/>
    </xf>
    <xf numFmtId="9" fontId="25" fillId="0" borderId="19" xfId="0" applyNumberFormat="1" applyFont="1" applyBorder="1" applyAlignment="1">
      <alignment horizontal="right" vertical="center"/>
    </xf>
    <xf numFmtId="0" fontId="26" fillId="0" borderId="1" xfId="0" applyFont="1" applyBorder="1" applyAlignment="1">
      <alignment vertical="center" wrapText="1"/>
    </xf>
    <xf numFmtId="3" fontId="26" fillId="0" borderId="1" xfId="0" applyNumberFormat="1" applyFont="1" applyBorder="1" applyAlignment="1">
      <alignment vertical="center"/>
    </xf>
    <xf numFmtId="3" fontId="26" fillId="0" borderId="1" xfId="0" applyNumberFormat="1" applyFont="1" applyBorder="1" applyAlignment="1">
      <alignment horizontal="right" vertical="center" wrapText="1"/>
    </xf>
    <xf numFmtId="0" fontId="21" fillId="0" borderId="37" xfId="0" applyFont="1" applyBorder="1" applyAlignment="1">
      <alignment horizontal="center" vertical="center"/>
    </xf>
    <xf numFmtId="0" fontId="21" fillId="0" borderId="0" xfId="0" applyFont="1" applyAlignment="1">
      <alignment horizontal="center" vertical="center"/>
    </xf>
    <xf numFmtId="49" fontId="21" fillId="3" borderId="0" xfId="0" applyNumberFormat="1" applyFont="1" applyFill="1" applyAlignment="1">
      <alignment horizontal="center" vertical="center" wrapText="1"/>
    </xf>
    <xf numFmtId="0" fontId="21" fillId="3" borderId="0" xfId="0" applyFont="1" applyFill="1" applyAlignment="1">
      <alignment horizontal="center" vertical="center" wrapText="1"/>
    </xf>
    <xf numFmtId="0" fontId="28" fillId="3" borderId="0" xfId="0" applyFont="1" applyFill="1" applyAlignment="1">
      <alignment horizontal="center" vertical="center" wrapText="1"/>
    </xf>
    <xf numFmtId="49" fontId="28" fillId="3" borderId="0" xfId="0" applyNumberFormat="1" applyFont="1" applyFill="1" applyAlignment="1">
      <alignment horizontal="center" vertical="center" wrapText="1"/>
    </xf>
    <xf numFmtId="3" fontId="21" fillId="3" borderId="0" xfId="0" applyNumberFormat="1" applyFont="1" applyFill="1" applyAlignment="1">
      <alignment horizontal="center" vertical="center" wrapText="1"/>
    </xf>
    <xf numFmtId="9" fontId="21" fillId="3" borderId="0" xfId="0" applyNumberFormat="1" applyFont="1" applyFill="1" applyAlignment="1">
      <alignment horizontal="center" vertical="center" wrapText="1"/>
    </xf>
    <xf numFmtId="0" fontId="26" fillId="0" borderId="0" xfId="0" applyFont="1" applyAlignment="1">
      <alignment horizontal="right" vertical="center"/>
    </xf>
    <xf numFmtId="0" fontId="26" fillId="0" borderId="0" xfId="0" applyFont="1"/>
    <xf numFmtId="0" fontId="26" fillId="0" borderId="0" xfId="0" applyFont="1" applyAlignment="1">
      <alignment horizontal="center" vertical="center"/>
    </xf>
    <xf numFmtId="49" fontId="26" fillId="0" borderId="0" xfId="0" applyNumberFormat="1" applyFont="1" applyAlignment="1">
      <alignment horizontal="center" vertical="center"/>
    </xf>
    <xf numFmtId="0" fontId="26" fillId="0" borderId="0" xfId="0" applyFont="1" applyAlignment="1">
      <alignment vertical="center"/>
    </xf>
    <xf numFmtId="9" fontId="26" fillId="0" borderId="0" xfId="0" applyNumberFormat="1" applyFont="1" applyAlignment="1">
      <alignment horizontal="right" vertical="center"/>
    </xf>
    <xf numFmtId="0" fontId="21" fillId="3" borderId="15" xfId="0" applyFont="1" applyFill="1" applyBorder="1" applyAlignment="1">
      <alignment horizontal="left" vertical="center"/>
    </xf>
    <xf numFmtId="0" fontId="16" fillId="0" borderId="0" xfId="0" applyFont="1" applyAlignment="1">
      <alignment horizontal="left"/>
    </xf>
    <xf numFmtId="0" fontId="31" fillId="0" borderId="0" xfId="0" applyFont="1" applyAlignment="1">
      <alignment horizontal="left"/>
    </xf>
    <xf numFmtId="0" fontId="16" fillId="0" borderId="0" xfId="0" applyFont="1" applyAlignment="1">
      <alignment horizontal="left" wrapText="1"/>
    </xf>
    <xf numFmtId="3" fontId="31" fillId="0" borderId="0" xfId="0" applyNumberFormat="1" applyFont="1" applyAlignment="1">
      <alignment horizontal="left"/>
    </xf>
    <xf numFmtId="2" fontId="16" fillId="0" borderId="0" xfId="0" applyNumberFormat="1" applyFont="1" applyAlignment="1">
      <alignment horizontal="left"/>
    </xf>
    <xf numFmtId="49" fontId="8" fillId="0" borderId="0" xfId="0" applyNumberFormat="1" applyFont="1" applyAlignment="1">
      <alignment horizontal="right" vertical="center"/>
    </xf>
    <xf numFmtId="0" fontId="2" fillId="0" borderId="0" xfId="0" applyFont="1"/>
    <xf numFmtId="0" fontId="9" fillId="0" borderId="0" xfId="0" applyFont="1"/>
    <xf numFmtId="0" fontId="7" fillId="0" borderId="0" xfId="0" applyFont="1"/>
    <xf numFmtId="0" fontId="6" fillId="0" borderId="27" xfId="0" quotePrefix="1" applyFont="1" applyBorder="1" applyAlignment="1">
      <alignment vertical="center" wrapText="1"/>
    </xf>
    <xf numFmtId="3" fontId="25" fillId="0" borderId="1" xfId="0" applyNumberFormat="1" applyFont="1" applyBorder="1" applyAlignment="1">
      <alignment horizontal="right" vertical="center"/>
    </xf>
    <xf numFmtId="0" fontId="6" fillId="0" borderId="20" xfId="0" applyFont="1" applyBorder="1" applyAlignment="1">
      <alignment horizontal="center" vertical="center" wrapText="1"/>
    </xf>
    <xf numFmtId="0" fontId="6" fillId="0" borderId="21" xfId="0" quotePrefix="1" applyFont="1" applyBorder="1" applyAlignment="1">
      <alignment vertical="center" wrapText="1"/>
    </xf>
    <xf numFmtId="165" fontId="6" fillId="0" borderId="21" xfId="0" applyNumberFormat="1" applyFont="1" applyBorder="1" applyAlignment="1">
      <alignment horizontal="right" vertical="center"/>
    </xf>
    <xf numFmtId="0" fontId="26" fillId="3" borderId="1" xfId="0" applyFont="1" applyFill="1" applyBorder="1" applyAlignment="1">
      <alignment horizontal="left" vertical="center" wrapText="1"/>
    </xf>
    <xf numFmtId="167" fontId="26" fillId="0" borderId="1" xfId="1" applyNumberFormat="1" applyFont="1" applyFill="1" applyBorder="1" applyAlignment="1">
      <alignment horizontal="right" vertical="center" wrapText="1"/>
    </xf>
    <xf numFmtId="0" fontId="6" fillId="0" borderId="40" xfId="0" quotePrefix="1" applyFont="1" applyBorder="1" applyAlignment="1">
      <alignment vertical="center" wrapText="1"/>
    </xf>
    <xf numFmtId="165" fontId="6" fillId="2" borderId="21" xfId="0" applyNumberFormat="1" applyFont="1" applyFill="1" applyBorder="1" applyAlignment="1">
      <alignment horizontal="right" vertical="center"/>
    </xf>
    <xf numFmtId="165" fontId="6" fillId="0" borderId="22" xfId="0" applyNumberFormat="1" applyFont="1" applyBorder="1" applyAlignment="1">
      <alignment horizontal="right" vertical="center"/>
    </xf>
    <xf numFmtId="3" fontId="7" fillId="0" borderId="34" xfId="0" applyNumberFormat="1" applyFont="1" applyBorder="1" applyAlignment="1">
      <alignment horizontal="center" vertical="center"/>
    </xf>
    <xf numFmtId="3" fontId="6" fillId="0" borderId="34" xfId="0" applyNumberFormat="1" applyFont="1" applyBorder="1" applyAlignment="1">
      <alignment horizontal="center" vertical="center"/>
    </xf>
    <xf numFmtId="3" fontId="7" fillId="0" borderId="34" xfId="0" applyNumberFormat="1" applyFont="1" applyBorder="1" applyAlignment="1">
      <alignment horizontal="center"/>
    </xf>
    <xf numFmtId="0" fontId="8" fillId="2" borderId="1" xfId="0" quotePrefix="1" applyFont="1" applyFill="1" applyBorder="1" applyAlignment="1">
      <alignment vertical="center" wrapText="1"/>
    </xf>
    <xf numFmtId="49" fontId="6" fillId="0" borderId="1" xfId="0" applyNumberFormat="1" applyFont="1" applyBorder="1" applyAlignment="1">
      <alignment horizontal="center" vertical="center" wrapText="1"/>
    </xf>
    <xf numFmtId="49" fontId="6" fillId="0" borderId="1" xfId="0" quotePrefix="1" applyNumberFormat="1" applyFont="1" applyBorder="1" applyAlignment="1">
      <alignment vertical="center" wrapText="1"/>
    </xf>
    <xf numFmtId="49" fontId="6" fillId="0" borderId="26" xfId="0" applyNumberFormat="1" applyFont="1" applyBorder="1" applyAlignment="1">
      <alignment horizontal="center" vertical="center" wrapText="1"/>
    </xf>
    <xf numFmtId="49" fontId="6" fillId="0" borderId="12" xfId="0" applyNumberFormat="1" applyFont="1" applyBorder="1" applyAlignment="1">
      <alignment horizontal="center" vertical="center" wrapText="1"/>
    </xf>
    <xf numFmtId="165" fontId="6" fillId="0" borderId="27" xfId="0" applyNumberFormat="1" applyFont="1" applyBorder="1" applyAlignment="1">
      <alignment horizontal="right" vertical="center"/>
    </xf>
    <xf numFmtId="0" fontId="6" fillId="2" borderId="26" xfId="0" applyFont="1" applyFill="1" applyBorder="1" applyAlignment="1">
      <alignment horizontal="center" vertical="center" wrapText="1"/>
    </xf>
    <xf numFmtId="0" fontId="8" fillId="2" borderId="12" xfId="0" quotePrefix="1" applyFont="1" applyFill="1" applyBorder="1" applyAlignment="1">
      <alignment vertical="center" wrapText="1"/>
    </xf>
    <xf numFmtId="0" fontId="6" fillId="2" borderId="18" xfId="0" quotePrefix="1" applyFont="1" applyFill="1" applyBorder="1" applyAlignment="1">
      <alignment vertical="center" wrapText="1"/>
    </xf>
    <xf numFmtId="0" fontId="35" fillId="0" borderId="42" xfId="0" applyFont="1" applyBorder="1" applyAlignment="1">
      <alignment horizontal="center" vertical="center"/>
    </xf>
    <xf numFmtId="0" fontId="36" fillId="0" borderId="31" xfId="0" applyFont="1" applyBorder="1" applyAlignment="1">
      <alignment horizontal="center" vertical="center"/>
    </xf>
    <xf numFmtId="3" fontId="6" fillId="0" borderId="44" xfId="0" applyNumberFormat="1" applyFont="1" applyBorder="1" applyAlignment="1">
      <alignment horizontal="center"/>
    </xf>
    <xf numFmtId="3" fontId="7" fillId="0" borderId="44" xfId="0" applyNumberFormat="1" applyFont="1" applyBorder="1" applyAlignment="1">
      <alignment horizontal="center" vertical="center"/>
    </xf>
    <xf numFmtId="0" fontId="6" fillId="2" borderId="12" xfId="0" quotePrefix="1" applyFont="1" applyFill="1" applyBorder="1" applyAlignment="1">
      <alignment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38" xfId="0" quotePrefix="1" applyFont="1" applyFill="1" applyBorder="1" applyAlignment="1">
      <alignment vertical="center" wrapText="1"/>
    </xf>
    <xf numFmtId="0" fontId="7" fillId="2" borderId="15" xfId="0" quotePrefix="1" applyFont="1" applyFill="1" applyBorder="1" applyAlignment="1">
      <alignment vertical="center" wrapText="1"/>
    </xf>
    <xf numFmtId="165" fontId="7" fillId="2" borderId="16" xfId="0" applyNumberFormat="1" applyFont="1" applyFill="1" applyBorder="1" applyAlignment="1">
      <alignment horizontal="right"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21" xfId="0" quotePrefix="1" applyFont="1" applyFill="1" applyBorder="1" applyAlignment="1">
      <alignment vertical="center" wrapText="1"/>
    </xf>
    <xf numFmtId="165" fontId="6" fillId="2" borderId="1" xfId="0" applyNumberFormat="1" applyFont="1" applyFill="1" applyBorder="1" applyAlignment="1">
      <alignment vertical="center"/>
    </xf>
    <xf numFmtId="165" fontId="6" fillId="2" borderId="12" xfId="0" applyNumberFormat="1" applyFont="1" applyFill="1" applyBorder="1" applyAlignment="1">
      <alignment vertical="center"/>
    </xf>
    <xf numFmtId="165" fontId="9" fillId="2" borderId="18" xfId="0" applyNumberFormat="1" applyFont="1" applyFill="1" applyBorder="1" applyAlignment="1">
      <alignment vertical="center"/>
    </xf>
    <xf numFmtId="165" fontId="6" fillId="2" borderId="18" xfId="0" applyNumberFormat="1" applyFont="1" applyFill="1" applyBorder="1" applyAlignment="1">
      <alignment vertical="center"/>
    </xf>
    <xf numFmtId="165" fontId="6" fillId="2" borderId="21" xfId="0" applyNumberFormat="1" applyFont="1" applyFill="1" applyBorder="1" applyAlignment="1">
      <alignment vertical="center"/>
    </xf>
    <xf numFmtId="0" fontId="6" fillId="2" borderId="0" xfId="0" applyFont="1" applyFill="1" applyAlignment="1">
      <alignment horizontal="center" vertical="center"/>
    </xf>
    <xf numFmtId="0" fontId="6" fillId="2" borderId="0" xfId="0" applyFont="1" applyFill="1"/>
    <xf numFmtId="0" fontId="6" fillId="2" borderId="0" xfId="0" applyFont="1" applyFill="1" applyAlignment="1">
      <alignment horizontal="right"/>
    </xf>
    <xf numFmtId="0" fontId="5" fillId="2" borderId="0" xfId="0" quotePrefix="1" applyFont="1" applyFill="1" applyAlignment="1">
      <alignment horizontal="center" vertical="center"/>
    </xf>
    <xf numFmtId="0" fontId="6" fillId="2" borderId="12" xfId="0" applyFont="1" applyFill="1" applyBorder="1" applyAlignment="1">
      <alignment horizontal="right" vertical="center" wrapText="1"/>
    </xf>
    <xf numFmtId="0" fontId="6" fillId="2" borderId="13" xfId="0" applyFont="1" applyFill="1" applyBorder="1" applyAlignment="1">
      <alignment horizontal="center" vertical="center" wrapText="1"/>
    </xf>
    <xf numFmtId="165" fontId="7" fillId="2" borderId="15" xfId="0" applyNumberFormat="1" applyFont="1" applyFill="1" applyBorder="1" applyAlignment="1">
      <alignment horizontal="center" vertical="center" wrapText="1"/>
    </xf>
    <xf numFmtId="165" fontId="7" fillId="2" borderId="15" xfId="0" applyNumberFormat="1" applyFont="1" applyFill="1" applyBorder="1" applyAlignment="1">
      <alignment horizontal="right"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8" xfId="0" quotePrefix="1" applyFont="1" applyFill="1" applyBorder="1" applyAlignment="1">
      <alignment vertical="center" wrapText="1"/>
    </xf>
    <xf numFmtId="165" fontId="9" fillId="2" borderId="18" xfId="0" applyNumberFormat="1" applyFont="1" applyFill="1" applyBorder="1" applyAlignment="1">
      <alignment horizontal="center" vertical="center" wrapText="1"/>
    </xf>
    <xf numFmtId="165" fontId="9" fillId="2" borderId="18" xfId="0" applyNumberFormat="1" applyFont="1" applyFill="1" applyBorder="1" applyAlignment="1">
      <alignment horizontal="right" vertical="center" wrapText="1"/>
    </xf>
    <xf numFmtId="49" fontId="6" fillId="2" borderId="1" xfId="0" applyNumberFormat="1" applyFont="1" applyFill="1" applyBorder="1" applyAlignment="1">
      <alignment horizontal="center" vertical="center" wrapText="1"/>
    </xf>
    <xf numFmtId="49" fontId="6" fillId="2" borderId="9" xfId="0" applyNumberFormat="1" applyFont="1" applyFill="1" applyBorder="1" applyAlignment="1">
      <alignment horizontal="center" vertical="center" wrapText="1"/>
    </xf>
    <xf numFmtId="165" fontId="7" fillId="2" borderId="15" xfId="0" applyNumberFormat="1" applyFont="1" applyFill="1" applyBorder="1" applyAlignment="1">
      <alignment vertical="center"/>
    </xf>
    <xf numFmtId="165" fontId="7" fillId="2" borderId="16" xfId="0" applyNumberFormat="1" applyFont="1" applyFill="1" applyBorder="1" applyAlignment="1">
      <alignment vertical="center"/>
    </xf>
    <xf numFmtId="165" fontId="9" fillId="2" borderId="19" xfId="0" applyNumberFormat="1" applyFont="1" applyFill="1" applyBorder="1" applyAlignment="1">
      <alignment vertical="center"/>
    </xf>
    <xf numFmtId="165" fontId="6" fillId="2" borderId="10" xfId="0" applyNumberFormat="1" applyFont="1" applyFill="1" applyBorder="1" applyAlignment="1">
      <alignment vertical="center"/>
    </xf>
    <xf numFmtId="165" fontId="6" fillId="2" borderId="13" xfId="0" applyNumberFormat="1" applyFont="1" applyFill="1" applyBorder="1" applyAlignment="1">
      <alignment vertical="center"/>
    </xf>
    <xf numFmtId="165" fontId="6" fillId="2" borderId="22" xfId="0" applyNumberFormat="1" applyFont="1" applyFill="1" applyBorder="1" applyAlignment="1">
      <alignment vertical="center"/>
    </xf>
    <xf numFmtId="3" fontId="6" fillId="2" borderId="1" xfId="0" applyNumberFormat="1" applyFont="1" applyFill="1" applyBorder="1" applyAlignment="1">
      <alignment vertical="center"/>
    </xf>
    <xf numFmtId="0" fontId="7" fillId="2" borderId="15" xfId="0" applyFont="1" applyFill="1" applyBorder="1" applyAlignment="1">
      <alignment vertical="center" wrapText="1"/>
    </xf>
    <xf numFmtId="165" fontId="7" fillId="2" borderId="0" xfId="0" applyNumberFormat="1" applyFont="1" applyFill="1" applyAlignment="1">
      <alignment vertical="center"/>
    </xf>
    <xf numFmtId="0" fontId="24" fillId="2" borderId="0" xfId="0" applyFont="1" applyFill="1" applyAlignment="1">
      <alignment horizontal="left" vertical="center"/>
    </xf>
    <xf numFmtId="0" fontId="29" fillId="2" borderId="0" xfId="0" applyFont="1" applyFill="1" applyAlignment="1">
      <alignment horizontal="left" vertical="center"/>
    </xf>
    <xf numFmtId="3" fontId="29" fillId="2" borderId="0" xfId="0" applyNumberFormat="1" applyFont="1" applyFill="1" applyAlignment="1">
      <alignment horizontal="left" vertical="center"/>
    </xf>
    <xf numFmtId="2" fontId="24" fillId="2" borderId="0" xfId="0" applyNumberFormat="1" applyFont="1" applyFill="1" applyAlignment="1">
      <alignment horizontal="left" vertical="center"/>
    </xf>
    <xf numFmtId="168" fontId="39" fillId="2" borderId="0" xfId="0" applyNumberFormat="1" applyFont="1" applyFill="1"/>
    <xf numFmtId="165" fontId="6" fillId="2" borderId="0" xfId="0" applyNumberFormat="1" applyFont="1" applyFill="1"/>
    <xf numFmtId="0" fontId="8" fillId="2" borderId="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49" fontId="8" fillId="2" borderId="12" xfId="0" applyNumberFormat="1" applyFont="1" applyFill="1" applyBorder="1" applyAlignment="1">
      <alignment horizontal="center" vertical="center" wrapText="1"/>
    </xf>
    <xf numFmtId="165" fontId="6" fillId="2" borderId="0" xfId="0" applyNumberFormat="1" applyFont="1" applyFill="1" applyAlignment="1">
      <alignment horizontal="right"/>
    </xf>
    <xf numFmtId="0" fontId="4"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26" fillId="0" borderId="27" xfId="0" applyNumberFormat="1" applyFont="1" applyBorder="1" applyAlignment="1">
      <alignment horizontal="center" vertical="center" wrapText="1"/>
    </xf>
    <xf numFmtId="3" fontId="26" fillId="0" borderId="27" xfId="0" applyNumberFormat="1" applyFont="1" applyBorder="1" applyAlignment="1">
      <alignment horizontal="right" vertical="center" wrapText="1"/>
    </xf>
    <xf numFmtId="167" fontId="26" fillId="0" borderId="27" xfId="1" applyNumberFormat="1" applyFont="1" applyFill="1" applyBorder="1" applyAlignment="1">
      <alignment horizontal="right" vertical="center" wrapText="1"/>
    </xf>
    <xf numFmtId="9" fontId="26" fillId="0" borderId="28"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26" fillId="3" borderId="18" xfId="0" applyFont="1" applyFill="1" applyBorder="1" applyAlignment="1">
      <alignment horizontal="left" vertical="center" wrapText="1"/>
    </xf>
    <xf numFmtId="3" fontId="26" fillId="0" borderId="18" xfId="0" applyNumberFormat="1" applyFont="1" applyBorder="1" applyAlignment="1">
      <alignment horizontal="right" vertical="center" wrapText="1"/>
    </xf>
    <xf numFmtId="0" fontId="26" fillId="3" borderId="15" xfId="0" applyFont="1" applyFill="1" applyBorder="1" applyAlignment="1">
      <alignment horizontal="left" vertical="center" wrapText="1"/>
    </xf>
    <xf numFmtId="49" fontId="26" fillId="0" borderId="15" xfId="0" applyNumberFormat="1" applyFont="1" applyBorder="1" applyAlignment="1">
      <alignment horizontal="center" vertical="center" wrapText="1"/>
    </xf>
    <xf numFmtId="3" fontId="26" fillId="0" borderId="15" xfId="0" applyNumberFormat="1" applyFont="1" applyBorder="1" applyAlignment="1">
      <alignment horizontal="right" vertical="center" wrapText="1"/>
    </xf>
    <xf numFmtId="9" fontId="26" fillId="0" borderId="16" xfId="0" applyNumberFormat="1" applyFont="1" applyBorder="1" applyAlignment="1">
      <alignment horizontal="right" vertical="center" wrapText="1"/>
    </xf>
    <xf numFmtId="0" fontId="40" fillId="2" borderId="17" xfId="0" applyFont="1" applyFill="1" applyBorder="1" applyAlignment="1">
      <alignment horizontal="center" vertical="center" wrapText="1"/>
    </xf>
    <xf numFmtId="0" fontId="40" fillId="2" borderId="1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167" fontId="21" fillId="0" borderId="15" xfId="1" applyNumberFormat="1" applyFont="1" applyFill="1" applyBorder="1" applyAlignment="1">
      <alignment horizontal="right" vertical="center" wrapText="1"/>
    </xf>
    <xf numFmtId="167" fontId="25" fillId="0" borderId="18" xfId="1" applyNumberFormat="1" applyFont="1" applyFill="1" applyBorder="1" applyAlignment="1">
      <alignment horizontal="right" vertical="center" wrapText="1"/>
    </xf>
    <xf numFmtId="0" fontId="25" fillId="3" borderId="18" xfId="0" applyFont="1" applyFill="1" applyBorder="1" applyAlignment="1">
      <alignment horizontal="left" vertical="center" wrapText="1"/>
    </xf>
    <xf numFmtId="3" fontId="25" fillId="0" borderId="18" xfId="0" applyNumberFormat="1" applyFont="1" applyBorder="1" applyAlignment="1">
      <alignment horizontal="right" vertical="center" wrapText="1"/>
    </xf>
    <xf numFmtId="49" fontId="25" fillId="0" borderId="1" xfId="0" applyNumberFormat="1" applyFont="1" applyBorder="1" applyAlignment="1">
      <alignment horizontal="center" vertical="center" wrapText="1"/>
    </xf>
    <xf numFmtId="3" fontId="25" fillId="0" borderId="1" xfId="0" applyNumberFormat="1" applyFont="1" applyBorder="1" applyAlignment="1">
      <alignment horizontal="right" vertical="center" wrapText="1"/>
    </xf>
    <xf numFmtId="167" fontId="26" fillId="0" borderId="12" xfId="1" applyNumberFormat="1" applyFont="1" applyFill="1" applyBorder="1" applyAlignment="1">
      <alignment horizontal="right" vertical="center" wrapText="1"/>
    </xf>
    <xf numFmtId="167" fontId="4" fillId="0" borderId="0" xfId="0" applyNumberFormat="1" applyFont="1"/>
    <xf numFmtId="0" fontId="25" fillId="0" borderId="1" xfId="0" applyFont="1" applyBorder="1" applyAlignment="1">
      <alignment vertical="center" wrapText="1"/>
    </xf>
    <xf numFmtId="167" fontId="20" fillId="0" borderId="0" xfId="0" applyNumberFormat="1" applyFont="1"/>
    <xf numFmtId="49" fontId="26" fillId="0" borderId="9" xfId="0" applyNumberFormat="1" applyFont="1" applyBorder="1" applyAlignment="1">
      <alignment horizontal="center" vertical="center"/>
    </xf>
    <xf numFmtId="9" fontId="26" fillId="0" borderId="10" xfId="0" applyNumberFormat="1" applyFont="1" applyBorder="1" applyAlignment="1">
      <alignment horizontal="right" vertical="center" wrapText="1"/>
    </xf>
    <xf numFmtId="9" fontId="26" fillId="0" borderId="19" xfId="0" applyNumberFormat="1" applyFont="1" applyBorder="1" applyAlignment="1">
      <alignment horizontal="right" vertical="center" wrapText="1"/>
    </xf>
    <xf numFmtId="9" fontId="25" fillId="0" borderId="19" xfId="0" applyNumberFormat="1" applyFont="1" applyBorder="1" applyAlignment="1">
      <alignment horizontal="right" vertical="center" wrapText="1"/>
    </xf>
    <xf numFmtId="9" fontId="25" fillId="0" borderId="10" xfId="0" applyNumberFormat="1" applyFont="1" applyBorder="1" applyAlignment="1">
      <alignment horizontal="right" vertical="center" wrapText="1"/>
    </xf>
    <xf numFmtId="49" fontId="4" fillId="2" borderId="9"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49" fontId="26" fillId="2" borderId="1" xfId="0" applyNumberFormat="1" applyFont="1" applyFill="1" applyBorder="1" applyAlignment="1">
      <alignment horizontal="center" vertical="center" wrapText="1"/>
    </xf>
    <xf numFmtId="3" fontId="25" fillId="0" borderId="1" xfId="0" applyNumberFormat="1" applyFont="1" applyBorder="1" applyAlignment="1">
      <alignment vertical="center"/>
    </xf>
    <xf numFmtId="9" fontId="25" fillId="0" borderId="1" xfId="0" applyNumberFormat="1" applyFont="1" applyBorder="1" applyAlignment="1">
      <alignment vertical="center" wrapText="1"/>
    </xf>
    <xf numFmtId="49" fontId="6" fillId="0" borderId="9" xfId="0" applyNumberFormat="1" applyFont="1" applyBorder="1" applyAlignment="1">
      <alignment horizontal="center" vertical="center" wrapText="1"/>
    </xf>
    <xf numFmtId="49" fontId="6" fillId="0" borderId="1" xfId="0" quotePrefix="1" applyNumberFormat="1" applyFont="1" applyBorder="1" applyAlignment="1">
      <alignment vertical="top" wrapText="1"/>
    </xf>
    <xf numFmtId="165" fontId="6" fillId="2" borderId="27" xfId="0" applyNumberFormat="1" applyFont="1" applyFill="1" applyBorder="1" applyAlignment="1">
      <alignment vertical="center"/>
    </xf>
    <xf numFmtId="165" fontId="6" fillId="2" borderId="27" xfId="0" applyNumberFormat="1" applyFont="1" applyFill="1" applyBorder="1" applyAlignment="1">
      <alignment horizontal="right" vertical="center"/>
    </xf>
    <xf numFmtId="49" fontId="6" fillId="2" borderId="26" xfId="0" applyNumberFormat="1" applyFont="1" applyFill="1" applyBorder="1" applyAlignment="1">
      <alignment horizontal="center" vertical="center" wrapText="1"/>
    </xf>
    <xf numFmtId="49" fontId="6" fillId="2" borderId="27" xfId="0" applyNumberFormat="1" applyFont="1" applyFill="1" applyBorder="1" applyAlignment="1">
      <alignment horizontal="center" vertical="center" wrapText="1"/>
    </xf>
    <xf numFmtId="3" fontId="6" fillId="2" borderId="27" xfId="0" applyNumberFormat="1" applyFont="1" applyFill="1" applyBorder="1" applyAlignment="1">
      <alignment vertical="center"/>
    </xf>
    <xf numFmtId="49" fontId="8" fillId="0" borderId="17" xfId="0" applyNumberFormat="1" applyFont="1" applyBorder="1" applyAlignment="1">
      <alignment horizontal="center" vertical="center"/>
    </xf>
    <xf numFmtId="49" fontId="8" fillId="0" borderId="30" xfId="0" applyNumberFormat="1" applyFont="1" applyBorder="1" applyAlignment="1">
      <alignment horizontal="center" vertical="center"/>
    </xf>
    <xf numFmtId="0" fontId="8" fillId="0" borderId="18" xfId="0" applyFont="1" applyBorder="1" applyAlignment="1">
      <alignment vertical="center" wrapText="1"/>
    </xf>
    <xf numFmtId="0" fontId="7" fillId="0" borderId="1" xfId="0" applyFont="1" applyBorder="1" applyAlignment="1">
      <alignment horizontal="centerContinuous" vertical="center"/>
    </xf>
    <xf numFmtId="0" fontId="6" fillId="0" borderId="12" xfId="0" applyFont="1" applyBorder="1" applyAlignment="1">
      <alignment horizontal="centerContinuous" vertical="center"/>
    </xf>
    <xf numFmtId="0" fontId="7" fillId="2" borderId="38" xfId="0" applyFont="1" applyFill="1" applyBorder="1" applyAlignment="1">
      <alignment vertical="center" wrapText="1"/>
    </xf>
    <xf numFmtId="49" fontId="7" fillId="0" borderId="15" xfId="0" applyNumberFormat="1" applyFont="1" applyBorder="1" applyAlignment="1">
      <alignment horizontal="center" vertical="center" wrapText="1"/>
    </xf>
    <xf numFmtId="0" fontId="26" fillId="0" borderId="1" xfId="0" applyFont="1" applyBorder="1" applyAlignment="1">
      <alignment horizontal="center" vertical="center" wrapText="1"/>
    </xf>
    <xf numFmtId="169" fontId="9" fillId="2" borderId="18" xfId="0" applyNumberFormat="1" applyFont="1" applyFill="1" applyBorder="1" applyAlignment="1">
      <alignment vertical="center"/>
    </xf>
    <xf numFmtId="0" fontId="8" fillId="0" borderId="2" xfId="0" applyFont="1" applyBorder="1" applyAlignment="1">
      <alignment horizontal="left"/>
    </xf>
    <xf numFmtId="49" fontId="8" fillId="0" borderId="4" xfId="0" applyNumberFormat="1" applyFont="1" applyBorder="1" applyAlignment="1">
      <alignment vertical="center"/>
    </xf>
    <xf numFmtId="0" fontId="8" fillId="2" borderId="0" xfId="0" applyFont="1" applyFill="1" applyAlignment="1">
      <alignment vertical="center"/>
    </xf>
    <xf numFmtId="0" fontId="38" fillId="0" borderId="27" xfId="0" applyFont="1" applyBorder="1" applyAlignment="1">
      <alignment vertical="center" wrapText="1"/>
    </xf>
    <xf numFmtId="49" fontId="26" fillId="2" borderId="1" xfId="0" applyNumberFormat="1" applyFont="1" applyFill="1" applyBorder="1" applyAlignment="1">
      <alignment horizontal="center" vertical="center"/>
    </xf>
    <xf numFmtId="0" fontId="13" fillId="2" borderId="1" xfId="0" applyFont="1" applyFill="1" applyBorder="1" applyAlignment="1">
      <alignment horizontal="center" vertical="center" wrapText="1"/>
    </xf>
    <xf numFmtId="0" fontId="26" fillId="2" borderId="1" xfId="0" applyFont="1" applyFill="1" applyBorder="1" applyAlignment="1">
      <alignment horizontal="left" vertical="center" wrapText="1"/>
    </xf>
    <xf numFmtId="0" fontId="36" fillId="2" borderId="1" xfId="0" quotePrefix="1" applyFont="1" applyFill="1" applyBorder="1" applyAlignment="1">
      <alignment horizontal="center" vertical="center" wrapText="1"/>
    </xf>
    <xf numFmtId="49" fontId="3" fillId="2" borderId="14" xfId="0" applyNumberFormat="1" applyFont="1" applyFill="1" applyBorder="1" applyAlignment="1">
      <alignment horizontal="center" vertical="center" wrapText="1"/>
    </xf>
    <xf numFmtId="49" fontId="40" fillId="2" borderId="17" xfId="0" applyNumberFormat="1" applyFont="1" applyFill="1" applyBorder="1" applyAlignment="1">
      <alignment horizontal="center" vertical="center" wrapText="1"/>
    </xf>
    <xf numFmtId="0" fontId="41" fillId="2" borderId="18" xfId="0" quotePrefix="1" applyFont="1" applyFill="1" applyBorder="1" applyAlignment="1">
      <alignment vertical="center" wrapText="1"/>
    </xf>
    <xf numFmtId="49" fontId="26" fillId="0" borderId="12" xfId="0" applyNumberFormat="1" applyFont="1" applyBorder="1" applyAlignment="1">
      <alignment horizontal="center" vertical="center" wrapText="1"/>
    </xf>
    <xf numFmtId="3" fontId="26" fillId="0" borderId="12" xfId="0" applyNumberFormat="1" applyFont="1" applyBorder="1" applyAlignment="1">
      <alignment horizontal="right" vertical="center" wrapText="1"/>
    </xf>
    <xf numFmtId="9" fontId="26" fillId="0" borderId="13" xfId="0" applyNumberFormat="1" applyFont="1" applyBorder="1" applyAlignment="1">
      <alignment horizontal="right" vertical="center" wrapText="1"/>
    </xf>
    <xf numFmtId="0" fontId="35" fillId="2" borderId="15" xfId="0" quotePrefix="1" applyFont="1" applyFill="1" applyBorder="1" applyAlignment="1">
      <alignment vertical="center" wrapText="1"/>
    </xf>
    <xf numFmtId="0" fontId="36" fillId="2" borderId="12" xfId="0" quotePrefix="1" applyFont="1" applyFill="1" applyBorder="1" applyAlignment="1">
      <alignment horizontal="center" vertical="center" wrapText="1"/>
    </xf>
    <xf numFmtId="0" fontId="26" fillId="2" borderId="12" xfId="0" applyFont="1" applyFill="1" applyBorder="1" applyAlignment="1">
      <alignment horizontal="left" vertical="center" wrapText="1"/>
    </xf>
    <xf numFmtId="49" fontId="38" fillId="0" borderId="18" xfId="0" applyNumberFormat="1" applyFont="1" applyBorder="1" applyAlignment="1">
      <alignment vertical="center" wrapText="1"/>
    </xf>
    <xf numFmtId="0" fontId="4" fillId="2" borderId="1" xfId="0" applyFont="1" applyFill="1" applyBorder="1" applyAlignment="1">
      <alignment vertical="center" wrapText="1"/>
    </xf>
    <xf numFmtId="0" fontId="21" fillId="3" borderId="1" xfId="0" applyFont="1" applyFill="1" applyBorder="1" applyAlignment="1">
      <alignment horizontal="right" vertical="center" wrapText="1"/>
    </xf>
    <xf numFmtId="9" fontId="21" fillId="3" borderId="10" xfId="0" applyNumberFormat="1" applyFont="1" applyFill="1" applyBorder="1" applyAlignment="1">
      <alignment horizontal="right" vertical="center" wrapText="1"/>
    </xf>
    <xf numFmtId="49" fontId="26" fillId="0" borderId="26" xfId="0" applyNumberFormat="1" applyFont="1" applyBorder="1" applyAlignment="1">
      <alignment horizontal="center" vertical="center"/>
    </xf>
    <xf numFmtId="49" fontId="26" fillId="2" borderId="27" xfId="0" applyNumberFormat="1" applyFont="1" applyFill="1" applyBorder="1" applyAlignment="1">
      <alignment horizontal="center" vertical="center"/>
    </xf>
    <xf numFmtId="0" fontId="4" fillId="2" borderId="27" xfId="0" applyFont="1" applyFill="1" applyBorder="1" applyAlignment="1">
      <alignment vertical="center" wrapText="1"/>
    </xf>
    <xf numFmtId="0" fontId="21" fillId="3" borderId="27" xfId="0" applyFont="1" applyFill="1" applyBorder="1" applyAlignment="1">
      <alignment horizontal="right" vertical="center" wrapText="1"/>
    </xf>
    <xf numFmtId="167" fontId="26" fillId="2" borderId="27" xfId="1" applyNumberFormat="1" applyFont="1" applyFill="1" applyBorder="1" applyAlignment="1">
      <alignment horizontal="right" vertical="center" wrapText="1"/>
    </xf>
    <xf numFmtId="9" fontId="21" fillId="3" borderId="28" xfId="0" applyNumberFormat="1" applyFont="1" applyFill="1" applyBorder="1" applyAlignment="1">
      <alignment horizontal="right" vertical="center" wrapText="1"/>
    </xf>
    <xf numFmtId="49" fontId="21" fillId="2" borderId="14" xfId="0" applyNumberFormat="1" applyFont="1" applyFill="1" applyBorder="1" applyAlignment="1">
      <alignment horizontal="center" vertical="center"/>
    </xf>
    <xf numFmtId="49" fontId="21" fillId="2" borderId="15" xfId="0" applyNumberFormat="1" applyFont="1" applyFill="1" applyBorder="1" applyAlignment="1">
      <alignment horizontal="center" vertical="center" wrapText="1"/>
    </xf>
    <xf numFmtId="0" fontId="21" fillId="2" borderId="15" xfId="0" applyFont="1" applyFill="1" applyBorder="1" applyAlignment="1">
      <alignment horizontal="left" vertical="center" wrapText="1"/>
    </xf>
    <xf numFmtId="3" fontId="21" fillId="2" borderId="15" xfId="0" applyNumberFormat="1" applyFont="1" applyFill="1" applyBorder="1" applyAlignment="1">
      <alignment horizontal="right" vertical="center"/>
    </xf>
    <xf numFmtId="167" fontId="21" fillId="2" borderId="15" xfId="1" applyNumberFormat="1" applyFont="1" applyFill="1" applyBorder="1" applyAlignment="1">
      <alignment horizontal="right" vertical="center" wrapText="1"/>
    </xf>
    <xf numFmtId="9" fontId="21" fillId="2" borderId="16" xfId="0" applyNumberFormat="1" applyFont="1" applyFill="1" applyBorder="1" applyAlignment="1">
      <alignment horizontal="right" vertical="center"/>
    </xf>
    <xf numFmtId="0" fontId="16" fillId="2" borderId="0" xfId="0" applyFont="1" applyFill="1"/>
    <xf numFmtId="3" fontId="38" fillId="0" borderId="18" xfId="0" applyNumberFormat="1" applyFont="1" applyBorder="1" applyAlignment="1">
      <alignment vertical="center" wrapText="1"/>
    </xf>
    <xf numFmtId="3" fontId="26" fillId="2" borderId="1" xfId="0" applyNumberFormat="1" applyFont="1" applyFill="1" applyBorder="1" applyAlignment="1">
      <alignment horizontal="right" vertical="center"/>
    </xf>
    <xf numFmtId="3" fontId="26" fillId="0" borderId="1" xfId="0" applyNumberFormat="1" applyFont="1" applyBorder="1" applyAlignment="1">
      <alignment horizontal="right" vertical="center"/>
    </xf>
    <xf numFmtId="0" fontId="16" fillId="0" borderId="1" xfId="0" applyFont="1" applyBorder="1"/>
    <xf numFmtId="9" fontId="25" fillId="0" borderId="10" xfId="0" applyNumberFormat="1" applyFont="1" applyBorder="1" applyAlignment="1">
      <alignment horizontal="right" vertical="center"/>
    </xf>
    <xf numFmtId="0" fontId="13" fillId="2" borderId="26" xfId="0" applyFont="1" applyFill="1" applyBorder="1" applyAlignment="1">
      <alignment horizontal="center" vertical="center" wrapText="1"/>
    </xf>
    <xf numFmtId="0" fontId="26" fillId="2" borderId="27" xfId="0" applyFont="1" applyFill="1" applyBorder="1" applyAlignment="1">
      <alignment horizontal="center" vertical="center" wrapText="1"/>
    </xf>
    <xf numFmtId="0" fontId="13" fillId="2" borderId="27" xfId="0" quotePrefix="1" applyFont="1" applyFill="1" applyBorder="1" applyAlignment="1">
      <alignment horizontal="center" vertical="center" wrapText="1"/>
    </xf>
    <xf numFmtId="0" fontId="25" fillId="0" borderId="12" xfId="0" applyFont="1" applyBorder="1" applyAlignment="1">
      <alignment vertical="center" wrapText="1"/>
    </xf>
    <xf numFmtId="0" fontId="26" fillId="0" borderId="27" xfId="0" applyFont="1" applyBorder="1" applyAlignment="1">
      <alignment horizontal="center" vertical="center" wrapText="1"/>
    </xf>
    <xf numFmtId="3" fontId="25" fillId="0" borderId="12" xfId="0" applyNumberFormat="1" applyFont="1" applyBorder="1" applyAlignment="1">
      <alignment vertical="center"/>
    </xf>
    <xf numFmtId="3" fontId="25" fillId="0" borderId="12" xfId="0" applyNumberFormat="1" applyFont="1" applyBorder="1" applyAlignment="1">
      <alignment horizontal="right" vertical="center"/>
    </xf>
    <xf numFmtId="9" fontId="25" fillId="0" borderId="12" xfId="0" applyNumberFormat="1" applyFont="1" applyBorder="1" applyAlignment="1">
      <alignment vertical="center" wrapText="1"/>
    </xf>
    <xf numFmtId="0" fontId="26" fillId="2" borderId="9" xfId="0" applyFont="1" applyFill="1" applyBorder="1" applyAlignment="1">
      <alignment horizontal="center" vertical="center" wrapText="1"/>
    </xf>
    <xf numFmtId="0" fontId="38" fillId="0" borderId="1" xfId="0" applyFont="1" applyBorder="1" applyAlignment="1">
      <alignment vertical="center" wrapText="1"/>
    </xf>
    <xf numFmtId="3" fontId="26" fillId="2" borderId="1" xfId="0" applyNumberFormat="1" applyFont="1" applyFill="1" applyBorder="1" applyAlignment="1">
      <alignment horizontal="right" vertical="center" wrapText="1"/>
    </xf>
    <xf numFmtId="3" fontId="16" fillId="2" borderId="0" xfId="0" applyNumberFormat="1" applyFont="1" applyFill="1"/>
    <xf numFmtId="3" fontId="25" fillId="2" borderId="12" xfId="0" applyNumberFormat="1" applyFont="1" applyFill="1" applyBorder="1" applyAlignment="1">
      <alignment horizontal="right" vertical="center" wrapText="1"/>
    </xf>
    <xf numFmtId="3" fontId="25" fillId="2" borderId="12" xfId="0" applyNumberFormat="1" applyFont="1" applyFill="1" applyBorder="1" applyAlignment="1">
      <alignment horizontal="right" vertical="center"/>
    </xf>
    <xf numFmtId="3" fontId="25" fillId="2" borderId="43" xfId="0" applyNumberFormat="1" applyFont="1" applyFill="1" applyBorder="1" applyAlignment="1">
      <alignment vertical="center" wrapText="1"/>
    </xf>
    <xf numFmtId="167" fontId="21" fillId="3" borderId="48" xfId="1" applyNumberFormat="1" applyFont="1" applyFill="1" applyBorder="1" applyAlignment="1">
      <alignment horizontal="center" vertical="center" wrapText="1"/>
    </xf>
    <xf numFmtId="167" fontId="26" fillId="0" borderId="0" xfId="0" applyNumberFormat="1" applyFont="1" applyAlignment="1">
      <alignment horizontal="right" vertical="center"/>
    </xf>
    <xf numFmtId="0" fontId="6" fillId="2" borderId="3" xfId="0" quotePrefix="1" applyFont="1" applyFill="1" applyBorder="1" applyAlignment="1">
      <alignment vertical="center" wrapText="1"/>
    </xf>
    <xf numFmtId="49" fontId="26" fillId="2" borderId="9" xfId="0" applyNumberFormat="1" applyFont="1" applyFill="1" applyBorder="1" applyAlignment="1">
      <alignment horizontal="center" vertical="center"/>
    </xf>
    <xf numFmtId="0" fontId="24" fillId="0" borderId="15" xfId="0" quotePrefix="1" applyFont="1" applyBorder="1" applyAlignment="1">
      <alignment vertical="center" wrapText="1"/>
    </xf>
    <xf numFmtId="49" fontId="24" fillId="0" borderId="15" xfId="0" quotePrefix="1" applyNumberFormat="1" applyFont="1" applyBorder="1" applyAlignment="1">
      <alignment vertical="center" wrapText="1"/>
    </xf>
    <xf numFmtId="3" fontId="24" fillId="2" borderId="15" xfId="0" quotePrefix="1" applyNumberFormat="1" applyFont="1" applyFill="1" applyBorder="1" applyAlignment="1">
      <alignment vertical="center" wrapText="1"/>
    </xf>
    <xf numFmtId="49" fontId="6" fillId="2" borderId="12" xfId="0" applyNumberFormat="1" applyFont="1" applyFill="1" applyBorder="1" applyAlignment="1">
      <alignment horizontal="center" vertical="center" wrapText="1"/>
    </xf>
    <xf numFmtId="165" fontId="8" fillId="2" borderId="27" xfId="0" applyNumberFormat="1" applyFont="1" applyFill="1" applyBorder="1" applyAlignment="1">
      <alignment horizontal="right" vertical="center"/>
    </xf>
    <xf numFmtId="49" fontId="6" fillId="2" borderId="11" xfId="0" applyNumberFormat="1" applyFont="1" applyFill="1" applyBorder="1" applyAlignment="1">
      <alignment horizontal="center" vertical="center" wrapText="1"/>
    </xf>
    <xf numFmtId="49" fontId="6" fillId="0" borderId="27" xfId="0" applyNumberFormat="1" applyFont="1" applyBorder="1" applyAlignment="1">
      <alignment horizontal="center" vertical="center" wrapText="1"/>
    </xf>
    <xf numFmtId="3" fontId="25" fillId="2" borderId="27" xfId="0" applyNumberFormat="1" applyFont="1" applyFill="1" applyBorder="1" applyAlignment="1">
      <alignment horizontal="right" vertical="center" wrapText="1"/>
    </xf>
    <xf numFmtId="3" fontId="25" fillId="2" borderId="27" xfId="0" applyNumberFormat="1" applyFont="1" applyFill="1" applyBorder="1" applyAlignment="1">
      <alignment horizontal="right" vertical="center"/>
    </xf>
    <xf numFmtId="9" fontId="25" fillId="2" borderId="27" xfId="0" applyNumberFormat="1" applyFont="1" applyFill="1" applyBorder="1" applyAlignment="1">
      <alignment horizontal="right" vertical="center" wrapText="1"/>
    </xf>
    <xf numFmtId="9" fontId="25" fillId="2" borderId="28" xfId="0" applyNumberFormat="1" applyFont="1" applyFill="1" applyBorder="1" applyAlignment="1">
      <alignment horizontal="right" vertical="center"/>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26" fillId="0" borderId="7" xfId="0" applyFont="1" applyBorder="1" applyAlignment="1">
      <alignment horizontal="left"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26" fillId="0" borderId="15" xfId="0" applyFont="1" applyBorder="1" applyAlignment="1">
      <alignment horizontal="left" vertical="center" wrapText="1"/>
    </xf>
    <xf numFmtId="49" fontId="26" fillId="2" borderId="15" xfId="0" applyNumberFormat="1" applyFont="1" applyFill="1" applyBorder="1" applyAlignment="1">
      <alignment horizontal="center" vertical="center" wrapText="1"/>
    </xf>
    <xf numFmtId="3" fontId="25" fillId="2" borderId="15" xfId="0" applyNumberFormat="1" applyFont="1" applyFill="1" applyBorder="1" applyAlignment="1">
      <alignment horizontal="right" vertical="center" wrapText="1"/>
    </xf>
    <xf numFmtId="3" fontId="25" fillId="2" borderId="15" xfId="0" applyNumberFormat="1" applyFont="1" applyFill="1" applyBorder="1" applyAlignment="1">
      <alignment horizontal="right" vertical="center"/>
    </xf>
    <xf numFmtId="9" fontId="25" fillId="2" borderId="15" xfId="0" applyNumberFormat="1" applyFont="1" applyFill="1" applyBorder="1" applyAlignment="1">
      <alignment horizontal="right" vertical="center" wrapText="1"/>
    </xf>
    <xf numFmtId="9" fontId="25" fillId="2" borderId="16" xfId="0" applyNumberFormat="1" applyFont="1" applyFill="1" applyBorder="1" applyAlignment="1">
      <alignment horizontal="right" vertical="center"/>
    </xf>
    <xf numFmtId="49" fontId="26" fillId="2" borderId="7" xfId="0" applyNumberFormat="1" applyFont="1" applyFill="1" applyBorder="1" applyAlignment="1">
      <alignment horizontal="center" vertical="center" wrapText="1"/>
    </xf>
    <xf numFmtId="3" fontId="25" fillId="2" borderId="7" xfId="0" applyNumberFormat="1" applyFont="1" applyFill="1" applyBorder="1" applyAlignment="1">
      <alignment horizontal="right" vertical="center" wrapText="1"/>
    </xf>
    <xf numFmtId="3" fontId="25" fillId="2" borderId="7" xfId="0" applyNumberFormat="1" applyFont="1" applyFill="1" applyBorder="1" applyAlignment="1">
      <alignment horizontal="right" vertical="center"/>
    </xf>
    <xf numFmtId="9" fontId="25" fillId="2" borderId="7" xfId="0" applyNumberFormat="1" applyFont="1" applyFill="1" applyBorder="1" applyAlignment="1">
      <alignment horizontal="right" vertical="center" wrapText="1"/>
    </xf>
    <xf numFmtId="3" fontId="25" fillId="2" borderId="29" xfId="0" applyNumberFormat="1" applyFont="1" applyFill="1" applyBorder="1" applyAlignment="1">
      <alignment horizontal="right" vertical="center"/>
    </xf>
    <xf numFmtId="9" fontId="25" fillId="2" borderId="8" xfId="0" applyNumberFormat="1" applyFont="1" applyFill="1" applyBorder="1" applyAlignment="1">
      <alignment horizontal="right" vertical="center"/>
    </xf>
    <xf numFmtId="3" fontId="26" fillId="2" borderId="49" xfId="0" applyNumberFormat="1" applyFont="1" applyFill="1" applyBorder="1" applyAlignment="1">
      <alignment horizontal="right" vertical="center"/>
    </xf>
    <xf numFmtId="3" fontId="21" fillId="2" borderId="48" xfId="0" applyNumberFormat="1" applyFont="1" applyFill="1" applyBorder="1" applyAlignment="1">
      <alignment horizontal="right" vertical="center"/>
    </xf>
    <xf numFmtId="0" fontId="6" fillId="2" borderId="27" xfId="0" quotePrefix="1" applyFont="1" applyFill="1" applyBorder="1" applyAlignment="1">
      <alignment vertical="center" wrapText="1"/>
    </xf>
    <xf numFmtId="0" fontId="6" fillId="2" borderId="23" xfId="0" quotePrefix="1" applyFont="1" applyFill="1" applyBorder="1" applyAlignment="1">
      <alignment vertical="center" wrapText="1"/>
    </xf>
    <xf numFmtId="0" fontId="8" fillId="0" borderId="0" xfId="0" applyFont="1" applyAlignment="1">
      <alignment horizontal="left"/>
    </xf>
    <xf numFmtId="49" fontId="4" fillId="2" borderId="27" xfId="0" applyNumberFormat="1" applyFont="1" applyFill="1" applyBorder="1" applyAlignment="1">
      <alignment horizontal="center" vertical="center" wrapText="1"/>
    </xf>
    <xf numFmtId="0" fontId="7" fillId="0" borderId="42" xfId="0" applyFont="1" applyBorder="1" applyAlignment="1">
      <alignment horizontal="center" vertical="center"/>
    </xf>
    <xf numFmtId="165" fontId="7" fillId="0" borderId="44" xfId="0" applyNumberFormat="1" applyFont="1" applyBorder="1" applyAlignment="1">
      <alignment horizontal="center" vertical="center"/>
    </xf>
    <xf numFmtId="0" fontId="7" fillId="0" borderId="1" xfId="0" applyFont="1" applyBorder="1" applyAlignment="1">
      <alignment horizontal="left" vertical="center" wrapText="1"/>
    </xf>
    <xf numFmtId="0" fontId="6" fillId="0" borderId="12" xfId="0" applyFont="1" applyBorder="1" applyAlignment="1">
      <alignment horizontal="left" vertical="center" wrapText="1"/>
    </xf>
    <xf numFmtId="49" fontId="7" fillId="0" borderId="9" xfId="0" applyNumberFormat="1" applyFont="1" applyBorder="1" applyAlignment="1">
      <alignment horizontal="center"/>
    </xf>
    <xf numFmtId="0" fontId="8" fillId="0" borderId="3" xfId="0" applyFont="1" applyBorder="1" applyAlignment="1">
      <alignment wrapText="1"/>
    </xf>
    <xf numFmtId="49" fontId="6" fillId="0" borderId="18" xfId="0" applyNumberFormat="1" applyFont="1" applyBorder="1" applyAlignment="1">
      <alignment horizontal="center" vertical="center" wrapText="1"/>
    </xf>
    <xf numFmtId="165" fontId="9" fillId="0" borderId="1" xfId="0" applyNumberFormat="1" applyFont="1" applyBorder="1" applyAlignment="1">
      <alignment horizontal="right" vertical="center"/>
    </xf>
    <xf numFmtId="0" fontId="26" fillId="3" borderId="27" xfId="0" applyFont="1" applyFill="1" applyBorder="1" applyAlignment="1">
      <alignment horizontal="left" vertical="center" wrapText="1"/>
    </xf>
    <xf numFmtId="49" fontId="4" fillId="2" borderId="15" xfId="0" applyNumberFormat="1" applyFont="1" applyFill="1" applyBorder="1" applyAlignment="1">
      <alignment horizontal="center" vertical="center" wrapText="1"/>
    </xf>
    <xf numFmtId="49" fontId="40" fillId="2" borderId="18" xfId="0" applyNumberFormat="1" applyFont="1" applyFill="1" applyBorder="1" applyAlignment="1">
      <alignment horizontal="center" vertical="center" wrapText="1"/>
    </xf>
    <xf numFmtId="0" fontId="4" fillId="0" borderId="0" xfId="0" applyFont="1" applyAlignment="1">
      <alignment horizontal="left" vertical="center" wrapText="1"/>
    </xf>
    <xf numFmtId="9" fontId="26" fillId="0" borderId="1" xfId="0" applyNumberFormat="1" applyFont="1" applyBorder="1" applyAlignment="1">
      <alignment horizontal="center" vertical="center" wrapText="1"/>
    </xf>
    <xf numFmtId="3" fontId="25" fillId="0" borderId="12" xfId="0" applyNumberFormat="1" applyFont="1" applyBorder="1" applyAlignment="1">
      <alignment horizontal="right" vertical="center" wrapText="1"/>
    </xf>
    <xf numFmtId="9" fontId="25" fillId="0" borderId="1" xfId="0" applyNumberFormat="1" applyFont="1" applyBorder="1" applyAlignment="1">
      <alignment horizontal="center" vertical="center" wrapText="1"/>
    </xf>
    <xf numFmtId="3" fontId="25" fillId="0" borderId="1" xfId="0" applyNumberFormat="1" applyFont="1" applyBorder="1" applyAlignment="1">
      <alignment horizontal="center" vertical="center" wrapText="1"/>
    </xf>
    <xf numFmtId="3" fontId="26" fillId="0" borderId="3" xfId="0" applyNumberFormat="1" applyFont="1" applyBorder="1" applyAlignment="1">
      <alignment horizontal="left" vertical="center" wrapText="1"/>
    </xf>
    <xf numFmtId="3" fontId="26" fillId="0" borderId="43" xfId="0" applyNumberFormat="1" applyFont="1" applyBorder="1" applyAlignment="1">
      <alignment horizontal="right" vertical="center" wrapText="1"/>
    </xf>
    <xf numFmtId="3" fontId="25" fillId="0" borderId="1" xfId="0" applyNumberFormat="1" applyFont="1" applyBorder="1" applyAlignment="1">
      <alignment horizontal="left" vertical="center" wrapText="1"/>
    </xf>
    <xf numFmtId="3" fontId="25" fillId="0" borderId="3" xfId="0" applyNumberFormat="1" applyFont="1" applyBorder="1" applyAlignment="1">
      <alignment horizontal="right" vertical="center" wrapText="1"/>
    </xf>
    <xf numFmtId="3" fontId="26" fillId="0" borderId="1" xfId="0" applyNumberFormat="1" applyFont="1" applyBorder="1" applyAlignment="1">
      <alignment horizontal="center" vertical="center" wrapText="1"/>
    </xf>
    <xf numFmtId="49" fontId="26" fillId="0" borderId="1" xfId="0" applyNumberFormat="1" applyFont="1" applyBorder="1" applyAlignment="1">
      <alignment horizontal="center" vertical="center"/>
    </xf>
    <xf numFmtId="3" fontId="26" fillId="0" borderId="1" xfId="0" applyNumberFormat="1" applyFont="1" applyBorder="1" applyAlignment="1">
      <alignment horizontal="left" vertical="center" wrapText="1"/>
    </xf>
    <xf numFmtId="3" fontId="26" fillId="0" borderId="1" xfId="0" quotePrefix="1" applyNumberFormat="1" applyFont="1" applyBorder="1" applyAlignment="1">
      <alignment horizontal="right" vertical="center" wrapText="1"/>
    </xf>
    <xf numFmtId="49" fontId="4" fillId="0" borderId="18" xfId="0" applyNumberFormat="1" applyFont="1" applyBorder="1" applyAlignment="1">
      <alignment horizontal="center" vertical="center" wrapText="1"/>
    </xf>
    <xf numFmtId="3" fontId="26" fillId="0" borderId="3" xfId="0" applyNumberFormat="1" applyFont="1" applyBorder="1" applyAlignment="1">
      <alignment vertical="center" wrapText="1"/>
    </xf>
    <xf numFmtId="3" fontId="4" fillId="0" borderId="1" xfId="0" applyNumberFormat="1" applyFont="1" applyBorder="1" applyAlignment="1">
      <alignment vertical="center"/>
    </xf>
    <xf numFmtId="9" fontId="26" fillId="0" borderId="1" xfId="0" applyNumberFormat="1" applyFont="1" applyBorder="1" applyAlignment="1">
      <alignment horizontal="center" vertical="center"/>
    </xf>
    <xf numFmtId="3" fontId="25" fillId="0" borderId="1" xfId="0" applyNumberFormat="1" applyFont="1" applyBorder="1" applyAlignment="1">
      <alignment vertical="center" wrapText="1"/>
    </xf>
    <xf numFmtId="9" fontId="25" fillId="0" borderId="1" xfId="0" applyNumberFormat="1" applyFont="1" applyBorder="1" applyAlignment="1">
      <alignment horizontal="center" vertical="center"/>
    </xf>
    <xf numFmtId="0" fontId="26" fillId="0" borderId="3" xfId="0" applyFont="1" applyBorder="1" applyAlignment="1">
      <alignment vertical="center" wrapText="1"/>
    </xf>
    <xf numFmtId="0" fontId="25" fillId="0" borderId="3" xfId="0" applyFont="1" applyBorder="1" applyAlignment="1">
      <alignment vertical="center" wrapText="1"/>
    </xf>
    <xf numFmtId="3" fontId="25" fillId="0" borderId="1" xfId="0" quotePrefix="1" applyNumberFormat="1" applyFont="1" applyBorder="1" applyAlignment="1">
      <alignment horizontal="right" vertical="center" wrapText="1"/>
    </xf>
    <xf numFmtId="0" fontId="4" fillId="0" borderId="1" xfId="0" applyFont="1" applyBorder="1" applyAlignment="1">
      <alignment vertical="center" wrapText="1"/>
    </xf>
    <xf numFmtId="170" fontId="26" fillId="0" borderId="1" xfId="4" applyNumberFormat="1" applyFont="1" applyFill="1" applyBorder="1" applyAlignment="1">
      <alignment horizontal="right" vertical="center" wrapText="1"/>
    </xf>
    <xf numFmtId="3" fontId="26" fillId="0" borderId="1" xfId="0" applyNumberFormat="1" applyFont="1" applyBorder="1" applyAlignment="1">
      <alignment vertical="center" wrapText="1"/>
    </xf>
    <xf numFmtId="3" fontId="25" fillId="0" borderId="3" xfId="0" applyNumberFormat="1" applyFont="1" applyBorder="1" applyAlignment="1">
      <alignment vertical="center" wrapText="1"/>
    </xf>
    <xf numFmtId="171" fontId="25" fillId="0" borderId="1" xfId="0" applyNumberFormat="1" applyFont="1" applyBorder="1" applyAlignment="1">
      <alignment vertical="center"/>
    </xf>
    <xf numFmtId="0" fontId="26"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43" xfId="0" applyFont="1" applyBorder="1" applyAlignment="1">
      <alignment horizontal="left" vertical="center" wrapText="1"/>
    </xf>
    <xf numFmtId="9" fontId="26" fillId="0" borderId="12" xfId="0" applyNumberFormat="1" applyFont="1" applyBorder="1" applyAlignment="1">
      <alignment horizontal="center" vertical="center" wrapText="1"/>
    </xf>
    <xf numFmtId="3" fontId="26" fillId="0" borderId="12" xfId="0" applyNumberFormat="1" applyFont="1" applyBorder="1" applyAlignment="1">
      <alignment vertical="center" wrapText="1"/>
    </xf>
    <xf numFmtId="9" fontId="26" fillId="2" borderId="1" xfId="0" applyNumberFormat="1" applyFont="1" applyFill="1" applyBorder="1" applyAlignment="1">
      <alignment horizontal="center" vertical="center" wrapText="1"/>
    </xf>
    <xf numFmtId="9" fontId="26" fillId="2" borderId="10" xfId="0" applyNumberFormat="1" applyFont="1" applyFill="1" applyBorder="1" applyAlignment="1">
      <alignment horizontal="center" vertical="center"/>
    </xf>
    <xf numFmtId="9" fontId="25" fillId="2" borderId="12" xfId="0" applyNumberFormat="1" applyFont="1" applyFill="1" applyBorder="1" applyAlignment="1">
      <alignment horizontal="center" vertical="center" wrapText="1"/>
    </xf>
    <xf numFmtId="9" fontId="25" fillId="2" borderId="13" xfId="0" applyNumberFormat="1" applyFont="1" applyFill="1" applyBorder="1" applyAlignment="1">
      <alignment horizontal="center" vertical="center"/>
    </xf>
    <xf numFmtId="0" fontId="19" fillId="0" borderId="0" xfId="0" applyFont="1"/>
    <xf numFmtId="0" fontId="26" fillId="0" borderId="0" xfId="0" applyFont="1" applyAlignment="1">
      <alignment horizontal="center" vertical="center" wrapText="1"/>
    </xf>
    <xf numFmtId="3" fontId="26" fillId="0" borderId="0" xfId="0" applyNumberFormat="1" applyFont="1"/>
    <xf numFmtId="0" fontId="44" fillId="0" borderId="0" xfId="0" applyFont="1" applyAlignment="1">
      <alignment horizontal="left" vertical="center"/>
    </xf>
    <xf numFmtId="9" fontId="25" fillId="0" borderId="10" xfId="0" applyNumberFormat="1" applyFont="1" applyBorder="1" applyAlignment="1">
      <alignment horizontal="center" vertical="center"/>
    </xf>
    <xf numFmtId="0" fontId="6" fillId="2" borderId="25" xfId="0" applyFont="1" applyFill="1" applyBorder="1" applyAlignment="1">
      <alignment horizontal="center" vertical="center" wrapText="1"/>
    </xf>
    <xf numFmtId="0" fontId="6" fillId="2" borderId="25" xfId="0" quotePrefix="1" applyFont="1" applyFill="1" applyBorder="1" applyAlignment="1">
      <alignment vertical="center" wrapText="1"/>
    </xf>
    <xf numFmtId="165" fontId="6" fillId="2" borderId="25" xfId="0" applyNumberFormat="1" applyFont="1" applyFill="1" applyBorder="1" applyAlignment="1">
      <alignment vertical="center"/>
    </xf>
    <xf numFmtId="165" fontId="6" fillId="2" borderId="25" xfId="0" applyNumberFormat="1" applyFont="1" applyFill="1" applyBorder="1" applyAlignment="1">
      <alignment horizontal="right" vertical="center"/>
    </xf>
    <xf numFmtId="49" fontId="6" fillId="2" borderId="24" xfId="0" applyNumberFormat="1" applyFont="1" applyFill="1" applyBorder="1" applyAlignment="1">
      <alignment horizontal="center" vertical="center" wrapText="1"/>
    </xf>
    <xf numFmtId="49" fontId="6" fillId="2" borderId="25" xfId="0" applyNumberFormat="1" applyFont="1" applyFill="1" applyBorder="1" applyAlignment="1">
      <alignment horizontal="center" vertical="center" wrapText="1"/>
    </xf>
    <xf numFmtId="165" fontId="9" fillId="2" borderId="1" xfId="0" applyNumberFormat="1" applyFont="1" applyFill="1" applyBorder="1" applyAlignment="1">
      <alignment horizontal="right" vertical="center" wrapText="1"/>
    </xf>
    <xf numFmtId="0" fontId="33" fillId="0" borderId="0" xfId="0" applyFont="1"/>
    <xf numFmtId="165" fontId="6" fillId="0" borderId="1" xfId="0" quotePrefix="1" applyNumberFormat="1" applyFont="1" applyBorder="1" applyAlignment="1">
      <alignment vertical="center" wrapText="1"/>
    </xf>
    <xf numFmtId="165" fontId="6" fillId="0" borderId="28" xfId="0" applyNumberFormat="1" applyFont="1" applyBorder="1" applyAlignment="1">
      <alignment horizontal="right" vertical="center"/>
    </xf>
    <xf numFmtId="0" fontId="35" fillId="2" borderId="15" xfId="0" quotePrefix="1" applyFont="1" applyFill="1" applyBorder="1" applyAlignment="1">
      <alignment horizontal="left" vertical="center" wrapText="1"/>
    </xf>
    <xf numFmtId="49" fontId="4" fillId="2" borderId="26" xfId="0" applyNumberFormat="1" applyFont="1" applyFill="1" applyBorder="1" applyAlignment="1">
      <alignment horizontal="center" vertical="center" wrapText="1"/>
    </xf>
    <xf numFmtId="0" fontId="38" fillId="2" borderId="18" xfId="0" quotePrefix="1" applyFont="1" applyFill="1" applyBorder="1" applyAlignment="1">
      <alignment horizontal="left" vertical="center" wrapText="1"/>
    </xf>
    <xf numFmtId="0" fontId="13" fillId="0" borderId="1" xfId="0" applyFont="1" applyBorder="1" applyAlignment="1">
      <alignment horizontal="center" vertical="center" wrapText="1"/>
    </xf>
    <xf numFmtId="0" fontId="6" fillId="0" borderId="12" xfId="0" applyFont="1" applyBorder="1" applyAlignment="1">
      <alignment horizontal="center" vertical="center"/>
    </xf>
    <xf numFmtId="0" fontId="7" fillId="0" borderId="12" xfId="0" applyFont="1" applyBorder="1" applyAlignment="1">
      <alignment horizontal="center" vertical="center"/>
    </xf>
    <xf numFmtId="0" fontId="7" fillId="0" borderId="12" xfId="0" applyFont="1" applyBorder="1" applyAlignment="1">
      <alignment horizontal="left" vertical="center" wrapText="1"/>
    </xf>
    <xf numFmtId="165" fontId="7" fillId="0" borderId="13" xfId="0" applyNumberFormat="1" applyFont="1" applyBorder="1" applyAlignment="1">
      <alignment horizontal="center" vertical="center"/>
    </xf>
    <xf numFmtId="0" fontId="8" fillId="0" borderId="0" xfId="0" applyFont="1" applyAlignment="1">
      <alignment horizontal="left" vertical="top" wrapText="1"/>
    </xf>
    <xf numFmtId="0" fontId="7" fillId="0" borderId="1" xfId="0" applyFont="1" applyBorder="1" applyAlignment="1">
      <alignment vertical="center" wrapText="1"/>
    </xf>
    <xf numFmtId="165" fontId="7" fillId="0" borderId="1" xfId="0" applyNumberFormat="1" applyFont="1" applyBorder="1" applyAlignment="1">
      <alignment horizontal="right" vertical="center"/>
    </xf>
    <xf numFmtId="165" fontId="0" fillId="0" borderId="0" xfId="0" applyNumberFormat="1"/>
    <xf numFmtId="0" fontId="18" fillId="0" borderId="1" xfId="0" applyFont="1" applyBorder="1" applyAlignment="1">
      <alignment vertical="center" wrapText="1"/>
    </xf>
    <xf numFmtId="165" fontId="18" fillId="2" borderId="1" xfId="0" applyNumberFormat="1" applyFont="1" applyFill="1" applyBorder="1" applyAlignment="1">
      <alignment horizontal="right" vertical="center"/>
    </xf>
    <xf numFmtId="0" fontId="6" fillId="0" borderId="1" xfId="0" applyFont="1" applyBorder="1" applyAlignment="1">
      <alignment vertical="center" wrapText="1"/>
    </xf>
    <xf numFmtId="165" fontId="18" fillId="0" borderId="1" xfId="0" applyNumberFormat="1" applyFont="1" applyBorder="1" applyAlignment="1">
      <alignment horizontal="right" vertical="center"/>
    </xf>
    <xf numFmtId="0" fontId="6" fillId="0" borderId="9" xfId="0" applyFont="1" applyBorder="1" applyAlignment="1">
      <alignment horizontal="left" vertical="center" wrapText="1"/>
    </xf>
    <xf numFmtId="0" fontId="7" fillId="0" borderId="9" xfId="0" applyFont="1" applyBorder="1" applyAlignment="1">
      <alignment horizontal="center" vertical="center" wrapText="1"/>
    </xf>
    <xf numFmtId="0" fontId="8" fillId="0" borderId="9" xfId="0" applyFont="1" applyBorder="1" applyAlignment="1">
      <alignment horizontal="center" vertical="center"/>
    </xf>
    <xf numFmtId="0" fontId="17" fillId="0" borderId="9" xfId="0" applyFont="1" applyBorder="1" applyAlignment="1">
      <alignment horizontal="center" vertical="center"/>
    </xf>
    <xf numFmtId="49" fontId="24" fillId="0" borderId="0" xfId="0" applyNumberFormat="1" applyFont="1" applyAlignment="1">
      <alignment horizontal="center" vertical="center"/>
    </xf>
    <xf numFmtId="0" fontId="7" fillId="0" borderId="9" xfId="0" applyFont="1" applyBorder="1" applyAlignment="1">
      <alignment horizontal="left" vertical="center" wrapText="1"/>
    </xf>
    <xf numFmtId="165" fontId="6" fillId="0" borderId="1" xfId="0" applyNumberFormat="1" applyFont="1" applyBorder="1" applyAlignment="1">
      <alignment vertical="center" wrapText="1"/>
    </xf>
    <xf numFmtId="165" fontId="6" fillId="2" borderId="28" xfId="0" applyNumberFormat="1" applyFont="1" applyFill="1" applyBorder="1" applyAlignment="1">
      <alignment vertical="center"/>
    </xf>
    <xf numFmtId="0" fontId="8" fillId="0" borderId="31" xfId="0" applyFont="1" applyBorder="1" applyAlignment="1">
      <alignment horizontal="center" vertical="center"/>
    </xf>
    <xf numFmtId="49" fontId="16" fillId="0" borderId="42" xfId="0" applyNumberFormat="1" applyFont="1" applyBorder="1" applyAlignment="1">
      <alignment horizontal="center" vertical="center" wrapText="1"/>
    </xf>
    <xf numFmtId="3" fontId="16" fillId="0" borderId="44" xfId="0" applyNumberFormat="1" applyFont="1" applyBorder="1" applyAlignment="1">
      <alignment horizontal="center" vertical="center" wrapText="1"/>
    </xf>
    <xf numFmtId="165" fontId="6" fillId="0" borderId="34" xfId="0" applyNumberFormat="1" applyFont="1" applyBorder="1" applyAlignment="1">
      <alignment horizontal="center" vertical="center"/>
    </xf>
    <xf numFmtId="0" fontId="7" fillId="0" borderId="43" xfId="0" applyFont="1" applyBorder="1" applyAlignment="1">
      <alignment horizontal="left" vertical="center" wrapText="1"/>
    </xf>
    <xf numFmtId="0" fontId="6" fillId="0" borderId="39" xfId="0" quotePrefix="1" applyFont="1" applyBorder="1" applyAlignment="1">
      <alignment vertical="center" wrapText="1"/>
    </xf>
    <xf numFmtId="0" fontId="13" fillId="0" borderId="39" xfId="0" quotePrefix="1" applyFont="1" applyBorder="1" applyAlignment="1">
      <alignment vertical="center" wrapText="1"/>
    </xf>
    <xf numFmtId="49" fontId="26" fillId="0" borderId="26" xfId="0" applyNumberFormat="1" applyFont="1" applyBorder="1" applyAlignment="1">
      <alignment horizontal="center" vertical="center" wrapText="1"/>
    </xf>
    <xf numFmtId="3" fontId="25" fillId="0" borderId="3" xfId="0" applyNumberFormat="1" applyFont="1" applyBorder="1" applyAlignment="1">
      <alignment horizontal="left" vertical="center" wrapText="1"/>
    </xf>
    <xf numFmtId="4" fontId="15" fillId="0" borderId="0" xfId="0" applyNumberFormat="1" applyFont="1"/>
    <xf numFmtId="4" fontId="1" fillId="0" borderId="0" xfId="0" applyNumberFormat="1" applyFont="1"/>
    <xf numFmtId="3" fontId="26" fillId="0" borderId="18" xfId="0" applyNumberFormat="1" applyFont="1" applyBorder="1" applyAlignment="1">
      <alignment horizontal="right" vertical="center"/>
    </xf>
    <xf numFmtId="0" fontId="40" fillId="0" borderId="1" xfId="0" applyFont="1" applyBorder="1" applyAlignment="1">
      <alignment horizontal="left" vertical="center" wrapText="1"/>
    </xf>
    <xf numFmtId="1" fontId="20" fillId="0" borderId="0" xfId="0" applyNumberFormat="1" applyFont="1" applyAlignment="1">
      <alignment horizontal="right" vertical="center"/>
    </xf>
    <xf numFmtId="165" fontId="8" fillId="2" borderId="27" xfId="0" applyNumberFormat="1" applyFont="1" applyFill="1" applyBorder="1" applyAlignment="1">
      <alignment vertical="center"/>
    </xf>
    <xf numFmtId="165" fontId="6" fillId="0" borderId="12" xfId="0" quotePrefix="1" applyNumberFormat="1" applyFont="1" applyBorder="1" applyAlignment="1">
      <alignment vertical="center" wrapText="1"/>
    </xf>
    <xf numFmtId="3" fontId="26" fillId="2" borderId="27" xfId="0" applyNumberFormat="1" applyFont="1" applyFill="1" applyBorder="1" applyAlignment="1">
      <alignment horizontal="right" vertical="center"/>
    </xf>
    <xf numFmtId="3" fontId="26" fillId="2" borderId="1" xfId="0" quotePrefix="1" applyNumberFormat="1" applyFont="1" applyFill="1" applyBorder="1" applyAlignment="1">
      <alignment horizontal="right" vertical="center" wrapText="1"/>
    </xf>
    <xf numFmtId="9" fontId="26" fillId="0" borderId="18" xfId="0" applyNumberFormat="1" applyFont="1" applyBorder="1" applyAlignment="1">
      <alignment horizontal="right" vertical="center"/>
    </xf>
    <xf numFmtId="0" fontId="8" fillId="0" borderId="4" xfId="0" applyFont="1" applyBorder="1"/>
    <xf numFmtId="0" fontId="6" fillId="0" borderId="1" xfId="0" applyFont="1" applyBorder="1" applyAlignment="1">
      <alignment horizontal="center" vertical="center" wrapText="1"/>
    </xf>
    <xf numFmtId="0" fontId="6"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21" xfId="0" applyFont="1" applyBorder="1" applyAlignment="1">
      <alignment horizontal="center" vertical="center" wrapText="1"/>
    </xf>
    <xf numFmtId="0" fontId="7" fillId="0" borderId="9" xfId="0" applyFont="1" applyBorder="1" applyAlignment="1">
      <alignment vertical="center" wrapText="1"/>
    </xf>
    <xf numFmtId="165" fontId="7" fillId="0" borderId="10" xfId="0" applyNumberFormat="1" applyFont="1" applyBorder="1" applyAlignment="1">
      <alignment horizontal="right" vertical="center"/>
    </xf>
    <xf numFmtId="0" fontId="18" fillId="0" borderId="9" xfId="0" applyFont="1" applyBorder="1" applyAlignment="1">
      <alignment vertical="center" wrapText="1"/>
    </xf>
    <xf numFmtId="0" fontId="6" fillId="0" borderId="9" xfId="0" applyFont="1" applyBorder="1" applyAlignment="1">
      <alignment vertical="center" wrapText="1"/>
    </xf>
    <xf numFmtId="165" fontId="18" fillId="0" borderId="10" xfId="0" applyNumberFormat="1" applyFont="1" applyBorder="1" applyAlignment="1">
      <alignment horizontal="right" vertical="center"/>
    </xf>
    <xf numFmtId="0" fontId="7" fillId="0" borderId="20" xfId="0" applyFont="1" applyBorder="1" applyAlignment="1">
      <alignment horizontal="center" vertical="center" wrapText="1"/>
    </xf>
    <xf numFmtId="0" fontId="7" fillId="0" borderId="21" xfId="0" applyFont="1" applyBorder="1" applyAlignment="1">
      <alignment vertical="center" wrapText="1"/>
    </xf>
    <xf numFmtId="165" fontId="7" fillId="0" borderId="21" xfId="0" applyNumberFormat="1" applyFont="1" applyBorder="1" applyAlignment="1">
      <alignment horizontal="right" vertical="center"/>
    </xf>
    <xf numFmtId="165" fontId="7" fillId="0" borderId="22" xfId="0" applyNumberFormat="1" applyFont="1" applyBorder="1" applyAlignment="1">
      <alignment horizontal="right" vertical="center"/>
    </xf>
    <xf numFmtId="0" fontId="7" fillId="0" borderId="9" xfId="0" applyFont="1" applyBorder="1" applyAlignment="1">
      <alignment horizontal="centerContinuous" vertical="center"/>
    </xf>
    <xf numFmtId="0" fontId="6" fillId="0" borderId="11" xfId="0" applyFont="1" applyBorder="1" applyAlignment="1">
      <alignment horizontal="centerContinuous" vertical="center"/>
    </xf>
    <xf numFmtId="49" fontId="7" fillId="0" borderId="11" xfId="0" applyNumberFormat="1" applyFont="1" applyBorder="1" applyAlignment="1">
      <alignment horizontal="center" vertical="center"/>
    </xf>
    <xf numFmtId="0" fontId="6" fillId="0" borderId="11" xfId="0" applyFont="1" applyBorder="1" applyAlignment="1">
      <alignment horizontal="center" vertical="center"/>
    </xf>
    <xf numFmtId="9" fontId="26" fillId="0" borderId="19" xfId="0" applyNumberFormat="1" applyFont="1" applyBorder="1" applyAlignment="1">
      <alignment horizontal="right" vertical="center"/>
    </xf>
    <xf numFmtId="9" fontId="26" fillId="0" borderId="10" xfId="0" applyNumberFormat="1" applyFont="1" applyBorder="1" applyAlignment="1">
      <alignment horizontal="center" vertical="center" wrapText="1"/>
    </xf>
    <xf numFmtId="9" fontId="25" fillId="0" borderId="10"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9" fontId="26" fillId="0" borderId="10" xfId="0" applyNumberFormat="1" applyFont="1" applyBorder="1" applyAlignment="1">
      <alignment horizontal="center" vertical="center"/>
    </xf>
    <xf numFmtId="0" fontId="26" fillId="0" borderId="9" xfId="0" applyFont="1" applyBorder="1" applyAlignment="1">
      <alignment horizontal="center" vertical="center"/>
    </xf>
    <xf numFmtId="9" fontId="26" fillId="0" borderId="13" xfId="0" applyNumberFormat="1" applyFont="1" applyBorder="1" applyAlignment="1">
      <alignment horizontal="center" vertical="center" wrapText="1"/>
    </xf>
    <xf numFmtId="4" fontId="6" fillId="2" borderId="0" xfId="0" applyNumberFormat="1" applyFont="1" applyFill="1"/>
    <xf numFmtId="0" fontId="26" fillId="0" borderId="11" xfId="0" applyFont="1" applyBorder="1" applyAlignment="1">
      <alignment horizontal="center" vertical="center"/>
    </xf>
    <xf numFmtId="0" fontId="26" fillId="0" borderId="12" xfId="0" applyFont="1" applyBorder="1" applyAlignment="1">
      <alignment horizontal="center" vertical="center"/>
    </xf>
    <xf numFmtId="49" fontId="26" fillId="0" borderId="12" xfId="0" applyNumberFormat="1" applyFont="1" applyBorder="1" applyAlignment="1">
      <alignment horizontal="center" vertical="center"/>
    </xf>
    <xf numFmtId="0" fontId="26" fillId="0" borderId="12" xfId="0" applyFont="1" applyBorder="1" applyAlignment="1">
      <alignment horizontal="center" vertical="center" wrapText="1"/>
    </xf>
    <xf numFmtId="0" fontId="13" fillId="0" borderId="12" xfId="0" quotePrefix="1" applyFont="1" applyBorder="1" applyAlignment="1">
      <alignment horizontal="center" vertical="center" wrapText="1"/>
    </xf>
    <xf numFmtId="3" fontId="26" fillId="0" borderId="18" xfId="0" applyNumberFormat="1" applyFont="1" applyBorder="1" applyAlignment="1">
      <alignment horizontal="center" vertical="center" wrapText="1"/>
    </xf>
    <xf numFmtId="3" fontId="26" fillId="0" borderId="12" xfId="0" applyNumberFormat="1" applyFont="1" applyBorder="1" applyAlignment="1">
      <alignment horizontal="center" vertical="center" wrapText="1"/>
    </xf>
    <xf numFmtId="49" fontId="4" fillId="2" borderId="11" xfId="0" applyNumberFormat="1" applyFont="1" applyFill="1" applyBorder="1" applyAlignment="1">
      <alignment horizontal="center" vertical="center" wrapText="1"/>
    </xf>
    <xf numFmtId="49" fontId="26" fillId="2" borderId="27" xfId="0" applyNumberFormat="1" applyFont="1" applyFill="1" applyBorder="1" applyAlignment="1">
      <alignment horizontal="center" vertical="center" wrapText="1"/>
    </xf>
    <xf numFmtId="4" fontId="6" fillId="2" borderId="0" xfId="0" applyNumberFormat="1" applyFont="1" applyFill="1" applyAlignment="1">
      <alignment horizontal="right"/>
    </xf>
    <xf numFmtId="0" fontId="7" fillId="0" borderId="42" xfId="0" applyFont="1" applyBorder="1" applyAlignment="1">
      <alignment horizontal="center"/>
    </xf>
    <xf numFmtId="0" fontId="35" fillId="0" borderId="0" xfId="0" applyFont="1" applyAlignment="1">
      <alignment horizontal="left" vertical="center"/>
    </xf>
    <xf numFmtId="0" fontId="26" fillId="0" borderId="1" xfId="0" applyFont="1" applyBorder="1" applyAlignment="1">
      <alignment horizontal="left" vertical="center" wrapText="1"/>
    </xf>
    <xf numFmtId="3" fontId="13" fillId="0" borderId="27" xfId="0" applyNumberFormat="1" applyFont="1" applyBorder="1" applyAlignment="1">
      <alignment horizontal="center" vertical="center" wrapText="1"/>
    </xf>
    <xf numFmtId="0" fontId="40" fillId="0" borderId="3" xfId="0" applyFont="1" applyBorder="1" applyAlignment="1">
      <alignment vertical="center" wrapText="1"/>
    </xf>
    <xf numFmtId="170" fontId="25" fillId="0" borderId="1" xfId="4" applyNumberFormat="1" applyFont="1" applyFill="1" applyBorder="1" applyAlignment="1">
      <alignment horizontal="right" vertical="center" wrapText="1"/>
    </xf>
    <xf numFmtId="171" fontId="26" fillId="0" borderId="1" xfId="0" applyNumberFormat="1" applyFont="1" applyBorder="1" applyAlignment="1">
      <alignment horizontal="center" vertical="center" wrapText="1"/>
    </xf>
    <xf numFmtId="0" fontId="13" fillId="0" borderId="1" xfId="0" quotePrefix="1" applyFont="1" applyBorder="1" applyAlignment="1">
      <alignment horizontal="center" vertical="center" wrapText="1"/>
    </xf>
    <xf numFmtId="0" fontId="35" fillId="0" borderId="15" xfId="0" quotePrefix="1" applyFont="1" applyBorder="1" applyAlignment="1">
      <alignment vertical="center" wrapText="1"/>
    </xf>
    <xf numFmtId="0" fontId="41" fillId="0" borderId="7" xfId="0" quotePrefix="1" applyFont="1" applyBorder="1" applyAlignment="1">
      <alignment vertical="center" wrapText="1"/>
    </xf>
    <xf numFmtId="49" fontId="26" fillId="2" borderId="26" xfId="0" applyNumberFormat="1" applyFont="1" applyFill="1" applyBorder="1" applyAlignment="1">
      <alignment horizontal="center" vertical="center" wrapText="1"/>
    </xf>
    <xf numFmtId="49" fontId="4" fillId="0" borderId="27" xfId="0" applyNumberFormat="1" applyFont="1" applyBorder="1" applyAlignment="1">
      <alignment horizontal="center" vertical="center" wrapText="1"/>
    </xf>
    <xf numFmtId="0" fontId="13" fillId="2" borderId="27" xfId="0" applyFont="1" applyFill="1" applyBorder="1" applyAlignment="1">
      <alignment horizontal="center" vertical="center" wrapText="1"/>
    </xf>
    <xf numFmtId="0" fontId="26" fillId="0" borderId="27" xfId="0" applyFont="1" applyBorder="1" applyAlignment="1">
      <alignment vertical="center" wrapText="1"/>
    </xf>
    <xf numFmtId="0" fontId="13" fillId="0" borderId="0" xfId="0" applyFont="1" applyAlignment="1">
      <alignment horizontal="center" vertical="center" wrapText="1"/>
    </xf>
    <xf numFmtId="0" fontId="6" fillId="0" borderId="10" xfId="0" applyFont="1" applyBorder="1" applyAlignment="1">
      <alignment horizontal="center"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7" fillId="0" borderId="31" xfId="0" applyFont="1" applyBorder="1" applyAlignment="1">
      <alignment horizontal="center"/>
    </xf>
    <xf numFmtId="0" fontId="7" fillId="0" borderId="1" xfId="0" applyFont="1" applyBorder="1" applyAlignment="1">
      <alignment horizontal="center"/>
    </xf>
    <xf numFmtId="165" fontId="6" fillId="2" borderId="19" xfId="0" applyNumberFormat="1" applyFont="1" applyFill="1" applyBorder="1" applyAlignment="1">
      <alignment vertical="center"/>
    </xf>
    <xf numFmtId="165" fontId="6" fillId="0" borderId="10" xfId="0" applyNumberFormat="1" applyFont="1" applyBorder="1" applyAlignment="1">
      <alignment horizontal="center" vertical="center"/>
    </xf>
    <xf numFmtId="49" fontId="16" fillId="0" borderId="31" xfId="0" applyNumberFormat="1" applyFont="1" applyBorder="1" applyAlignment="1">
      <alignment horizontal="center" vertical="center" wrapText="1"/>
    </xf>
    <xf numFmtId="165" fontId="7" fillId="0" borderId="34" xfId="0" applyNumberFormat="1" applyFont="1" applyBorder="1" applyAlignment="1">
      <alignment horizontal="center" vertical="center"/>
    </xf>
    <xf numFmtId="165" fontId="9" fillId="0" borderId="10" xfId="0" applyNumberFormat="1" applyFont="1" applyBorder="1" applyAlignment="1">
      <alignment horizontal="right" vertical="center"/>
    </xf>
    <xf numFmtId="0" fontId="24" fillId="0" borderId="0" xfId="0" applyFont="1" applyAlignment="1">
      <alignment horizontal="center" vertical="center"/>
    </xf>
    <xf numFmtId="0" fontId="16" fillId="0" borderId="0" xfId="0" applyFont="1" applyAlignment="1">
      <alignment horizontal="center" vertical="center"/>
    </xf>
    <xf numFmtId="49" fontId="8" fillId="0" borderId="0" xfId="0" applyNumberFormat="1" applyFont="1"/>
    <xf numFmtId="0" fontId="8" fillId="2" borderId="0" xfId="0" applyFont="1" applyFill="1"/>
    <xf numFmtId="0" fontId="13" fillId="0" borderId="0" xfId="0" applyFont="1"/>
    <xf numFmtId="0" fontId="8" fillId="0" borderId="0" xfId="0" applyFont="1" applyAlignment="1">
      <alignment horizontal="right" vertical="center" wrapText="1"/>
    </xf>
    <xf numFmtId="49" fontId="10" fillId="0" borderId="14" xfId="0" applyNumberFormat="1" applyFont="1" applyBorder="1" applyAlignment="1">
      <alignment horizontal="center" vertical="center" wrapText="1"/>
    </xf>
    <xf numFmtId="49" fontId="10" fillId="0" borderId="38"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0" fontId="8" fillId="0" borderId="0" xfId="0" applyFont="1" applyAlignment="1">
      <alignment horizontal="center"/>
    </xf>
    <xf numFmtId="0" fontId="16" fillId="0" borderId="14" xfId="0" applyFont="1" applyBorder="1" applyAlignment="1">
      <alignment horizontal="center" vertical="center"/>
    </xf>
    <xf numFmtId="49" fontId="16" fillId="3" borderId="38" xfId="0" applyNumberFormat="1" applyFont="1" applyFill="1" applyBorder="1" applyAlignment="1">
      <alignment horizontal="center" vertical="center" wrapText="1"/>
    </xf>
    <xf numFmtId="49" fontId="16" fillId="0" borderId="15" xfId="0" applyNumberFormat="1" applyFont="1" applyBorder="1" applyAlignment="1">
      <alignment horizontal="center" vertical="center"/>
    </xf>
    <xf numFmtId="3" fontId="16" fillId="0" borderId="16" xfId="0" applyNumberFormat="1" applyFont="1" applyBorder="1" applyAlignment="1">
      <alignment horizontal="right" vertical="center" wrapText="1"/>
    </xf>
    <xf numFmtId="0" fontId="24" fillId="0" borderId="0" xfId="0" applyFont="1"/>
    <xf numFmtId="0" fontId="19" fillId="0" borderId="14" xfId="0" applyFont="1" applyBorder="1" applyAlignment="1">
      <alignment horizontal="center" vertical="center"/>
    </xf>
    <xf numFmtId="49" fontId="19" fillId="3" borderId="38" xfId="0" applyNumberFormat="1" applyFont="1" applyFill="1" applyBorder="1" applyAlignment="1">
      <alignment horizontal="center" vertical="center" wrapText="1"/>
    </xf>
    <xf numFmtId="49" fontId="19" fillId="0" borderId="38" xfId="0" applyNumberFormat="1" applyFont="1" applyBorder="1" applyAlignment="1">
      <alignment horizontal="center" vertical="center"/>
    </xf>
    <xf numFmtId="3" fontId="19" fillId="0" borderId="16" xfId="0" applyNumberFormat="1" applyFont="1" applyBorder="1" applyAlignment="1">
      <alignment horizontal="right" vertical="center" wrapText="1"/>
    </xf>
    <xf numFmtId="0" fontId="38" fillId="0" borderId="0" xfId="0" applyFont="1"/>
    <xf numFmtId="0" fontId="8" fillId="0" borderId="7" xfId="0" applyFont="1" applyBorder="1" applyAlignment="1">
      <alignment horizontal="left" vertical="center" wrapText="1"/>
    </xf>
    <xf numFmtId="3" fontId="8" fillId="0" borderId="8" xfId="0" applyNumberFormat="1" applyFont="1" applyBorder="1" applyAlignment="1">
      <alignment horizontal="right" vertical="center" wrapText="1"/>
    </xf>
    <xf numFmtId="0" fontId="19" fillId="0" borderId="1" xfId="0" applyFont="1" applyBorder="1" applyAlignment="1">
      <alignment horizontal="left" vertical="center" wrapText="1"/>
    </xf>
    <xf numFmtId="3" fontId="19" fillId="0" borderId="10" xfId="0" applyNumberFormat="1" applyFont="1" applyBorder="1" applyAlignment="1">
      <alignment horizontal="right" vertical="center" wrapText="1"/>
    </xf>
    <xf numFmtId="3" fontId="8" fillId="0" borderId="10" xfId="0" applyNumberFormat="1" applyFont="1" applyBorder="1" applyAlignment="1">
      <alignment horizontal="right" vertical="center" wrapText="1"/>
    </xf>
    <xf numFmtId="3" fontId="19" fillId="0" borderId="13" xfId="0" applyNumberFormat="1" applyFont="1" applyBorder="1" applyAlignment="1">
      <alignment horizontal="right" vertical="center" wrapText="1"/>
    </xf>
    <xf numFmtId="0" fontId="46" fillId="0" borderId="15" xfId="0" applyFont="1" applyBorder="1" applyAlignment="1">
      <alignment horizontal="center" vertical="center" wrapText="1"/>
    </xf>
    <xf numFmtId="0" fontId="31" fillId="0" borderId="15" xfId="0" applyFont="1" applyBorder="1" applyAlignment="1">
      <alignment horizontal="center" vertical="center" wrapText="1"/>
    </xf>
    <xf numFmtId="3" fontId="16" fillId="0" borderId="16" xfId="0" applyNumberFormat="1" applyFont="1" applyBorder="1" applyAlignment="1">
      <alignment horizontal="center" vertical="center" wrapText="1"/>
    </xf>
    <xf numFmtId="49" fontId="16" fillId="3" borderId="0" xfId="0" applyNumberFormat="1" applyFont="1" applyFill="1" applyAlignment="1">
      <alignment horizontal="center" vertical="center" wrapText="1"/>
    </xf>
    <xf numFmtId="49" fontId="16" fillId="0" borderId="0" xfId="0" applyNumberFormat="1" applyFont="1" applyAlignment="1">
      <alignment horizontal="center" vertical="center"/>
    </xf>
    <xf numFmtId="0" fontId="46" fillId="0" borderId="0" xfId="0" applyFont="1" applyAlignment="1">
      <alignment horizontal="center" vertical="center" wrapText="1"/>
    </xf>
    <xf numFmtId="0" fontId="31" fillId="0" borderId="0" xfId="0" applyFont="1" applyAlignment="1">
      <alignment horizontal="center" vertical="center" wrapText="1"/>
    </xf>
    <xf numFmtId="3" fontId="16" fillId="0" borderId="0" xfId="0" applyNumberFormat="1" applyFont="1" applyAlignment="1">
      <alignment horizontal="center" vertical="center" wrapText="1"/>
    </xf>
    <xf numFmtId="49" fontId="13" fillId="3" borderId="0" xfId="0" applyNumberFormat="1" applyFont="1" applyFill="1" applyAlignment="1">
      <alignment horizontal="center" vertical="center" wrapText="1"/>
    </xf>
    <xf numFmtId="49" fontId="13" fillId="0" borderId="0" xfId="0" applyNumberFormat="1" applyFont="1"/>
    <xf numFmtId="0" fontId="47" fillId="0" borderId="0" xfId="0" applyFont="1" applyAlignment="1">
      <alignment horizontal="center" vertical="center" wrapText="1"/>
    </xf>
    <xf numFmtId="0" fontId="47" fillId="0" borderId="0" xfId="0" applyFont="1" applyAlignment="1">
      <alignment vertical="center" wrapText="1"/>
    </xf>
    <xf numFmtId="3" fontId="24" fillId="0" borderId="0" xfId="0" applyNumberFormat="1" applyFont="1" applyAlignment="1">
      <alignment horizontal="right" vertical="center" wrapText="1"/>
    </xf>
    <xf numFmtId="3" fontId="8" fillId="0" borderId="44" xfId="0" applyNumberFormat="1" applyFont="1" applyBorder="1" applyAlignment="1">
      <alignment horizontal="center" vertical="center" wrapText="1"/>
    </xf>
    <xf numFmtId="49" fontId="4" fillId="2" borderId="18" xfId="0" applyNumberFormat="1" applyFont="1" applyFill="1" applyBorder="1" applyAlignment="1">
      <alignment horizontal="center" vertical="center" wrapText="1"/>
    </xf>
    <xf numFmtId="165" fontId="7" fillId="2" borderId="16" xfId="0" applyNumberFormat="1" applyFont="1" applyFill="1" applyBorder="1" applyAlignment="1">
      <alignment horizontal="right" vertical="center" wrapText="1"/>
    </xf>
    <xf numFmtId="165" fontId="9" fillId="2" borderId="19" xfId="0" applyNumberFormat="1" applyFont="1" applyFill="1" applyBorder="1" applyAlignment="1">
      <alignment horizontal="right" vertical="center" wrapText="1"/>
    </xf>
    <xf numFmtId="165" fontId="6" fillId="2" borderId="19" xfId="0" applyNumberFormat="1" applyFont="1" applyFill="1" applyBorder="1" applyAlignment="1">
      <alignment horizontal="right" vertical="center" wrapText="1"/>
    </xf>
    <xf numFmtId="165" fontId="6" fillId="2" borderId="10" xfId="0" applyNumberFormat="1" applyFont="1" applyFill="1" applyBorder="1" applyAlignment="1">
      <alignment horizontal="right" vertical="center" wrapText="1"/>
    </xf>
    <xf numFmtId="0" fontId="13" fillId="0" borderId="18" xfId="0" quotePrefix="1" applyFont="1" applyBorder="1" applyAlignment="1">
      <alignment horizontal="center" vertical="center" wrapText="1"/>
    </xf>
    <xf numFmtId="0" fontId="4" fillId="2" borderId="26" xfId="0" applyFont="1" applyFill="1" applyBorder="1" applyAlignment="1">
      <alignment horizontal="center" vertical="center" wrapText="1"/>
    </xf>
    <xf numFmtId="49" fontId="25" fillId="0" borderId="27" xfId="0" applyNumberFormat="1" applyFont="1" applyBorder="1" applyAlignment="1">
      <alignment horizontal="center" vertical="center" wrapText="1"/>
    </xf>
    <xf numFmtId="3" fontId="25" fillId="0" borderId="27" xfId="0" applyNumberFormat="1" applyFont="1" applyBorder="1" applyAlignment="1">
      <alignment horizontal="right" vertical="center" wrapText="1"/>
    </xf>
    <xf numFmtId="9" fontId="25" fillId="0" borderId="28" xfId="0" applyNumberFormat="1" applyFont="1" applyBorder="1" applyAlignment="1">
      <alignment horizontal="right" vertical="center" wrapText="1"/>
    </xf>
    <xf numFmtId="49" fontId="6" fillId="0" borderId="9"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6" fillId="0" borderId="23" xfId="0" applyNumberFormat="1" applyFont="1" applyBorder="1" applyAlignment="1">
      <alignment horizontal="center" vertical="center"/>
    </xf>
    <xf numFmtId="49" fontId="6" fillId="0" borderId="12" xfId="0" applyNumberFormat="1" applyFont="1" applyBorder="1" applyAlignment="1">
      <alignment horizontal="center" vertical="center"/>
    </xf>
    <xf numFmtId="0" fontId="6" fillId="0" borderId="23" xfId="0" applyFont="1" applyBorder="1" applyAlignment="1">
      <alignment vertical="center" wrapText="1"/>
    </xf>
    <xf numFmtId="49" fontId="6" fillId="0" borderId="1" xfId="0" applyNumberFormat="1" applyFont="1" applyBorder="1" applyAlignment="1">
      <alignment horizontal="center" vertical="center"/>
    </xf>
    <xf numFmtId="49" fontId="6" fillId="0" borderId="42" xfId="0" applyNumberFormat="1" applyFont="1" applyBorder="1" applyAlignment="1">
      <alignment horizontal="center" vertical="center"/>
    </xf>
    <xf numFmtId="0" fontId="6" fillId="0" borderId="42" xfId="0" applyFont="1" applyBorder="1" applyAlignment="1">
      <alignment horizontal="center" vertical="center" wrapText="1"/>
    </xf>
    <xf numFmtId="165" fontId="6" fillId="2" borderId="7" xfId="0" applyNumberFormat="1" applyFont="1" applyFill="1" applyBorder="1" applyAlignment="1">
      <alignment horizontal="right" vertical="center"/>
    </xf>
    <xf numFmtId="165" fontId="6" fillId="0" borderId="7" xfId="0" applyNumberFormat="1" applyFont="1" applyBorder="1" applyAlignment="1">
      <alignment horizontal="right" vertical="center"/>
    </xf>
    <xf numFmtId="165" fontId="6" fillId="0" borderId="8" xfId="0" applyNumberFormat="1" applyFont="1" applyBorder="1" applyAlignment="1">
      <alignment horizontal="right" vertical="center"/>
    </xf>
    <xf numFmtId="0" fontId="6" fillId="0" borderId="27" xfId="0" applyFont="1" applyBorder="1" applyAlignment="1">
      <alignment vertical="center" wrapText="1"/>
    </xf>
    <xf numFmtId="0" fontId="7" fillId="0" borderId="15" xfId="0" applyFont="1" applyBorder="1" applyAlignment="1">
      <alignment horizontal="left" vertical="center" wrapText="1"/>
    </xf>
    <xf numFmtId="0" fontId="9" fillId="0" borderId="6" xfId="0" applyFont="1" applyBorder="1" applyAlignment="1">
      <alignment horizontal="center" vertical="center" wrapText="1"/>
    </xf>
    <xf numFmtId="0" fontId="9" fillId="0" borderId="7" xfId="0" applyFont="1" applyBorder="1" applyAlignment="1">
      <alignment horizontal="left" vertical="center" wrapText="1"/>
    </xf>
    <xf numFmtId="165" fontId="6" fillId="2" borderId="19" xfId="0" applyNumberFormat="1" applyFont="1" applyFill="1" applyBorder="1" applyAlignment="1">
      <alignment horizontal="right" vertical="center"/>
    </xf>
    <xf numFmtId="0" fontId="6" fillId="0" borderId="7" xfId="0" quotePrefix="1" applyFont="1" applyBorder="1" applyAlignment="1">
      <alignment vertical="center" wrapText="1"/>
    </xf>
    <xf numFmtId="165" fontId="9" fillId="2" borderId="27" xfId="0" applyNumberFormat="1" applyFont="1" applyFill="1" applyBorder="1" applyAlignment="1">
      <alignment horizontal="right" vertical="center"/>
    </xf>
    <xf numFmtId="165" fontId="9" fillId="0" borderId="27" xfId="0" applyNumberFormat="1" applyFont="1" applyBorder="1" applyAlignment="1">
      <alignment horizontal="right" vertical="center"/>
    </xf>
    <xf numFmtId="165" fontId="9" fillId="0" borderId="12" xfId="0" applyNumberFormat="1" applyFont="1" applyBorder="1" applyAlignment="1">
      <alignment horizontal="right" vertical="center"/>
    </xf>
    <xf numFmtId="165" fontId="9" fillId="0" borderId="13" xfId="0" applyNumberFormat="1" applyFont="1" applyBorder="1" applyAlignment="1">
      <alignment horizontal="right" vertical="center"/>
    </xf>
    <xf numFmtId="0" fontId="6" fillId="0" borderId="11" xfId="0" applyFon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center" wrapText="1"/>
    </xf>
    <xf numFmtId="0" fontId="33" fillId="0" borderId="0" xfId="0" applyFont="1" applyAlignment="1">
      <alignment horizontal="left"/>
    </xf>
    <xf numFmtId="0" fontId="8" fillId="0" borderId="0" xfId="0" applyFont="1" applyAlignment="1">
      <alignment horizontal="left"/>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45" fillId="0" borderId="0" xfId="0" applyFont="1" applyAlignment="1">
      <alignment horizontal="center"/>
    </xf>
    <xf numFmtId="0" fontId="35" fillId="0" borderId="0" xfId="0" applyFont="1" applyAlignment="1">
      <alignment horizontal="center"/>
    </xf>
    <xf numFmtId="0" fontId="36" fillId="0" borderId="0" xfId="0" applyFont="1" applyAlignment="1">
      <alignment horizontal="center"/>
    </xf>
    <xf numFmtId="0" fontId="5" fillId="0" borderId="0" xfId="0" quotePrefix="1" applyFont="1" applyAlignment="1">
      <alignment horizontal="left"/>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4" fillId="0" borderId="0" xfId="0" applyFont="1" applyAlignment="1">
      <alignment horizontal="center" vertical="center"/>
    </xf>
    <xf numFmtId="0" fontId="7" fillId="2" borderId="31" xfId="0" applyFont="1" applyFill="1" applyBorder="1" applyAlignment="1">
      <alignment horizontal="left" vertical="center"/>
    </xf>
    <xf numFmtId="0" fontId="6" fillId="2" borderId="4" xfId="0" applyFont="1" applyFill="1" applyBorder="1" applyAlignment="1">
      <alignment horizontal="left"/>
    </xf>
    <xf numFmtId="0" fontId="6" fillId="2" borderId="34" xfId="0" applyFont="1" applyFill="1" applyBorder="1" applyAlignment="1">
      <alignment horizontal="left"/>
    </xf>
    <xf numFmtId="165" fontId="7" fillId="2" borderId="31" xfId="0" applyNumberFormat="1" applyFont="1" applyFill="1" applyBorder="1" applyAlignment="1">
      <alignment horizontal="left" vertical="center"/>
    </xf>
    <xf numFmtId="165" fontId="6" fillId="2" borderId="4" xfId="0" applyNumberFormat="1" applyFont="1" applyFill="1" applyBorder="1" applyAlignment="1">
      <alignment horizontal="left"/>
    </xf>
    <xf numFmtId="165" fontId="6" fillId="2" borderId="34" xfId="0" applyNumberFormat="1" applyFont="1" applyFill="1" applyBorder="1" applyAlignment="1">
      <alignment horizontal="left"/>
    </xf>
    <xf numFmtId="0" fontId="17" fillId="0" borderId="0" xfId="0" applyFont="1" applyAlignment="1">
      <alignment horizontal="center" vertical="center"/>
    </xf>
    <xf numFmtId="0" fontId="3" fillId="0" borderId="0" xfId="0" applyFont="1" applyAlignment="1">
      <alignment horizontal="center"/>
    </xf>
    <xf numFmtId="0" fontId="4" fillId="0" borderId="0" xfId="0" applyFont="1" applyAlignment="1">
      <alignment horizontal="center"/>
    </xf>
    <xf numFmtId="0" fontId="6" fillId="2"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left" vertical="center" wrapText="1"/>
    </xf>
    <xf numFmtId="0" fontId="24" fillId="2" borderId="0" xfId="0" applyFont="1" applyFill="1" applyAlignment="1">
      <alignment horizontal="left" vertical="center"/>
    </xf>
    <xf numFmtId="0" fontId="7" fillId="2" borderId="0" xfId="0" applyFont="1" applyFill="1" applyAlignment="1">
      <alignment horizontal="center"/>
    </xf>
    <xf numFmtId="0" fontId="6" fillId="2" borderId="0" xfId="0" applyFont="1" applyFill="1" applyAlignment="1">
      <alignment horizontal="center"/>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6" fillId="2" borderId="0" xfId="0" applyFont="1" applyFill="1" applyAlignment="1">
      <alignment horizontal="left"/>
    </xf>
    <xf numFmtId="0" fontId="8" fillId="2" borderId="0" xfId="0" applyFont="1" applyFill="1" applyAlignment="1">
      <alignment horizontal="left" vertical="center"/>
    </xf>
    <xf numFmtId="0" fontId="8" fillId="2" borderId="2" xfId="0" applyFont="1" applyFill="1" applyBorder="1" applyAlignment="1">
      <alignment horizontal="left"/>
    </xf>
    <xf numFmtId="0" fontId="8" fillId="2" borderId="4" xfId="0" applyFont="1" applyFill="1" applyBorder="1" applyAlignment="1">
      <alignment horizontal="left"/>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8" fillId="0" borderId="3" xfId="0" applyFont="1" applyBorder="1" applyAlignment="1">
      <alignment horizontal="left" wrapText="1"/>
    </xf>
    <xf numFmtId="0" fontId="8" fillId="0" borderId="5" xfId="0" applyFont="1" applyBorder="1" applyAlignment="1">
      <alignment horizontal="left"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16" fillId="0" borderId="0" xfId="0" applyFont="1" applyAlignment="1">
      <alignment horizontal="center"/>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7" fillId="0" borderId="11" xfId="0" applyFont="1"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0" fontId="16" fillId="0" borderId="0" xfId="0" applyFont="1" applyAlignment="1">
      <alignment horizontal="left" wrapText="1"/>
    </xf>
    <xf numFmtId="0" fontId="7" fillId="0" borderId="31"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7" fillId="0" borderId="9" xfId="0" applyFont="1" applyBorder="1" applyAlignment="1">
      <alignment horizontal="center"/>
    </xf>
    <xf numFmtId="0" fontId="7" fillId="0" borderId="1" xfId="0" applyFont="1" applyBorder="1" applyAlignment="1">
      <alignment horizontal="center"/>
    </xf>
    <xf numFmtId="0" fontId="6" fillId="0" borderId="0" xfId="0" applyFont="1" applyAlignment="1">
      <alignment horizontal="left"/>
    </xf>
    <xf numFmtId="0" fontId="2" fillId="0" borderId="29" xfId="0" applyFont="1" applyBorder="1" applyAlignment="1">
      <alignment horizontal="center" vertical="center" wrapText="1"/>
    </xf>
    <xf numFmtId="0" fontId="2" fillId="0" borderId="33" xfId="0" applyFont="1" applyBorder="1" applyAlignment="1">
      <alignment horizontal="center" vertical="center" wrapText="1"/>
    </xf>
    <xf numFmtId="0" fontId="6" fillId="0" borderId="43" xfId="0" applyFont="1" applyBorder="1" applyAlignment="1">
      <alignment horizontal="center" vertical="top" wrapText="1"/>
    </xf>
    <xf numFmtId="0" fontId="6" fillId="0" borderId="23" xfId="0" applyFont="1" applyBorder="1" applyAlignment="1">
      <alignment horizontal="center" vertical="top" wrapText="1"/>
    </xf>
    <xf numFmtId="0" fontId="7" fillId="0" borderId="3" xfId="0" applyFont="1" applyBorder="1" applyAlignment="1">
      <alignment horizontal="center" wrapText="1"/>
    </xf>
    <xf numFmtId="0" fontId="7" fillId="0" borderId="5" xfId="0" applyFont="1" applyBorder="1" applyAlignment="1">
      <alignment horizontal="center" wrapText="1"/>
    </xf>
    <xf numFmtId="0" fontId="24" fillId="0" borderId="0" xfId="0" applyFont="1" applyAlignment="1">
      <alignment horizontal="left" vertical="center"/>
    </xf>
    <xf numFmtId="0" fontId="6" fillId="0" borderId="21" xfId="0" applyFont="1" applyBorder="1" applyAlignment="1">
      <alignment horizontal="center" vertical="center" wrapText="1"/>
    </xf>
    <xf numFmtId="1" fontId="5" fillId="0" borderId="0" xfId="0" quotePrefix="1" applyNumberFormat="1" applyFont="1" applyAlignment="1">
      <alignment horizontal="left"/>
    </xf>
    <xf numFmtId="0" fontId="2" fillId="0" borderId="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40" xfId="0" applyFont="1" applyBorder="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left" vertical="center" wrapText="1"/>
    </xf>
    <xf numFmtId="0" fontId="23" fillId="0" borderId="0" xfId="0" applyFont="1" applyAlignment="1">
      <alignment horizontal="center" vertical="center" wrapText="1"/>
    </xf>
    <xf numFmtId="49" fontId="8" fillId="0" borderId="35"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8" fillId="0" borderId="36"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49" fontId="8" fillId="0" borderId="21" xfId="0" applyNumberFormat="1" applyFont="1" applyBorder="1" applyAlignment="1">
      <alignment horizontal="center" vertical="center" wrapText="1"/>
    </xf>
    <xf numFmtId="9" fontId="8" fillId="0" borderId="7" xfId="0" applyNumberFormat="1" applyFont="1" applyBorder="1" applyAlignment="1">
      <alignment horizontal="center" vertical="center" wrapText="1"/>
    </xf>
    <xf numFmtId="9" fontId="8" fillId="0" borderId="21" xfId="0" applyNumberFormat="1" applyFont="1" applyBorder="1" applyAlignment="1">
      <alignment horizontal="center" vertical="center" wrapText="1"/>
    </xf>
    <xf numFmtId="49" fontId="26" fillId="0" borderId="11" xfId="0" applyNumberFormat="1" applyFont="1" applyBorder="1" applyAlignment="1">
      <alignment horizontal="center" vertical="center"/>
    </xf>
    <xf numFmtId="49" fontId="26" fillId="0" borderId="17" xfId="0" applyNumberFormat="1" applyFont="1" applyBorder="1" applyAlignment="1">
      <alignment horizontal="center" vertical="center"/>
    </xf>
    <xf numFmtId="49" fontId="26" fillId="0" borderId="12" xfId="0" applyNumberFormat="1" applyFont="1" applyBorder="1" applyAlignment="1">
      <alignment horizontal="center" vertical="center" wrapText="1"/>
    </xf>
    <xf numFmtId="49" fontId="26" fillId="0" borderId="18" xfId="0" applyNumberFormat="1" applyFont="1" applyBorder="1" applyAlignment="1">
      <alignment horizontal="center" vertical="center" wrapText="1"/>
    </xf>
    <xf numFmtId="3" fontId="13" fillId="0" borderId="12" xfId="0" quotePrefix="1" applyNumberFormat="1" applyFont="1" applyBorder="1" applyAlignment="1">
      <alignment horizontal="center" vertical="center" wrapText="1"/>
    </xf>
    <xf numFmtId="3" fontId="13" fillId="0" borderId="18" xfId="0" applyNumberFormat="1" applyFont="1" applyBorder="1" applyAlignment="1">
      <alignment horizontal="center" vertical="center" wrapText="1"/>
    </xf>
    <xf numFmtId="0" fontId="13" fillId="0" borderId="12" xfId="0" quotePrefix="1" applyFont="1" applyBorder="1" applyAlignment="1">
      <alignment horizontal="center" vertical="center" wrapText="1"/>
    </xf>
    <xf numFmtId="0" fontId="13" fillId="0" borderId="18" xfId="0" quotePrefix="1" applyFont="1" applyBorder="1" applyAlignment="1">
      <alignment horizontal="center" vertical="center" wrapText="1"/>
    </xf>
    <xf numFmtId="0" fontId="11" fillId="0" borderId="0" xfId="0" applyFont="1" applyAlignment="1">
      <alignment horizontal="left" vertical="center" wrapText="1"/>
    </xf>
    <xf numFmtId="9" fontId="8" fillId="0" borderId="8" xfId="0" applyNumberFormat="1" applyFont="1" applyBorder="1" applyAlignment="1">
      <alignment horizontal="center" vertical="center" wrapText="1"/>
    </xf>
    <xf numFmtId="9" fontId="8" fillId="0" borderId="22" xfId="0" applyNumberFormat="1" applyFont="1" applyBorder="1" applyAlignment="1">
      <alignment horizontal="center" vertical="center" wrapText="1"/>
    </xf>
    <xf numFmtId="3" fontId="26" fillId="0" borderId="12" xfId="0" applyNumberFormat="1" applyFont="1" applyBorder="1" applyAlignment="1">
      <alignment horizontal="center" vertical="center" wrapText="1"/>
    </xf>
    <xf numFmtId="3" fontId="26" fillId="0" borderId="18" xfId="0" applyNumberFormat="1" applyFont="1" applyBorder="1" applyAlignment="1">
      <alignment horizontal="center" vertical="center" wrapText="1"/>
    </xf>
    <xf numFmtId="3" fontId="13" fillId="0" borderId="12" xfId="0" applyNumberFormat="1" applyFont="1" applyBorder="1" applyAlignment="1">
      <alignment horizontal="center" vertical="center" wrapText="1"/>
    </xf>
    <xf numFmtId="49" fontId="26" fillId="0" borderId="26" xfId="0" applyNumberFormat="1" applyFont="1" applyBorder="1" applyAlignment="1">
      <alignment horizontal="center" vertical="center"/>
    </xf>
    <xf numFmtId="49" fontId="26" fillId="0" borderId="27" xfId="0" applyNumberFormat="1" applyFont="1" applyBorder="1" applyAlignment="1">
      <alignment horizontal="center" vertical="center" wrapText="1"/>
    </xf>
    <xf numFmtId="3" fontId="13" fillId="0" borderId="27" xfId="0" applyNumberFormat="1" applyFont="1" applyBorder="1" applyAlignment="1">
      <alignment horizontal="center" vertical="center" wrapText="1"/>
    </xf>
    <xf numFmtId="1" fontId="26" fillId="0" borderId="12" xfId="0" applyNumberFormat="1" applyFont="1" applyBorder="1" applyAlignment="1">
      <alignment horizontal="center" vertical="center" wrapText="1"/>
    </xf>
    <xf numFmtId="1" fontId="26" fillId="0" borderId="18" xfId="0" applyNumberFormat="1" applyFont="1" applyBorder="1" applyAlignment="1">
      <alignment horizontal="center" vertical="center" wrapText="1"/>
    </xf>
    <xf numFmtId="49" fontId="26" fillId="0" borderId="1" xfId="0" applyNumberFormat="1" applyFont="1" applyBorder="1" applyAlignment="1">
      <alignment horizontal="center" vertical="center" wrapText="1"/>
    </xf>
    <xf numFmtId="0" fontId="26" fillId="0" borderId="11"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18" xfId="0" applyFont="1" applyBorder="1" applyAlignment="1">
      <alignment horizontal="center" vertical="center" wrapText="1"/>
    </xf>
    <xf numFmtId="0" fontId="13" fillId="0" borderId="27" xfId="0" quotePrefix="1" applyFont="1" applyBorder="1" applyAlignment="1">
      <alignment horizontal="center" vertical="center" wrapText="1"/>
    </xf>
    <xf numFmtId="0" fontId="26" fillId="2" borderId="11"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6" fillId="2" borderId="18" xfId="0" applyFont="1" applyFill="1" applyBorder="1" applyAlignment="1">
      <alignment horizontal="center" vertical="center" wrapText="1"/>
    </xf>
    <xf numFmtId="49" fontId="26" fillId="2" borderId="12" xfId="0" applyNumberFormat="1" applyFont="1" applyFill="1" applyBorder="1" applyAlignment="1">
      <alignment horizontal="center" vertical="center" wrapText="1"/>
    </xf>
    <xf numFmtId="49" fontId="26" fillId="2" borderId="18" xfId="0" applyNumberFormat="1" applyFont="1" applyFill="1" applyBorder="1" applyAlignment="1">
      <alignment horizontal="center" vertical="center" wrapText="1"/>
    </xf>
    <xf numFmtId="0" fontId="13" fillId="2" borderId="12" xfId="0" quotePrefix="1" applyFont="1" applyFill="1" applyBorder="1" applyAlignment="1">
      <alignment horizontal="center" vertical="center" wrapText="1"/>
    </xf>
    <xf numFmtId="0" fontId="13" fillId="2" borderId="18" xfId="0" quotePrefix="1" applyFont="1" applyFill="1" applyBorder="1" applyAlignment="1">
      <alignment horizontal="center" vertical="center" wrapText="1"/>
    </xf>
    <xf numFmtId="0" fontId="26" fillId="0" borderId="11" xfId="0" applyFont="1" applyBorder="1" applyAlignment="1">
      <alignment horizontal="center" vertical="center"/>
    </xf>
    <xf numFmtId="0" fontId="26" fillId="0" borderId="17" xfId="0" applyFont="1" applyBorder="1" applyAlignment="1">
      <alignment horizontal="center" vertical="center"/>
    </xf>
    <xf numFmtId="0" fontId="26" fillId="0" borderId="12" xfId="0" applyFont="1" applyBorder="1" applyAlignment="1">
      <alignment horizontal="center" vertical="center"/>
    </xf>
    <xf numFmtId="0" fontId="26" fillId="0" borderId="18" xfId="0" applyFont="1" applyBorder="1" applyAlignment="1">
      <alignment horizontal="center" vertical="center"/>
    </xf>
    <xf numFmtId="49" fontId="26" fillId="0" borderId="12" xfId="0" applyNumberFormat="1" applyFont="1" applyBorder="1" applyAlignment="1">
      <alignment horizontal="center" vertical="center"/>
    </xf>
    <xf numFmtId="49" fontId="26" fillId="0" borderId="18" xfId="0" applyNumberFormat="1" applyFont="1" applyBorder="1" applyAlignment="1">
      <alignment horizontal="center" vertical="center"/>
    </xf>
    <xf numFmtId="0" fontId="13" fillId="0" borderId="12" xfId="0" applyFont="1" applyBorder="1" applyAlignment="1">
      <alignment horizontal="center" vertical="center" wrapText="1"/>
    </xf>
    <xf numFmtId="0" fontId="13" fillId="0" borderId="18" xfId="0" applyFont="1" applyBorder="1" applyAlignment="1">
      <alignment horizontal="center" vertical="center" wrapText="1"/>
    </xf>
    <xf numFmtId="0" fontId="26" fillId="0" borderId="26" xfId="0" applyFont="1" applyBorder="1" applyAlignment="1">
      <alignment horizontal="center" vertical="center"/>
    </xf>
    <xf numFmtId="0" fontId="26" fillId="0" borderId="27" xfId="0" applyFont="1" applyBorder="1" applyAlignment="1">
      <alignment horizontal="center" vertical="center"/>
    </xf>
    <xf numFmtId="49" fontId="26" fillId="0" borderId="27" xfId="0" applyNumberFormat="1" applyFont="1" applyBorder="1" applyAlignment="1">
      <alignment horizontal="center" vertical="center"/>
    </xf>
    <xf numFmtId="0" fontId="13" fillId="0" borderId="27" xfId="0" applyFont="1" applyBorder="1" applyAlignment="1">
      <alignment horizontal="center" vertical="center" wrapText="1"/>
    </xf>
    <xf numFmtId="0" fontId="24" fillId="0" borderId="0" xfId="0" applyFont="1" applyAlignment="1">
      <alignment horizontal="center" wrapText="1"/>
    </xf>
    <xf numFmtId="49" fontId="4" fillId="2" borderId="11" xfId="0" applyNumberFormat="1" applyFont="1" applyFill="1" applyBorder="1" applyAlignment="1">
      <alignment horizontal="center" vertical="center" wrapText="1"/>
    </xf>
    <xf numFmtId="49" fontId="4" fillId="2" borderId="24"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49" fontId="4" fillId="2" borderId="25" xfId="0" applyNumberFormat="1"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6" fillId="2" borderId="27" xfId="0" applyFont="1" applyFill="1" applyBorder="1" applyAlignment="1">
      <alignment horizontal="center" vertical="center" wrapText="1"/>
    </xf>
    <xf numFmtId="49" fontId="26" fillId="2" borderId="27" xfId="0" applyNumberFormat="1" applyFont="1" applyFill="1" applyBorder="1" applyAlignment="1">
      <alignment horizontal="center" vertical="center" wrapText="1"/>
    </xf>
    <xf numFmtId="0" fontId="24" fillId="0" borderId="0" xfId="0" applyFont="1" applyAlignment="1">
      <alignment horizontal="right" vertical="center"/>
    </xf>
    <xf numFmtId="0" fontId="16" fillId="0" borderId="15" xfId="0" applyFont="1" applyBorder="1" applyAlignment="1">
      <alignment horizontal="left" vertical="center" wrapText="1"/>
    </xf>
    <xf numFmtId="0" fontId="19" fillId="0" borderId="15" xfId="0" applyFont="1" applyBorder="1" applyAlignment="1">
      <alignment horizontal="left" vertical="center" wrapText="1"/>
    </xf>
    <xf numFmtId="49" fontId="8" fillId="0" borderId="35" xfId="0" applyNumberFormat="1" applyFont="1" applyBorder="1" applyAlignment="1">
      <alignment horizontal="center" vertical="center"/>
    </xf>
    <xf numFmtId="49" fontId="8" fillId="0" borderId="26" xfId="0" applyNumberFormat="1" applyFont="1" applyBorder="1" applyAlignment="1">
      <alignment horizontal="center" vertical="center"/>
    </xf>
    <xf numFmtId="1" fontId="8" fillId="0" borderId="36" xfId="0" applyNumberFormat="1" applyFont="1" applyBorder="1" applyAlignment="1">
      <alignment horizontal="center" vertical="center"/>
    </xf>
    <xf numFmtId="1" fontId="8" fillId="0" borderId="27" xfId="0" applyNumberFormat="1" applyFont="1" applyBorder="1" applyAlignment="1">
      <alignment horizontal="center" vertical="center"/>
    </xf>
    <xf numFmtId="49" fontId="8" fillId="0" borderId="36" xfId="0" applyNumberFormat="1" applyFont="1" applyBorder="1" applyAlignment="1">
      <alignment horizontal="center" vertical="center"/>
    </xf>
    <xf numFmtId="49" fontId="8" fillId="0" borderId="27" xfId="0" applyNumberFormat="1" applyFont="1" applyBorder="1" applyAlignment="1">
      <alignment horizontal="center" vertical="center"/>
    </xf>
    <xf numFmtId="0" fontId="8" fillId="0" borderId="36" xfId="0" applyFont="1" applyBorder="1" applyAlignment="1">
      <alignment horizontal="center" vertical="center" wrapText="1"/>
    </xf>
    <xf numFmtId="0" fontId="8" fillId="0" borderId="27" xfId="0" applyFont="1" applyBorder="1" applyAlignment="1">
      <alignment horizontal="center" vertical="center" wrapText="1"/>
    </xf>
    <xf numFmtId="49" fontId="10" fillId="0" borderId="35" xfId="0" applyNumberFormat="1" applyFont="1" applyBorder="1" applyAlignment="1">
      <alignment horizontal="center" vertical="center" wrapText="1"/>
    </xf>
    <xf numFmtId="49" fontId="10" fillId="0" borderId="24" xfId="0" applyNumberFormat="1" applyFont="1" applyBorder="1" applyAlignment="1">
      <alignment horizontal="center" vertical="center" wrapText="1"/>
    </xf>
    <xf numFmtId="49" fontId="10" fillId="0" borderId="50" xfId="0" applyNumberFormat="1" applyFont="1" applyBorder="1" applyAlignment="1">
      <alignment horizontal="center" vertical="center" wrapText="1"/>
    </xf>
    <xf numFmtId="49" fontId="10" fillId="0" borderId="51"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10" fillId="0" borderId="21" xfId="0" applyNumberFormat="1" applyFont="1" applyBorder="1" applyAlignment="1">
      <alignment horizontal="center" vertical="center" wrapText="1"/>
    </xf>
    <xf numFmtId="49" fontId="10" fillId="0" borderId="36" xfId="0" applyNumberFormat="1" applyFont="1" applyBorder="1" applyAlignment="1">
      <alignment horizontal="center" vertical="center" wrapText="1"/>
    </xf>
    <xf numFmtId="49" fontId="10" fillId="0" borderId="25" xfId="0" applyNumberFormat="1" applyFont="1" applyBorder="1" applyAlignment="1">
      <alignment horizontal="center" vertical="center" wrapText="1"/>
    </xf>
  </cellXfs>
  <cellStyles count="5">
    <cellStyle name="Звичайний" xfId="0" builtinId="0"/>
    <cellStyle name="Обычный 2" xfId="3" xr:uid="{00000000-0005-0000-0000-000001000000}"/>
    <cellStyle name="Обычный 9 2 4 2 2" xfId="2" xr:uid="{00000000-0005-0000-0000-000002000000}"/>
    <cellStyle name="Финансовый 2" xfId="1" xr:uid="{00000000-0005-0000-0000-000004000000}"/>
    <cellStyle name="Фінансовий" xfId="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esktop\&#1054;&#1082;&#1089;&#1072;&#1085;&#1072;\&#1044;&#1086;&#1075;&#1086;&#1074;&#1086;&#1088;&#1072;%20&#1059;&#1050;&#1041;\2024\&#1057;&#1090;&#1072;&#1085;%20&#1074;&#1080;&#1082;&#1086;&#1085;&#1072;&#1085;&#1085;&#1103;%20&#1076;&#1086;&#1075;&#1086;&#1074;&#1086;&#1088;&#1110;&#1074;%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
      <sheetName val="Закриті договори на 01.09.2024"/>
    </sheetNames>
    <sheetDataSet>
      <sheetData sheetId="0" refreshError="1">
        <row r="11">
          <cell r="I11">
            <v>5038022.59</v>
          </cell>
        </row>
        <row r="13">
          <cell r="I13">
            <v>62304.800000000003</v>
          </cell>
        </row>
        <row r="15">
          <cell r="I15">
            <v>234332.96</v>
          </cell>
        </row>
        <row r="18">
          <cell r="I18">
            <v>835857.26</v>
          </cell>
        </row>
        <row r="42">
          <cell r="I42">
            <v>2383901.56</v>
          </cell>
        </row>
        <row r="43">
          <cell r="I43">
            <v>49062.16</v>
          </cell>
        </row>
        <row r="44">
          <cell r="I44">
            <v>30392.03</v>
          </cell>
        </row>
      </sheetData>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zakon.rada.gov.ua/rada/show/988-2016-%D1%80" TargetMode="External"/><Relationship Id="rId1" Type="http://schemas.openxmlformats.org/officeDocument/2006/relationships/hyperlink" Target="https://zakon.rada.gov.ua/rada/show/988-2016-%D1%8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zakon.rada.gov.ua/rada/show/988-2016-%D1%80" TargetMode="External"/><Relationship Id="rId1" Type="http://schemas.openxmlformats.org/officeDocument/2006/relationships/hyperlink" Target="https://zakon.rada.gov.ua/rada/show/988-2016-%D1%80"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zakon.rada.gov.ua/rada/show/988-2016-%D1%80" TargetMode="External"/><Relationship Id="rId1" Type="http://schemas.openxmlformats.org/officeDocument/2006/relationships/hyperlink" Target="https://zakon.rada.gov.ua/rada/show/988-2016-%D1%80"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5"/>
  <sheetViews>
    <sheetView view="pageBreakPreview" zoomScale="110" zoomScaleNormal="100" zoomScaleSheetLayoutView="110" workbookViewId="0">
      <selection activeCell="B6" sqref="B6"/>
    </sheetView>
  </sheetViews>
  <sheetFormatPr defaultColWidth="8.85546875" defaultRowHeight="12.75" x14ac:dyDescent="0.2"/>
  <cols>
    <col min="1" max="1" width="11.28515625" customWidth="1"/>
    <col min="2" max="2" width="39.85546875" customWidth="1"/>
    <col min="3" max="3" width="13.7109375" customWidth="1"/>
    <col min="4" max="4" width="15" customWidth="1"/>
    <col min="5" max="5" width="12.42578125" customWidth="1"/>
    <col min="6" max="6" width="12.7109375" customWidth="1"/>
  </cols>
  <sheetData>
    <row r="1" spans="1:9" ht="15.75" x14ac:dyDescent="0.2">
      <c r="D1" s="3" t="s">
        <v>210</v>
      </c>
      <c r="E1" s="4"/>
    </row>
    <row r="2" spans="1:9" ht="15.75" x14ac:dyDescent="0.2">
      <c r="D2" s="3" t="s">
        <v>359</v>
      </c>
      <c r="E2" s="4"/>
    </row>
    <row r="3" spans="1:9" ht="15.75" x14ac:dyDescent="0.2">
      <c r="D3" s="3" t="s">
        <v>609</v>
      </c>
      <c r="E3" s="4"/>
    </row>
    <row r="4" spans="1:9" ht="15.75" x14ac:dyDescent="0.25">
      <c r="D4" s="367" t="s">
        <v>681</v>
      </c>
      <c r="E4" s="457"/>
    </row>
    <row r="5" spans="1:9" ht="15.75" x14ac:dyDescent="0.25">
      <c r="D5" s="6" t="s">
        <v>682</v>
      </c>
      <c r="E5" s="54"/>
    </row>
    <row r="6" spans="1:9" ht="15.75" x14ac:dyDescent="0.2">
      <c r="D6" s="698" t="s">
        <v>384</v>
      </c>
      <c r="E6" s="698"/>
    </row>
    <row r="7" spans="1:9" ht="15.75" x14ac:dyDescent="0.2">
      <c r="D7" s="699" t="s">
        <v>473</v>
      </c>
      <c r="E7" s="699"/>
      <c r="F7" s="699"/>
      <c r="G7" s="699"/>
      <c r="H7" s="699"/>
      <c r="I7" s="699"/>
    </row>
    <row r="8" spans="1:9" ht="15.75" x14ac:dyDescent="0.2">
      <c r="D8" s="700" t="s">
        <v>359</v>
      </c>
      <c r="E8" s="700"/>
      <c r="F8" s="700"/>
      <c r="G8" s="529"/>
      <c r="H8" s="529"/>
      <c r="I8" s="529"/>
    </row>
    <row r="9" spans="1:9" ht="15.75" x14ac:dyDescent="0.2">
      <c r="D9" s="698" t="s">
        <v>474</v>
      </c>
      <c r="E9" s="698"/>
      <c r="F9" s="698"/>
      <c r="G9" s="529"/>
      <c r="H9" s="529"/>
      <c r="I9" s="529"/>
    </row>
    <row r="10" spans="1:9" ht="15.75" x14ac:dyDescent="0.2">
      <c r="D10" s="698" t="s">
        <v>475</v>
      </c>
      <c r="E10" s="698"/>
      <c r="F10" s="698"/>
      <c r="G10" s="529"/>
      <c r="H10" s="529"/>
      <c r="I10" s="529"/>
    </row>
    <row r="11" spans="1:9" ht="15.75" x14ac:dyDescent="0.25">
      <c r="D11" s="701" t="s">
        <v>374</v>
      </c>
      <c r="E11" s="701"/>
      <c r="F11" s="701"/>
      <c r="G11" s="700"/>
      <c r="H11" s="700"/>
      <c r="I11" s="700"/>
    </row>
    <row r="12" spans="1:9" ht="15.75" x14ac:dyDescent="0.25">
      <c r="D12" s="701" t="s">
        <v>476</v>
      </c>
      <c r="E12" s="702"/>
      <c r="F12" s="702"/>
      <c r="G12" s="698"/>
      <c r="H12" s="698"/>
      <c r="I12" s="698"/>
    </row>
    <row r="13" spans="1:9" ht="15.75" x14ac:dyDescent="0.25">
      <c r="D13" s="702" t="s">
        <v>477</v>
      </c>
      <c r="E13" s="702"/>
      <c r="F13" s="702"/>
      <c r="G13" s="698"/>
      <c r="H13" s="698"/>
      <c r="I13" s="698"/>
    </row>
    <row r="14" spans="1:9" ht="21.75" customHeight="1" x14ac:dyDescent="0.3">
      <c r="A14" s="706" t="s">
        <v>478</v>
      </c>
      <c r="B14" s="707"/>
      <c r="C14" s="707"/>
      <c r="D14" s="707"/>
      <c r="E14" s="707"/>
      <c r="F14" s="707"/>
      <c r="G14" s="701"/>
      <c r="H14" s="701"/>
      <c r="I14" s="701"/>
    </row>
    <row r="15" spans="1:9" ht="15.75" x14ac:dyDescent="0.25">
      <c r="A15" s="708" t="s">
        <v>211</v>
      </c>
      <c r="B15" s="708"/>
      <c r="C15" s="1"/>
      <c r="D15" s="1"/>
      <c r="E15" s="1"/>
      <c r="F15" s="1"/>
      <c r="G15" s="702"/>
      <c r="H15" s="702"/>
      <c r="I15" s="702"/>
    </row>
    <row r="16" spans="1:9" ht="16.5" thickBot="1" x14ac:dyDescent="0.3">
      <c r="A16" s="1" t="s">
        <v>0</v>
      </c>
      <c r="B16" s="1"/>
      <c r="C16" s="1"/>
      <c r="D16" s="1"/>
      <c r="E16" s="1"/>
      <c r="F16" s="2" t="s">
        <v>1</v>
      </c>
      <c r="G16" s="702"/>
      <c r="H16" s="702"/>
      <c r="I16" s="702"/>
    </row>
    <row r="17" spans="1:7" ht="15.75" x14ac:dyDescent="0.2">
      <c r="A17" s="709" t="s">
        <v>143</v>
      </c>
      <c r="B17" s="711" t="s">
        <v>479</v>
      </c>
      <c r="C17" s="711" t="s">
        <v>2</v>
      </c>
      <c r="D17" s="711" t="s">
        <v>3</v>
      </c>
      <c r="E17" s="711" t="s">
        <v>4</v>
      </c>
      <c r="F17" s="712"/>
    </row>
    <row r="18" spans="1:7" x14ac:dyDescent="0.2">
      <c r="A18" s="710"/>
      <c r="B18" s="703"/>
      <c r="C18" s="703"/>
      <c r="D18" s="703"/>
      <c r="E18" s="703" t="s">
        <v>5</v>
      </c>
      <c r="F18" s="704" t="s">
        <v>6</v>
      </c>
    </row>
    <row r="19" spans="1:7" x14ac:dyDescent="0.2">
      <c r="A19" s="710"/>
      <c r="B19" s="703"/>
      <c r="C19" s="703"/>
      <c r="D19" s="703"/>
      <c r="E19" s="703"/>
      <c r="F19" s="704"/>
    </row>
    <row r="20" spans="1:7" ht="15.75" x14ac:dyDescent="0.2">
      <c r="A20" s="90">
        <v>1</v>
      </c>
      <c r="B20" s="565">
        <v>2</v>
      </c>
      <c r="C20" s="565">
        <v>3</v>
      </c>
      <c r="D20" s="565">
        <v>4</v>
      </c>
      <c r="E20" s="565">
        <v>5</v>
      </c>
      <c r="F20" s="615">
        <v>6</v>
      </c>
    </row>
    <row r="21" spans="1:7" ht="15.75" x14ac:dyDescent="0.2">
      <c r="A21" s="569" t="s">
        <v>480</v>
      </c>
      <c r="B21" s="530" t="s">
        <v>481</v>
      </c>
      <c r="C21" s="72">
        <f>D21+E21</f>
        <v>556300600</v>
      </c>
      <c r="D21" s="72">
        <f>D22+D25+D29</f>
        <v>555906500</v>
      </c>
      <c r="E21" s="531">
        <f>E44</f>
        <v>394100</v>
      </c>
      <c r="F21" s="570">
        <v>0</v>
      </c>
      <c r="G21" s="532"/>
    </row>
    <row r="22" spans="1:7" ht="47.25" x14ac:dyDescent="0.2">
      <c r="A22" s="571" t="s">
        <v>482</v>
      </c>
      <c r="B22" s="533" t="s">
        <v>483</v>
      </c>
      <c r="C22" s="534">
        <f t="shared" ref="C22:C28" si="0">D22</f>
        <v>338544700</v>
      </c>
      <c r="D22" s="534">
        <f>D23+D24</f>
        <v>338544700</v>
      </c>
      <c r="E22" s="531">
        <v>0</v>
      </c>
      <c r="F22" s="570">
        <v>0</v>
      </c>
      <c r="G22" s="532"/>
    </row>
    <row r="23" spans="1:7" ht="24.75" customHeight="1" x14ac:dyDescent="0.2">
      <c r="A23" s="572" t="s">
        <v>484</v>
      </c>
      <c r="B23" s="535" t="s">
        <v>485</v>
      </c>
      <c r="C23" s="32">
        <f t="shared" si="0"/>
        <v>338282740</v>
      </c>
      <c r="D23" s="32">
        <f>343014800-4732060</f>
        <v>338282740</v>
      </c>
      <c r="E23" s="531">
        <v>0</v>
      </c>
      <c r="F23" s="570">
        <v>0</v>
      </c>
      <c r="G23" s="532"/>
    </row>
    <row r="24" spans="1:7" ht="15.75" x14ac:dyDescent="0.2">
      <c r="A24" s="572" t="s">
        <v>486</v>
      </c>
      <c r="B24" s="535" t="s">
        <v>487</v>
      </c>
      <c r="C24" s="32">
        <f t="shared" si="0"/>
        <v>261960</v>
      </c>
      <c r="D24" s="32">
        <f>1014000-752040</f>
        <v>261960</v>
      </c>
      <c r="E24" s="32">
        <v>0</v>
      </c>
      <c r="F24" s="570">
        <v>0</v>
      </c>
      <c r="G24" s="532"/>
    </row>
    <row r="25" spans="1:7" ht="31.5" x14ac:dyDescent="0.2">
      <c r="A25" s="571" t="s">
        <v>488</v>
      </c>
      <c r="B25" s="533" t="s">
        <v>489</v>
      </c>
      <c r="C25" s="536">
        <f t="shared" si="0"/>
        <v>31113700</v>
      </c>
      <c r="D25" s="536">
        <f>D26+D27+D28</f>
        <v>31113700</v>
      </c>
      <c r="E25" s="531">
        <v>0</v>
      </c>
      <c r="F25" s="570">
        <v>0</v>
      </c>
      <c r="G25" s="532"/>
    </row>
    <row r="26" spans="1:7" ht="48" customHeight="1" x14ac:dyDescent="0.2">
      <c r="A26" s="572" t="s">
        <v>490</v>
      </c>
      <c r="B26" s="535" t="s">
        <v>491</v>
      </c>
      <c r="C26" s="32">
        <f t="shared" si="0"/>
        <v>1040800</v>
      </c>
      <c r="D26" s="32">
        <v>1040800</v>
      </c>
      <c r="E26" s="32">
        <v>0</v>
      </c>
      <c r="F26" s="570">
        <v>0</v>
      </c>
      <c r="G26" s="532"/>
    </row>
    <row r="27" spans="1:7" ht="47.25" x14ac:dyDescent="0.2">
      <c r="A27" s="572" t="s">
        <v>492</v>
      </c>
      <c r="B27" s="535" t="s">
        <v>493</v>
      </c>
      <c r="C27" s="32">
        <f t="shared" si="0"/>
        <v>10442600</v>
      </c>
      <c r="D27" s="32">
        <f>8442600+2000000</f>
        <v>10442600</v>
      </c>
      <c r="E27" s="32">
        <v>0</v>
      </c>
      <c r="F27" s="570">
        <v>0</v>
      </c>
      <c r="G27" s="532"/>
    </row>
    <row r="28" spans="1:7" ht="47.25" x14ac:dyDescent="0.2">
      <c r="A28" s="572" t="s">
        <v>494</v>
      </c>
      <c r="B28" s="535" t="s">
        <v>495</v>
      </c>
      <c r="C28" s="32">
        <f t="shared" si="0"/>
        <v>19630300</v>
      </c>
      <c r="D28" s="32">
        <f>17760300+1870000</f>
        <v>19630300</v>
      </c>
      <c r="E28" s="32">
        <v>0</v>
      </c>
      <c r="F28" s="570">
        <v>0</v>
      </c>
      <c r="G28" s="532"/>
    </row>
    <row r="29" spans="1:7" ht="67.5" customHeight="1" x14ac:dyDescent="0.2">
      <c r="A29" s="571" t="s">
        <v>496</v>
      </c>
      <c r="B29" s="533" t="s">
        <v>497</v>
      </c>
      <c r="C29" s="536">
        <f>D29</f>
        <v>186248100</v>
      </c>
      <c r="D29" s="536">
        <f>D30+D42+D43</f>
        <v>186248100</v>
      </c>
      <c r="E29" s="531">
        <v>0</v>
      </c>
      <c r="F29" s="570">
        <v>0</v>
      </c>
      <c r="G29" s="532"/>
    </row>
    <row r="30" spans="1:7" ht="15.75" x14ac:dyDescent="0.2">
      <c r="A30" s="572" t="s">
        <v>498</v>
      </c>
      <c r="B30" s="535" t="s">
        <v>499</v>
      </c>
      <c r="C30" s="32">
        <f>D30</f>
        <v>145118200</v>
      </c>
      <c r="D30" s="32">
        <f>D31+D36+D41</f>
        <v>145118200</v>
      </c>
      <c r="E30" s="32">
        <v>0</v>
      </c>
      <c r="F30" s="570">
        <v>0</v>
      </c>
      <c r="G30" s="532"/>
    </row>
    <row r="31" spans="1:7" ht="35.25" customHeight="1" x14ac:dyDescent="0.2">
      <c r="A31" s="572"/>
      <c r="B31" s="535" t="s">
        <v>500</v>
      </c>
      <c r="C31" s="32">
        <f>D31+E31</f>
        <v>9718800</v>
      </c>
      <c r="D31" s="32">
        <f>D32+D33+D34+D35</f>
        <v>9718800</v>
      </c>
      <c r="E31" s="32"/>
      <c r="F31" s="570"/>
      <c r="G31" s="532"/>
    </row>
    <row r="32" spans="1:7" ht="71.25" customHeight="1" x14ac:dyDescent="0.2">
      <c r="A32" s="537">
        <v>18010100</v>
      </c>
      <c r="B32" s="535" t="s">
        <v>501</v>
      </c>
      <c r="C32" s="32">
        <f t="shared" ref="C32:C35" si="1">D32+E32</f>
        <v>22000</v>
      </c>
      <c r="D32" s="32">
        <v>22000</v>
      </c>
      <c r="E32" s="32"/>
      <c r="F32" s="570"/>
      <c r="G32" s="532"/>
    </row>
    <row r="33" spans="1:7" ht="63" x14ac:dyDescent="0.2">
      <c r="A33" s="537">
        <v>18010200</v>
      </c>
      <c r="B33" s="535" t="s">
        <v>502</v>
      </c>
      <c r="C33" s="32">
        <f t="shared" si="1"/>
        <v>786300</v>
      </c>
      <c r="D33" s="32">
        <v>786300</v>
      </c>
      <c r="E33" s="32"/>
      <c r="F33" s="570"/>
      <c r="G33" s="532"/>
    </row>
    <row r="34" spans="1:7" ht="63" x14ac:dyDescent="0.2">
      <c r="A34" s="537">
        <v>18010300</v>
      </c>
      <c r="B34" s="535" t="s">
        <v>503</v>
      </c>
      <c r="C34" s="32">
        <f t="shared" si="1"/>
        <v>2804500</v>
      </c>
      <c r="D34" s="32">
        <v>2804500</v>
      </c>
      <c r="E34" s="32"/>
      <c r="F34" s="570"/>
      <c r="G34" s="532"/>
    </row>
    <row r="35" spans="1:7" ht="71.25" customHeight="1" x14ac:dyDescent="0.2">
      <c r="A35" s="537">
        <v>18010400</v>
      </c>
      <c r="B35" s="535" t="s">
        <v>504</v>
      </c>
      <c r="C35" s="32">
        <f t="shared" si="1"/>
        <v>6106000</v>
      </c>
      <c r="D35" s="32">
        <v>6106000</v>
      </c>
      <c r="E35" s="32"/>
      <c r="F35" s="570"/>
      <c r="G35" s="532"/>
    </row>
    <row r="36" spans="1:7" ht="15.75" x14ac:dyDescent="0.2">
      <c r="A36" s="537"/>
      <c r="B36" s="535" t="s">
        <v>505</v>
      </c>
      <c r="C36" s="32">
        <f>D36+E36</f>
        <v>135366100</v>
      </c>
      <c r="D36" s="32">
        <f>D37+D38+D39+D40</f>
        <v>135366100</v>
      </c>
      <c r="E36" s="32"/>
      <c r="F36" s="570"/>
      <c r="G36" s="532"/>
    </row>
    <row r="37" spans="1:7" ht="15.75" x14ac:dyDescent="0.2">
      <c r="A37" s="537">
        <v>18010500</v>
      </c>
      <c r="B37" s="535" t="s">
        <v>506</v>
      </c>
      <c r="C37" s="32">
        <f t="shared" ref="C37:C41" si="2">D37+E37</f>
        <v>92829300</v>
      </c>
      <c r="D37" s="32">
        <f>88829300+4000000</f>
        <v>92829300</v>
      </c>
      <c r="E37" s="32"/>
      <c r="F37" s="570"/>
      <c r="G37" s="532"/>
    </row>
    <row r="38" spans="1:7" ht="15.75" x14ac:dyDescent="0.2">
      <c r="A38" s="537">
        <v>18010600</v>
      </c>
      <c r="B38" s="535" t="s">
        <v>507</v>
      </c>
      <c r="C38" s="32">
        <f t="shared" si="2"/>
        <v>39043000</v>
      </c>
      <c r="D38" s="32">
        <v>39043000</v>
      </c>
      <c r="E38" s="32"/>
      <c r="F38" s="570"/>
      <c r="G38" s="532"/>
    </row>
    <row r="39" spans="1:7" ht="15.75" x14ac:dyDescent="0.2">
      <c r="A39" s="537">
        <v>18010700</v>
      </c>
      <c r="B39" s="535" t="s">
        <v>508</v>
      </c>
      <c r="C39" s="32">
        <f t="shared" si="2"/>
        <v>1474200</v>
      </c>
      <c r="D39" s="32">
        <f>1874200-400000</f>
        <v>1474200</v>
      </c>
      <c r="E39" s="32"/>
      <c r="F39" s="570"/>
      <c r="G39" s="532"/>
    </row>
    <row r="40" spans="1:7" ht="15.75" x14ac:dyDescent="0.2">
      <c r="A40" s="537">
        <v>18010900</v>
      </c>
      <c r="B40" s="535" t="s">
        <v>509</v>
      </c>
      <c r="C40" s="32">
        <f t="shared" si="2"/>
        <v>2019600</v>
      </c>
      <c r="D40" s="32">
        <f>2254600-235000</f>
        <v>2019600</v>
      </c>
      <c r="E40" s="32"/>
      <c r="F40" s="570"/>
      <c r="G40" s="532"/>
    </row>
    <row r="41" spans="1:7" ht="15.75" x14ac:dyDescent="0.2">
      <c r="A41" s="537">
        <v>18011000</v>
      </c>
      <c r="B41" s="535" t="s">
        <v>510</v>
      </c>
      <c r="C41" s="32">
        <f t="shared" si="2"/>
        <v>33300</v>
      </c>
      <c r="D41" s="32">
        <f>100000-66700</f>
        <v>33300</v>
      </c>
      <c r="E41" s="32"/>
      <c r="F41" s="570"/>
      <c r="G41" s="532"/>
    </row>
    <row r="42" spans="1:7" ht="15.75" x14ac:dyDescent="0.2">
      <c r="A42" s="572" t="s">
        <v>511</v>
      </c>
      <c r="B42" s="535" t="s">
        <v>512</v>
      </c>
      <c r="C42" s="32">
        <f>D42</f>
        <v>35900</v>
      </c>
      <c r="D42" s="32">
        <v>35900</v>
      </c>
      <c r="E42" s="32">
        <v>0</v>
      </c>
      <c r="F42" s="570">
        <v>0</v>
      </c>
      <c r="G42" s="532"/>
    </row>
    <row r="43" spans="1:7" ht="15.75" x14ac:dyDescent="0.2">
      <c r="A43" s="572" t="s">
        <v>513</v>
      </c>
      <c r="B43" s="535" t="s">
        <v>514</v>
      </c>
      <c r="C43" s="32">
        <f>D43</f>
        <v>41094000</v>
      </c>
      <c r="D43" s="32">
        <f>40094000+1000000</f>
        <v>41094000</v>
      </c>
      <c r="E43" s="32">
        <v>0</v>
      </c>
      <c r="F43" s="570">
        <v>0</v>
      </c>
      <c r="G43" s="532"/>
    </row>
    <row r="44" spans="1:7" ht="15.75" x14ac:dyDescent="0.2">
      <c r="A44" s="571" t="s">
        <v>515</v>
      </c>
      <c r="B44" s="533" t="s">
        <v>516</v>
      </c>
      <c r="C44" s="536">
        <f>E44</f>
        <v>394100</v>
      </c>
      <c r="D44" s="536">
        <v>0</v>
      </c>
      <c r="E44" s="536">
        <f>E45</f>
        <v>394100</v>
      </c>
      <c r="F44" s="570">
        <v>0</v>
      </c>
      <c r="G44" s="532"/>
    </row>
    <row r="45" spans="1:7" ht="15.75" x14ac:dyDescent="0.2">
      <c r="A45" s="572" t="s">
        <v>517</v>
      </c>
      <c r="B45" s="535" t="s">
        <v>518</v>
      </c>
      <c r="C45" s="32">
        <f>E45</f>
        <v>394100</v>
      </c>
      <c r="D45" s="32">
        <v>0</v>
      </c>
      <c r="E45" s="32">
        <f>459300-65200</f>
        <v>394100</v>
      </c>
      <c r="F45" s="33">
        <v>0</v>
      </c>
      <c r="G45" s="532"/>
    </row>
    <row r="46" spans="1:7" ht="15.75" x14ac:dyDescent="0.2">
      <c r="A46" s="569" t="s">
        <v>519</v>
      </c>
      <c r="B46" s="530" t="s">
        <v>520</v>
      </c>
      <c r="C46" s="531">
        <f>D46+E46</f>
        <v>16954000</v>
      </c>
      <c r="D46" s="531">
        <f>D47+D51+D57</f>
        <v>5238600</v>
      </c>
      <c r="E46" s="531">
        <f>E57+E61</f>
        <v>11715400</v>
      </c>
      <c r="F46" s="570">
        <f>F57</f>
        <v>0</v>
      </c>
      <c r="G46" s="532"/>
    </row>
    <row r="47" spans="1:7" ht="31.5" x14ac:dyDescent="0.2">
      <c r="A47" s="571" t="s">
        <v>521</v>
      </c>
      <c r="B47" s="533" t="s">
        <v>522</v>
      </c>
      <c r="C47" s="536">
        <f t="shared" ref="C47:C56" si="3">D47</f>
        <v>1031000</v>
      </c>
      <c r="D47" s="536">
        <f>D48+D49+D50</f>
        <v>1031000</v>
      </c>
      <c r="E47" s="531">
        <v>0</v>
      </c>
      <c r="F47" s="570">
        <v>0</v>
      </c>
      <c r="G47" s="532"/>
    </row>
    <row r="48" spans="1:7" ht="63" x14ac:dyDescent="0.2">
      <c r="A48" s="572" t="s">
        <v>523</v>
      </c>
      <c r="B48" s="535" t="s">
        <v>524</v>
      </c>
      <c r="C48" s="32">
        <f t="shared" si="3"/>
        <v>129000</v>
      </c>
      <c r="D48" s="32">
        <f>235600-106600</f>
        <v>129000</v>
      </c>
      <c r="E48" s="32">
        <v>0</v>
      </c>
      <c r="F48" s="33">
        <v>0</v>
      </c>
      <c r="G48" s="532"/>
    </row>
    <row r="49" spans="1:7" ht="28.5" customHeight="1" x14ac:dyDescent="0.2">
      <c r="A49" s="572" t="s">
        <v>525</v>
      </c>
      <c r="B49" s="535" t="s">
        <v>526</v>
      </c>
      <c r="C49" s="32">
        <f t="shared" si="3"/>
        <v>17000</v>
      </c>
      <c r="D49" s="32">
        <f>54600-37600</f>
        <v>17000</v>
      </c>
      <c r="E49" s="32">
        <v>0</v>
      </c>
      <c r="F49" s="33">
        <v>0</v>
      </c>
      <c r="G49" s="532"/>
    </row>
    <row r="50" spans="1:7" ht="31.5" x14ac:dyDescent="0.2">
      <c r="A50" s="572" t="s">
        <v>527</v>
      </c>
      <c r="B50" s="535" t="s">
        <v>528</v>
      </c>
      <c r="C50" s="32">
        <f t="shared" si="3"/>
        <v>885000</v>
      </c>
      <c r="D50" s="32">
        <v>885000</v>
      </c>
      <c r="E50" s="32">
        <v>0</v>
      </c>
      <c r="F50" s="33">
        <v>0</v>
      </c>
      <c r="G50" s="532"/>
    </row>
    <row r="51" spans="1:7" ht="47.25" x14ac:dyDescent="0.2">
      <c r="A51" s="571" t="s">
        <v>529</v>
      </c>
      <c r="B51" s="533" t="s">
        <v>530</v>
      </c>
      <c r="C51" s="536">
        <f t="shared" si="3"/>
        <v>2407400</v>
      </c>
      <c r="D51" s="536">
        <f>D52+D53+D54+D55+D56</f>
        <v>2407400</v>
      </c>
      <c r="E51" s="531">
        <v>0</v>
      </c>
      <c r="F51" s="570">
        <v>0</v>
      </c>
      <c r="G51" s="532"/>
    </row>
    <row r="52" spans="1:7" ht="87" customHeight="1" x14ac:dyDescent="0.2">
      <c r="A52" s="572" t="s">
        <v>531</v>
      </c>
      <c r="B52" s="535" t="s">
        <v>532</v>
      </c>
      <c r="C52" s="32">
        <f t="shared" si="3"/>
        <v>112600</v>
      </c>
      <c r="D52" s="32">
        <v>112600</v>
      </c>
      <c r="E52" s="32">
        <v>0</v>
      </c>
      <c r="F52" s="33">
        <v>0</v>
      </c>
      <c r="G52" s="532"/>
    </row>
    <row r="53" spans="1:7" ht="31.5" x14ac:dyDescent="0.2">
      <c r="A53" s="572" t="s">
        <v>533</v>
      </c>
      <c r="B53" s="535" t="s">
        <v>534</v>
      </c>
      <c r="C53" s="32">
        <f t="shared" si="3"/>
        <v>570500</v>
      </c>
      <c r="D53" s="32">
        <f>220500+350000</f>
        <v>570500</v>
      </c>
      <c r="E53" s="32">
        <v>0</v>
      </c>
      <c r="F53" s="33">
        <v>0</v>
      </c>
      <c r="G53" s="532"/>
    </row>
    <row r="54" spans="1:7" ht="47.25" x14ac:dyDescent="0.2">
      <c r="A54" s="572" t="s">
        <v>535</v>
      </c>
      <c r="B54" s="535" t="s">
        <v>536</v>
      </c>
      <c r="C54" s="32">
        <f t="shared" si="3"/>
        <v>583600</v>
      </c>
      <c r="D54" s="32">
        <v>583600</v>
      </c>
      <c r="E54" s="32">
        <v>0</v>
      </c>
      <c r="F54" s="33">
        <v>0</v>
      </c>
      <c r="G54" s="532"/>
    </row>
    <row r="55" spans="1:7" ht="63" x14ac:dyDescent="0.2">
      <c r="A55" s="572" t="s">
        <v>537</v>
      </c>
      <c r="B55" s="535" t="s">
        <v>538</v>
      </c>
      <c r="C55" s="32">
        <f t="shared" si="3"/>
        <v>809900</v>
      </c>
      <c r="D55" s="32">
        <v>809900</v>
      </c>
      <c r="E55" s="32">
        <v>0</v>
      </c>
      <c r="F55" s="33">
        <v>0</v>
      </c>
      <c r="G55" s="532"/>
    </row>
    <row r="56" spans="1:7" ht="15.75" x14ac:dyDescent="0.2">
      <c r="A56" s="572" t="s">
        <v>539</v>
      </c>
      <c r="B56" s="535" t="s">
        <v>540</v>
      </c>
      <c r="C56" s="32">
        <f t="shared" si="3"/>
        <v>330800</v>
      </c>
      <c r="D56" s="32">
        <v>330800</v>
      </c>
      <c r="E56" s="531">
        <v>0</v>
      </c>
      <c r="F56" s="570">
        <v>0</v>
      </c>
      <c r="G56" s="532"/>
    </row>
    <row r="57" spans="1:7" ht="15.75" x14ac:dyDescent="0.2">
      <c r="A57" s="571" t="s">
        <v>541</v>
      </c>
      <c r="B57" s="533" t="s">
        <v>542</v>
      </c>
      <c r="C57" s="536">
        <f>D57+E57</f>
        <v>1800200</v>
      </c>
      <c r="D57" s="536">
        <f>D58+D59</f>
        <v>1800200</v>
      </c>
      <c r="E57" s="536">
        <f>E60</f>
        <v>0</v>
      </c>
      <c r="F57" s="573">
        <f>F60</f>
        <v>0</v>
      </c>
      <c r="G57" s="532"/>
    </row>
    <row r="58" spans="1:7" ht="15.75" x14ac:dyDescent="0.2">
      <c r="A58" s="572" t="s">
        <v>543</v>
      </c>
      <c r="B58" s="535" t="s">
        <v>544</v>
      </c>
      <c r="C58" s="32">
        <f>D58</f>
        <v>724100</v>
      </c>
      <c r="D58" s="32">
        <f>274100+450000</f>
        <v>724100</v>
      </c>
      <c r="E58" s="32">
        <v>0</v>
      </c>
      <c r="F58" s="33">
        <v>0</v>
      </c>
      <c r="G58" s="532"/>
    </row>
    <row r="59" spans="1:7" ht="126" x14ac:dyDescent="0.2">
      <c r="A59" s="572" t="s">
        <v>545</v>
      </c>
      <c r="B59" s="535" t="s">
        <v>546</v>
      </c>
      <c r="C59" s="32">
        <f>D59</f>
        <v>1076100</v>
      </c>
      <c r="D59" s="32">
        <f>416100+660000</f>
        <v>1076100</v>
      </c>
      <c r="E59" s="32">
        <v>0</v>
      </c>
      <c r="F59" s="33">
        <v>0</v>
      </c>
      <c r="G59" s="532"/>
    </row>
    <row r="60" spans="1:7" ht="47.25" hidden="1" x14ac:dyDescent="0.2">
      <c r="A60" s="572" t="s">
        <v>547</v>
      </c>
      <c r="B60" s="535" t="s">
        <v>548</v>
      </c>
      <c r="C60" s="32">
        <f>E60</f>
        <v>0</v>
      </c>
      <c r="D60" s="32">
        <v>0</v>
      </c>
      <c r="E60" s="32"/>
      <c r="F60" s="33">
        <f>E60</f>
        <v>0</v>
      </c>
      <c r="G60" s="532"/>
    </row>
    <row r="61" spans="1:7" ht="31.5" x14ac:dyDescent="0.2">
      <c r="A61" s="571" t="s">
        <v>549</v>
      </c>
      <c r="B61" s="533" t="s">
        <v>550</v>
      </c>
      <c r="C61" s="536">
        <f>E61</f>
        <v>11715400</v>
      </c>
      <c r="D61" s="536">
        <v>0</v>
      </c>
      <c r="E61" s="536">
        <f>E62</f>
        <v>11715400</v>
      </c>
      <c r="F61" s="573">
        <v>0</v>
      </c>
      <c r="G61" s="532"/>
    </row>
    <row r="62" spans="1:7" ht="54.75" customHeight="1" x14ac:dyDescent="0.2">
      <c r="A62" s="572" t="s">
        <v>551</v>
      </c>
      <c r="B62" s="535" t="s">
        <v>552</v>
      </c>
      <c r="C62" s="32">
        <f>E62</f>
        <v>11715400</v>
      </c>
      <c r="D62" s="32">
        <v>0</v>
      </c>
      <c r="E62" s="32">
        <v>11715400</v>
      </c>
      <c r="F62" s="570">
        <v>0</v>
      </c>
      <c r="G62" s="532"/>
    </row>
    <row r="63" spans="1:7" ht="15.75" x14ac:dyDescent="0.2">
      <c r="A63" s="571" t="s">
        <v>553</v>
      </c>
      <c r="B63" s="533" t="s">
        <v>554</v>
      </c>
      <c r="C63" s="536">
        <f>C64</f>
        <v>8443400</v>
      </c>
      <c r="D63" s="536">
        <v>0</v>
      </c>
      <c r="E63" s="536">
        <f>E64</f>
        <v>8443400</v>
      </c>
      <c r="F63" s="573">
        <f>F64</f>
        <v>8443400</v>
      </c>
      <c r="G63" s="532"/>
    </row>
    <row r="64" spans="1:7" ht="110.25" x14ac:dyDescent="0.2">
      <c r="A64" s="572" t="s">
        <v>555</v>
      </c>
      <c r="B64" s="535" t="s">
        <v>556</v>
      </c>
      <c r="C64" s="32">
        <f>E64</f>
        <v>8443400</v>
      </c>
      <c r="D64" s="32">
        <v>0</v>
      </c>
      <c r="E64" s="32">
        <v>8443400</v>
      </c>
      <c r="F64" s="33">
        <f>E64</f>
        <v>8443400</v>
      </c>
      <c r="G64" s="532"/>
    </row>
    <row r="65" spans="1:7" ht="31.5" x14ac:dyDescent="0.2">
      <c r="A65" s="569"/>
      <c r="B65" s="530" t="s">
        <v>557</v>
      </c>
      <c r="C65" s="531">
        <f>D65+E65</f>
        <v>581698000</v>
      </c>
      <c r="D65" s="531">
        <f>D21+D46</f>
        <v>561145100</v>
      </c>
      <c r="E65" s="531">
        <f>E63+E46+E21</f>
        <v>20552900</v>
      </c>
      <c r="F65" s="570">
        <f>F63+F46+F21</f>
        <v>8443400</v>
      </c>
      <c r="G65" s="532"/>
    </row>
    <row r="66" spans="1:7" ht="21" customHeight="1" x14ac:dyDescent="0.2">
      <c r="A66" s="569" t="s">
        <v>558</v>
      </c>
      <c r="B66" s="530" t="s">
        <v>559</v>
      </c>
      <c r="C66" s="531">
        <f t="shared" ref="C66:C89" si="4">D66</f>
        <v>101877371</v>
      </c>
      <c r="D66" s="531">
        <f>D67</f>
        <v>101877371</v>
      </c>
      <c r="E66" s="531">
        <f t="shared" ref="E66:F66" si="5">E67</f>
        <v>4098200</v>
      </c>
      <c r="F66" s="570">
        <f t="shared" si="5"/>
        <v>0</v>
      </c>
      <c r="G66" s="532"/>
    </row>
    <row r="67" spans="1:7" ht="19.5" customHeight="1" x14ac:dyDescent="0.2">
      <c r="A67" s="571" t="s">
        <v>560</v>
      </c>
      <c r="B67" s="533" t="s">
        <v>561</v>
      </c>
      <c r="C67" s="536">
        <f>D67</f>
        <v>101877371</v>
      </c>
      <c r="D67" s="536">
        <f>D70+D77+D79+D68</f>
        <v>101877371</v>
      </c>
      <c r="E67" s="536">
        <f t="shared" ref="E67:F67" si="6">E70+E77+E79</f>
        <v>4098200</v>
      </c>
      <c r="F67" s="573">
        <f t="shared" si="6"/>
        <v>0</v>
      </c>
      <c r="G67" s="532"/>
    </row>
    <row r="68" spans="1:7" ht="29.25" customHeight="1" x14ac:dyDescent="0.2">
      <c r="A68" s="569">
        <v>41020000</v>
      </c>
      <c r="B68" s="530" t="s">
        <v>562</v>
      </c>
      <c r="C68" s="531">
        <f t="shared" si="4"/>
        <v>1041200</v>
      </c>
      <c r="D68" s="531">
        <f>D69</f>
        <v>1041200</v>
      </c>
      <c r="E68" s="531"/>
      <c r="F68" s="570"/>
      <c r="G68" s="532"/>
    </row>
    <row r="69" spans="1:7" ht="146.25" customHeight="1" x14ac:dyDescent="0.2">
      <c r="A69" s="537">
        <v>41021400</v>
      </c>
      <c r="B69" s="535" t="s">
        <v>284</v>
      </c>
      <c r="C69" s="32">
        <f t="shared" si="4"/>
        <v>1041200</v>
      </c>
      <c r="D69" s="32">
        <f>1041200</f>
        <v>1041200</v>
      </c>
      <c r="E69" s="32"/>
      <c r="F69" s="33"/>
      <c r="G69" s="532"/>
    </row>
    <row r="70" spans="1:7" ht="27.75" customHeight="1" x14ac:dyDescent="0.2">
      <c r="A70" s="569" t="s">
        <v>563</v>
      </c>
      <c r="B70" s="530" t="s">
        <v>564</v>
      </c>
      <c r="C70" s="531">
        <f>C71+C72+C73+C74+C75</f>
        <v>99596100</v>
      </c>
      <c r="D70" s="531">
        <f>D72+D74+D75+D73+D71</f>
        <v>96878700</v>
      </c>
      <c r="E70" s="531">
        <f>E72+E74+E75+E73+E71+E76</f>
        <v>4098200</v>
      </c>
      <c r="F70" s="570">
        <v>0</v>
      </c>
      <c r="G70" s="532"/>
    </row>
    <row r="71" spans="1:7" ht="63.75" customHeight="1" x14ac:dyDescent="0.2">
      <c r="A71" s="537">
        <v>41031100</v>
      </c>
      <c r="B71" s="535" t="s">
        <v>614</v>
      </c>
      <c r="C71" s="32">
        <f t="shared" si="4"/>
        <v>8230500</v>
      </c>
      <c r="D71" s="32">
        <f>0+8230500</f>
        <v>8230500</v>
      </c>
      <c r="E71" s="531"/>
      <c r="F71" s="570"/>
      <c r="G71" s="532"/>
    </row>
    <row r="72" spans="1:7" ht="31.5" x14ac:dyDescent="0.2">
      <c r="A72" s="572" t="s">
        <v>187</v>
      </c>
      <c r="B72" s="535" t="s">
        <v>188</v>
      </c>
      <c r="C72" s="32">
        <f>D72+E72</f>
        <v>79946900</v>
      </c>
      <c r="D72" s="32">
        <f>51662400+25772800</f>
        <v>77435200</v>
      </c>
      <c r="E72" s="32">
        <f>0+2511700</f>
        <v>2511700</v>
      </c>
      <c r="F72" s="33">
        <v>0</v>
      </c>
      <c r="G72" s="532"/>
    </row>
    <row r="73" spans="1:7" ht="63" x14ac:dyDescent="0.2">
      <c r="A73" s="537">
        <v>41035400</v>
      </c>
      <c r="B73" s="535" t="s">
        <v>387</v>
      </c>
      <c r="C73" s="32">
        <f>D73+E73</f>
        <v>686300</v>
      </c>
      <c r="D73" s="32">
        <v>480600</v>
      </c>
      <c r="E73" s="32">
        <f>0+205700</f>
        <v>205700</v>
      </c>
      <c r="F73" s="33">
        <v>0</v>
      </c>
      <c r="G73" s="532"/>
    </row>
    <row r="74" spans="1:7" ht="94.5" x14ac:dyDescent="0.2">
      <c r="A74" s="537">
        <v>41036000</v>
      </c>
      <c r="B74" s="535" t="s">
        <v>385</v>
      </c>
      <c r="C74" s="32">
        <f t="shared" si="4"/>
        <v>1352500</v>
      </c>
      <c r="D74" s="32">
        <v>1352500</v>
      </c>
      <c r="E74" s="32">
        <v>0</v>
      </c>
      <c r="F74" s="33">
        <v>0</v>
      </c>
      <c r="G74" s="532"/>
    </row>
    <row r="75" spans="1:7" ht="63" x14ac:dyDescent="0.2">
      <c r="A75" s="537">
        <v>41036300</v>
      </c>
      <c r="B75" s="535" t="s">
        <v>386</v>
      </c>
      <c r="C75" s="32">
        <f t="shared" si="4"/>
        <v>9379900</v>
      </c>
      <c r="D75" s="32">
        <f>3975300+5404600</f>
        <v>9379900</v>
      </c>
      <c r="E75" s="32">
        <v>0</v>
      </c>
      <c r="F75" s="33">
        <v>0</v>
      </c>
      <c r="G75" s="532"/>
    </row>
    <row r="76" spans="1:7" ht="94.5" x14ac:dyDescent="0.2">
      <c r="A76" s="537">
        <v>41037400</v>
      </c>
      <c r="B76" s="535" t="s">
        <v>615</v>
      </c>
      <c r="C76" s="32">
        <f>D76+E76</f>
        <v>1380800</v>
      </c>
      <c r="D76" s="32">
        <v>0</v>
      </c>
      <c r="E76" s="32">
        <f>0+1380800</f>
        <v>1380800</v>
      </c>
      <c r="F76" s="33">
        <v>0</v>
      </c>
      <c r="G76" s="532"/>
    </row>
    <row r="77" spans="1:7" ht="31.5" x14ac:dyDescent="0.2">
      <c r="A77" s="542">
        <v>41040000</v>
      </c>
      <c r="B77" s="530" t="s">
        <v>568</v>
      </c>
      <c r="C77" s="531">
        <f>C78</f>
        <v>0</v>
      </c>
      <c r="D77" s="72">
        <f>D78</f>
        <v>0</v>
      </c>
      <c r="E77" s="32"/>
      <c r="F77" s="33"/>
      <c r="G77" s="532"/>
    </row>
    <row r="78" spans="1:7" ht="23.25" customHeight="1" x14ac:dyDescent="0.2">
      <c r="A78" s="537">
        <v>41040400</v>
      </c>
      <c r="B78" s="535" t="s">
        <v>569</v>
      </c>
      <c r="C78" s="32">
        <f>D78+E78</f>
        <v>0</v>
      </c>
      <c r="D78" s="8">
        <f>24586-24586</f>
        <v>0</v>
      </c>
      <c r="E78" s="32"/>
      <c r="F78" s="33"/>
      <c r="G78" s="532"/>
    </row>
    <row r="79" spans="1:7" ht="31.5" x14ac:dyDescent="0.2">
      <c r="A79" s="538">
        <v>41050000</v>
      </c>
      <c r="B79" s="530" t="s">
        <v>565</v>
      </c>
      <c r="C79" s="531">
        <f>D79</f>
        <v>3957471</v>
      </c>
      <c r="D79" s="531">
        <f>D81+D82+D83+D85+D80+D87+D86+D84</f>
        <v>3957471</v>
      </c>
      <c r="E79" s="32">
        <v>0</v>
      </c>
      <c r="F79" s="33">
        <v>0</v>
      </c>
      <c r="G79" s="532"/>
    </row>
    <row r="80" spans="1:7" ht="63" x14ac:dyDescent="0.2">
      <c r="A80" s="539">
        <v>41051000</v>
      </c>
      <c r="B80" s="179" t="s">
        <v>191</v>
      </c>
      <c r="C80" s="32">
        <f t="shared" si="4"/>
        <v>1773410</v>
      </c>
      <c r="D80" s="32">
        <f>883100+322850+567460</f>
        <v>1773410</v>
      </c>
      <c r="E80" s="32">
        <v>0</v>
      </c>
      <c r="F80" s="33">
        <v>0</v>
      </c>
      <c r="G80" s="532"/>
    </row>
    <row r="81" spans="1:7" ht="63" x14ac:dyDescent="0.2">
      <c r="A81" s="539">
        <v>41053900</v>
      </c>
      <c r="B81" s="179" t="s">
        <v>193</v>
      </c>
      <c r="C81" s="32">
        <f t="shared" si="4"/>
        <v>136573</v>
      </c>
      <c r="D81" s="32">
        <f>57773+78800</f>
        <v>136573</v>
      </c>
      <c r="E81" s="32">
        <v>0</v>
      </c>
      <c r="F81" s="33">
        <v>0</v>
      </c>
      <c r="G81" s="532"/>
    </row>
    <row r="82" spans="1:7" ht="63" x14ac:dyDescent="0.2">
      <c r="A82" s="540">
        <v>41053900</v>
      </c>
      <c r="B82" s="179" t="s">
        <v>195</v>
      </c>
      <c r="C82" s="32">
        <f t="shared" si="4"/>
        <v>164690</v>
      </c>
      <c r="D82" s="32">
        <v>164690</v>
      </c>
      <c r="E82" s="32">
        <v>0</v>
      </c>
      <c r="F82" s="33">
        <v>0</v>
      </c>
      <c r="G82" s="532"/>
    </row>
    <row r="83" spans="1:7" ht="94.5" x14ac:dyDescent="0.2">
      <c r="A83" s="540">
        <v>41053900</v>
      </c>
      <c r="B83" s="179" t="s">
        <v>566</v>
      </c>
      <c r="C83" s="32">
        <f t="shared" si="4"/>
        <v>17623</v>
      </c>
      <c r="D83" s="32">
        <v>17623</v>
      </c>
      <c r="E83" s="32">
        <v>0</v>
      </c>
      <c r="F83" s="33">
        <v>0</v>
      </c>
      <c r="G83" s="532"/>
    </row>
    <row r="84" spans="1:7" ht="78.75" x14ac:dyDescent="0.2">
      <c r="A84" s="540">
        <v>41053900</v>
      </c>
      <c r="B84" s="179" t="s">
        <v>639</v>
      </c>
      <c r="C84" s="32">
        <f t="shared" si="4"/>
        <v>241072</v>
      </c>
      <c r="D84" s="32">
        <f>241072</f>
        <v>241072</v>
      </c>
      <c r="E84" s="32"/>
      <c r="F84" s="33"/>
      <c r="G84" s="532"/>
    </row>
    <row r="85" spans="1:7" ht="89.25" customHeight="1" x14ac:dyDescent="0.2">
      <c r="A85" s="90">
        <v>41057700</v>
      </c>
      <c r="B85" s="535" t="s">
        <v>570</v>
      </c>
      <c r="C85" s="543">
        <f>D85+E85</f>
        <v>79056</v>
      </c>
      <c r="D85" s="32">
        <v>79056</v>
      </c>
      <c r="E85" s="32"/>
      <c r="F85" s="33"/>
      <c r="G85" s="532"/>
    </row>
    <row r="86" spans="1:7" ht="170.25" customHeight="1" x14ac:dyDescent="0.2">
      <c r="A86" s="90">
        <v>41057900</v>
      </c>
      <c r="B86" s="179" t="s">
        <v>582</v>
      </c>
      <c r="C86" s="543">
        <f>D86+E86</f>
        <v>1250000</v>
      </c>
      <c r="D86" s="32">
        <f>1250000</f>
        <v>1250000</v>
      </c>
      <c r="E86" s="32"/>
      <c r="F86" s="33"/>
      <c r="G86" s="532"/>
    </row>
    <row r="87" spans="1:7" ht="141.75" x14ac:dyDescent="0.2">
      <c r="A87" s="540">
        <v>41059300</v>
      </c>
      <c r="B87" s="179" t="s">
        <v>388</v>
      </c>
      <c r="C87" s="32">
        <f t="shared" si="4"/>
        <v>295047</v>
      </c>
      <c r="D87" s="32">
        <f>339588-44541</f>
        <v>295047</v>
      </c>
      <c r="E87" s="32">
        <v>0</v>
      </c>
      <c r="F87" s="33">
        <v>0</v>
      </c>
      <c r="G87" s="532"/>
    </row>
    <row r="88" spans="1:7" ht="15.75" x14ac:dyDescent="0.2">
      <c r="A88" s="540"/>
      <c r="B88" s="179"/>
      <c r="C88" s="32"/>
      <c r="D88" s="32"/>
      <c r="E88" s="32"/>
      <c r="F88" s="33"/>
      <c r="G88" s="532"/>
    </row>
    <row r="89" spans="1:7" ht="15.75" x14ac:dyDescent="0.2">
      <c r="A89" s="572"/>
      <c r="B89" s="535"/>
      <c r="C89" s="32">
        <f t="shared" si="4"/>
        <v>0</v>
      </c>
      <c r="D89" s="32"/>
      <c r="E89" s="32"/>
      <c r="F89" s="33"/>
      <c r="G89" s="532"/>
    </row>
    <row r="90" spans="1:7" ht="16.5" thickBot="1" x14ac:dyDescent="0.25">
      <c r="A90" s="574" t="s">
        <v>7</v>
      </c>
      <c r="B90" s="575" t="s">
        <v>567</v>
      </c>
      <c r="C90" s="576">
        <f>D90+E90</f>
        <v>687673571</v>
      </c>
      <c r="D90" s="576">
        <f>D65+D66</f>
        <v>663022471</v>
      </c>
      <c r="E90" s="576">
        <f>E65+E66</f>
        <v>24651100</v>
      </c>
      <c r="F90" s="577">
        <f>F65</f>
        <v>8443400</v>
      </c>
      <c r="G90" s="532"/>
    </row>
    <row r="91" spans="1:7" ht="15.75" x14ac:dyDescent="0.25">
      <c r="A91" s="1"/>
      <c r="B91" s="1"/>
      <c r="C91" s="1"/>
      <c r="D91" s="1"/>
      <c r="E91" s="1"/>
      <c r="F91" s="1"/>
    </row>
    <row r="94" spans="1:7" ht="18.75" x14ac:dyDescent="0.2">
      <c r="A94" s="125" t="s">
        <v>363</v>
      </c>
      <c r="B94" s="125"/>
      <c r="C94" s="541"/>
      <c r="D94" s="713" t="s">
        <v>311</v>
      </c>
      <c r="E94" s="713"/>
      <c r="F94" s="713"/>
    </row>
    <row r="95" spans="1:7" x14ac:dyDescent="0.2">
      <c r="B95" s="705"/>
      <c r="C95" s="705"/>
      <c r="D95" s="705"/>
      <c r="E95" s="705"/>
      <c r="F95" s="705"/>
      <c r="G95" s="705"/>
    </row>
  </sheetData>
  <mergeCells count="26">
    <mergeCell ref="E18:E19"/>
    <mergeCell ref="F18:F19"/>
    <mergeCell ref="B95:G95"/>
    <mergeCell ref="A14:F14"/>
    <mergeCell ref="G14:I14"/>
    <mergeCell ref="A15:B15"/>
    <mergeCell ref="G15:I15"/>
    <mergeCell ref="G16:I16"/>
    <mergeCell ref="A17:A19"/>
    <mergeCell ref="B17:B19"/>
    <mergeCell ref="C17:C19"/>
    <mergeCell ref="D17:D19"/>
    <mergeCell ref="E17:F17"/>
    <mergeCell ref="D94:F94"/>
    <mergeCell ref="D11:F11"/>
    <mergeCell ref="G11:I11"/>
    <mergeCell ref="D12:F12"/>
    <mergeCell ref="G12:I12"/>
    <mergeCell ref="D13:F13"/>
    <mergeCell ref="G13:I13"/>
    <mergeCell ref="D10:F10"/>
    <mergeCell ref="D6:E6"/>
    <mergeCell ref="D7:F7"/>
    <mergeCell ref="G7:I7"/>
    <mergeCell ref="D8:F8"/>
    <mergeCell ref="D9:F9"/>
  </mergeCells>
  <pageMargins left="1.1811023622047245" right="0.55118110236220474" top="0.78740157480314965" bottom="0.78740157480314965" header="0.31496062992125984" footer="0.31496062992125984"/>
  <pageSetup paperSize="9" scale="82"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4"/>
  <sheetViews>
    <sheetView view="pageBreakPreview" zoomScale="90" zoomScaleNormal="100" zoomScaleSheetLayoutView="90" workbookViewId="0">
      <selection activeCell="D6" sqref="D6:E6"/>
    </sheetView>
  </sheetViews>
  <sheetFormatPr defaultRowHeight="12.75" x14ac:dyDescent="0.2"/>
  <cols>
    <col min="1" max="1" width="11.28515625" customWidth="1"/>
    <col min="2" max="2" width="38.42578125" customWidth="1"/>
    <col min="3" max="4" width="13.85546875" customWidth="1"/>
    <col min="5" max="5" width="13.5703125" customWidth="1"/>
    <col min="6" max="6" width="16.28515625" customWidth="1"/>
  </cols>
  <sheetData>
    <row r="1" spans="1:6" ht="15.75" x14ac:dyDescent="0.2">
      <c r="D1" s="3" t="s">
        <v>212</v>
      </c>
      <c r="E1" s="4"/>
    </row>
    <row r="2" spans="1:6" ht="15.75" x14ac:dyDescent="0.2">
      <c r="D2" s="3" t="s">
        <v>359</v>
      </c>
      <c r="E2" s="4"/>
    </row>
    <row r="3" spans="1:6" ht="15.75" x14ac:dyDescent="0.2">
      <c r="D3" s="3" t="s">
        <v>609</v>
      </c>
      <c r="E3" s="4"/>
    </row>
    <row r="4" spans="1:6" ht="15.75" x14ac:dyDescent="0.25">
      <c r="D4" s="367" t="s">
        <v>681</v>
      </c>
      <c r="E4" s="7"/>
    </row>
    <row r="5" spans="1:6" ht="15.75" x14ac:dyDescent="0.25">
      <c r="D5" s="6" t="s">
        <v>682</v>
      </c>
      <c r="E5" s="368"/>
    </row>
    <row r="6" spans="1:6" ht="15.75" x14ac:dyDescent="0.2">
      <c r="D6" s="698" t="s">
        <v>409</v>
      </c>
      <c r="E6" s="698"/>
    </row>
    <row r="8" spans="1:6" ht="15.75" x14ac:dyDescent="0.2">
      <c r="D8" s="3" t="s">
        <v>410</v>
      </c>
      <c r="E8" s="4"/>
      <c r="F8" s="5"/>
    </row>
    <row r="9" spans="1:6" ht="15.75" x14ac:dyDescent="0.2">
      <c r="D9" s="3" t="s">
        <v>360</v>
      </c>
      <c r="E9" s="4"/>
      <c r="F9" s="5"/>
    </row>
    <row r="10" spans="1:6" ht="15.75" x14ac:dyDescent="0.2">
      <c r="D10" s="3" t="s">
        <v>8</v>
      </c>
      <c r="E10" s="4"/>
      <c r="F10" s="5"/>
    </row>
    <row r="11" spans="1:6" ht="15.75" x14ac:dyDescent="0.2">
      <c r="D11" s="3" t="s">
        <v>315</v>
      </c>
      <c r="E11" s="4"/>
      <c r="F11" s="5"/>
    </row>
    <row r="12" spans="1:6" ht="15.75" x14ac:dyDescent="0.25">
      <c r="D12" s="6" t="s">
        <v>371</v>
      </c>
      <c r="E12" s="7"/>
      <c r="F12" s="5"/>
    </row>
    <row r="13" spans="1:6" ht="15.75" x14ac:dyDescent="0.25">
      <c r="D13" s="6" t="s">
        <v>372</v>
      </c>
      <c r="E13" s="4"/>
      <c r="F13" s="5"/>
    </row>
    <row r="14" spans="1:6" ht="15.75" x14ac:dyDescent="0.2">
      <c r="D14" s="698" t="s">
        <v>411</v>
      </c>
      <c r="E14" s="698"/>
      <c r="F14" s="5"/>
    </row>
    <row r="16" spans="1:6" ht="20.25" x14ac:dyDescent="0.3">
      <c r="A16" s="721" t="s">
        <v>313</v>
      </c>
      <c r="B16" s="722"/>
      <c r="C16" s="722"/>
      <c r="D16" s="722"/>
      <c r="E16" s="722"/>
      <c r="F16" s="722"/>
    </row>
    <row r="17" spans="1:6" ht="20.25" x14ac:dyDescent="0.3">
      <c r="A17" s="63"/>
      <c r="B17" s="64"/>
      <c r="C17" s="64"/>
      <c r="D17" s="64"/>
      <c r="E17" s="64"/>
      <c r="F17" s="64"/>
    </row>
    <row r="18" spans="1:6" ht="15.75" x14ac:dyDescent="0.25">
      <c r="A18" s="65" t="s">
        <v>211</v>
      </c>
      <c r="B18" s="1"/>
      <c r="C18" s="1"/>
      <c r="D18" s="1"/>
      <c r="E18" s="1"/>
      <c r="F18" s="1"/>
    </row>
    <row r="19" spans="1:6" ht="16.5" thickBot="1" x14ac:dyDescent="0.3">
      <c r="A19" s="66" t="s">
        <v>0</v>
      </c>
      <c r="B19" s="1"/>
      <c r="C19" s="1"/>
      <c r="D19" s="1"/>
      <c r="E19" s="1"/>
      <c r="F19" s="2" t="s">
        <v>1</v>
      </c>
    </row>
    <row r="20" spans="1:6" ht="15.75" x14ac:dyDescent="0.2">
      <c r="A20" s="723" t="s">
        <v>143</v>
      </c>
      <c r="B20" s="726" t="s">
        <v>144</v>
      </c>
      <c r="C20" s="726" t="s">
        <v>2</v>
      </c>
      <c r="D20" s="726" t="s">
        <v>3</v>
      </c>
      <c r="E20" s="726" t="s">
        <v>4</v>
      </c>
      <c r="F20" s="729"/>
    </row>
    <row r="21" spans="1:6" x14ac:dyDescent="0.2">
      <c r="A21" s="724"/>
      <c r="B21" s="727"/>
      <c r="C21" s="727"/>
      <c r="D21" s="727"/>
      <c r="E21" s="727" t="s">
        <v>5</v>
      </c>
      <c r="F21" s="730" t="s">
        <v>6</v>
      </c>
    </row>
    <row r="22" spans="1:6" ht="44.45" customHeight="1" thickBot="1" x14ac:dyDescent="0.25">
      <c r="A22" s="725"/>
      <c r="B22" s="728"/>
      <c r="C22" s="728"/>
      <c r="D22" s="728"/>
      <c r="E22" s="728"/>
      <c r="F22" s="731"/>
    </row>
    <row r="23" spans="1:6" ht="15.75" x14ac:dyDescent="0.2">
      <c r="A23" s="67">
        <v>1</v>
      </c>
      <c r="B23" s="68">
        <v>2</v>
      </c>
      <c r="C23" s="68">
        <v>3</v>
      </c>
      <c r="D23" s="68">
        <v>4</v>
      </c>
      <c r="E23" s="68">
        <v>5</v>
      </c>
      <c r="F23" s="69">
        <v>6</v>
      </c>
    </row>
    <row r="24" spans="1:6" ht="15.75" x14ac:dyDescent="0.25">
      <c r="A24" s="714" t="s">
        <v>145</v>
      </c>
      <c r="B24" s="715"/>
      <c r="C24" s="715"/>
      <c r="D24" s="715"/>
      <c r="E24" s="715"/>
      <c r="F24" s="716"/>
    </row>
    <row r="25" spans="1:6" ht="15.75" x14ac:dyDescent="0.2">
      <c r="A25" s="70" t="s">
        <v>146</v>
      </c>
      <c r="B25" s="71" t="s">
        <v>147</v>
      </c>
      <c r="C25" s="72">
        <f>C26</f>
        <v>176644330</v>
      </c>
      <c r="D25" s="72">
        <f>D26</f>
        <v>75625195</v>
      </c>
      <c r="E25" s="72">
        <f>E26</f>
        <v>101019135</v>
      </c>
      <c r="F25" s="73">
        <f>F26</f>
        <v>97518535</v>
      </c>
    </row>
    <row r="26" spans="1:6" ht="31.5" x14ac:dyDescent="0.2">
      <c r="A26" s="74" t="s">
        <v>148</v>
      </c>
      <c r="B26" s="75" t="s">
        <v>149</v>
      </c>
      <c r="C26" s="8">
        <f>C27-1000000+C29</f>
        <v>176644330</v>
      </c>
      <c r="D26" s="8">
        <f>D27-1000000+D29</f>
        <v>75625195</v>
      </c>
      <c r="E26" s="8">
        <f>E29+E27</f>
        <v>101019135</v>
      </c>
      <c r="F26" s="76">
        <f>F29+F27</f>
        <v>97518535</v>
      </c>
    </row>
    <row r="27" spans="1:6" ht="15.75" x14ac:dyDescent="0.2">
      <c r="A27" s="74" t="s">
        <v>150</v>
      </c>
      <c r="B27" s="75" t="s">
        <v>151</v>
      </c>
      <c r="C27" s="8">
        <f>D27+E27</f>
        <v>177644330</v>
      </c>
      <c r="D27" s="32">
        <f>1000000+85018102+4560280+11188636+56644873-1933192+6783355</f>
        <v>163262054</v>
      </c>
      <c r="E27" s="8">
        <f>3500600+11131676-250000</f>
        <v>14382276</v>
      </c>
      <c r="F27" s="77">
        <f>0+11131676-250000</f>
        <v>10881676</v>
      </c>
    </row>
    <row r="28" spans="1:6" ht="15.75" x14ac:dyDescent="0.2">
      <c r="A28" s="74" t="s">
        <v>152</v>
      </c>
      <c r="B28" s="75" t="s">
        <v>153</v>
      </c>
      <c r="C28" s="8">
        <v>1000000</v>
      </c>
      <c r="D28" s="8">
        <v>1000000</v>
      </c>
      <c r="E28" s="8">
        <v>0</v>
      </c>
      <c r="F28" s="77">
        <v>0</v>
      </c>
    </row>
    <row r="29" spans="1:6" ht="52.5" customHeight="1" x14ac:dyDescent="0.2">
      <c r="A29" s="74" t="s">
        <v>154</v>
      </c>
      <c r="B29" s="75" t="s">
        <v>155</v>
      </c>
      <c r="C29" s="8">
        <v>0</v>
      </c>
      <c r="D29" s="8">
        <f>-1553800-33472623-490356-5390772-12098856-30550321-3947205+5000000-4132926</f>
        <v>-86636859</v>
      </c>
      <c r="E29" s="8">
        <f>1553800+33472623+490356+5390772+12098856+30550321+3947205-5000000+4132926</f>
        <v>86636859</v>
      </c>
      <c r="F29" s="77">
        <f>E29</f>
        <v>86636859</v>
      </c>
    </row>
    <row r="30" spans="1:6" ht="15.75" x14ac:dyDescent="0.25">
      <c r="A30" s="78" t="s">
        <v>7</v>
      </c>
      <c r="B30" s="79" t="s">
        <v>156</v>
      </c>
      <c r="C30" s="80">
        <f>C25</f>
        <v>176644330</v>
      </c>
      <c r="D30" s="80">
        <f>D25</f>
        <v>75625195</v>
      </c>
      <c r="E30" s="80">
        <f>E25</f>
        <v>101019135</v>
      </c>
      <c r="F30" s="81">
        <f>F25</f>
        <v>97518535</v>
      </c>
    </row>
    <row r="31" spans="1:6" ht="15.75" x14ac:dyDescent="0.25">
      <c r="A31" s="717" t="s">
        <v>157</v>
      </c>
      <c r="B31" s="718"/>
      <c r="C31" s="718"/>
      <c r="D31" s="718"/>
      <c r="E31" s="718"/>
      <c r="F31" s="719"/>
    </row>
    <row r="32" spans="1:6" ht="31.5" x14ac:dyDescent="0.2">
      <c r="A32" s="70" t="s">
        <v>158</v>
      </c>
      <c r="B32" s="71" t="s">
        <v>159</v>
      </c>
      <c r="C32" s="72">
        <f>C25</f>
        <v>176644330</v>
      </c>
      <c r="D32" s="72">
        <f>D25</f>
        <v>75625195</v>
      </c>
      <c r="E32" s="72">
        <f>E25</f>
        <v>101019135</v>
      </c>
      <c r="F32" s="82">
        <f>F25</f>
        <v>97518535</v>
      </c>
    </row>
    <row r="33" spans="1:16" ht="15.75" x14ac:dyDescent="0.2">
      <c r="A33" s="74" t="s">
        <v>160</v>
      </c>
      <c r="B33" s="75" t="s">
        <v>161</v>
      </c>
      <c r="C33" s="8">
        <f>C26</f>
        <v>176644330</v>
      </c>
      <c r="D33" s="8">
        <f>D26</f>
        <v>75625195</v>
      </c>
      <c r="E33" s="8">
        <f>E36+E34</f>
        <v>101019135</v>
      </c>
      <c r="F33" s="77">
        <f>F36+F34</f>
        <v>97518535</v>
      </c>
    </row>
    <row r="34" spans="1:16" ht="15.75" x14ac:dyDescent="0.2">
      <c r="A34" s="74" t="s">
        <v>162</v>
      </c>
      <c r="B34" s="75" t="s">
        <v>151</v>
      </c>
      <c r="C34" s="8">
        <f>D34+E34</f>
        <v>177644330</v>
      </c>
      <c r="D34" s="8">
        <f>D27</f>
        <v>163262054</v>
      </c>
      <c r="E34" s="8">
        <f>E27</f>
        <v>14382276</v>
      </c>
      <c r="F34" s="77">
        <f>F27</f>
        <v>10881676</v>
      </c>
      <c r="I34" s="95"/>
    </row>
    <row r="35" spans="1:16" ht="15.75" x14ac:dyDescent="0.2">
      <c r="A35" s="74" t="s">
        <v>163</v>
      </c>
      <c r="B35" s="75" t="s">
        <v>153</v>
      </c>
      <c r="C35" s="8">
        <v>1000000</v>
      </c>
      <c r="D35" s="8">
        <v>1000000</v>
      </c>
      <c r="E35" s="8">
        <v>0</v>
      </c>
      <c r="F35" s="77">
        <v>0</v>
      </c>
    </row>
    <row r="36" spans="1:16" ht="48" thickBot="1" x14ac:dyDescent="0.25">
      <c r="A36" s="83" t="s">
        <v>164</v>
      </c>
      <c r="B36" s="84" t="s">
        <v>155</v>
      </c>
      <c r="C36" s="35">
        <v>0</v>
      </c>
      <c r="D36" s="35">
        <f t="shared" ref="D36:F37" si="0">D29</f>
        <v>-86636859</v>
      </c>
      <c r="E36" s="35">
        <f>E29</f>
        <v>86636859</v>
      </c>
      <c r="F36" s="85">
        <f>F29</f>
        <v>86636859</v>
      </c>
    </row>
    <row r="37" spans="1:16" ht="16.5" thickBot="1" x14ac:dyDescent="0.3">
      <c r="A37" s="86" t="s">
        <v>7</v>
      </c>
      <c r="B37" s="87" t="s">
        <v>156</v>
      </c>
      <c r="C37" s="88">
        <f>C30</f>
        <v>176644330</v>
      </c>
      <c r="D37" s="88">
        <f t="shared" si="0"/>
        <v>75625195</v>
      </c>
      <c r="E37" s="88">
        <f t="shared" si="0"/>
        <v>101019135</v>
      </c>
      <c r="F37" s="89">
        <f t="shared" si="0"/>
        <v>97518535</v>
      </c>
    </row>
    <row r="39" spans="1:16" ht="13.5" customHeight="1" x14ac:dyDescent="0.2"/>
    <row r="40" spans="1:16" s="5" customFormat="1" ht="42.6" customHeight="1" x14ac:dyDescent="0.2">
      <c r="A40" s="733" t="s">
        <v>363</v>
      </c>
      <c r="B40" s="733"/>
      <c r="C40" s="96"/>
      <c r="D40" s="96"/>
      <c r="E40" s="732" t="s">
        <v>311</v>
      </c>
      <c r="F40" s="732"/>
      <c r="G40" s="3"/>
      <c r="H40" s="3"/>
      <c r="I40" s="3"/>
      <c r="K40" s="3"/>
      <c r="L40" s="91"/>
      <c r="M40" s="3"/>
      <c r="N40" s="94"/>
      <c r="O40" s="92"/>
      <c r="P40" s="93"/>
    </row>
    <row r="41" spans="1:16" s="60" customFormat="1" ht="20.25" x14ac:dyDescent="0.3">
      <c r="A41" s="59"/>
      <c r="B41" s="59"/>
      <c r="F41" s="61"/>
    </row>
    <row r="42" spans="1:16" ht="15.75" x14ac:dyDescent="0.2">
      <c r="A42" s="62"/>
      <c r="B42" s="62"/>
    </row>
    <row r="43" spans="1:16" ht="15.75" x14ac:dyDescent="0.2">
      <c r="A43" s="720"/>
      <c r="B43" s="720"/>
    </row>
    <row r="44" spans="1:16" ht="15.75" x14ac:dyDescent="0.25">
      <c r="A44" s="1"/>
    </row>
  </sheetData>
  <mergeCells count="15">
    <mergeCell ref="D6:E6"/>
    <mergeCell ref="A24:F24"/>
    <mergeCell ref="A31:F31"/>
    <mergeCell ref="A43:B43"/>
    <mergeCell ref="D14:E14"/>
    <mergeCell ref="A16:F16"/>
    <mergeCell ref="A20:A22"/>
    <mergeCell ref="B20:B22"/>
    <mergeCell ref="C20:C22"/>
    <mergeCell ref="D20:D22"/>
    <mergeCell ref="E20:F20"/>
    <mergeCell ref="E21:E22"/>
    <mergeCell ref="F21:F22"/>
    <mergeCell ref="E40:F40"/>
    <mergeCell ref="A40:B40"/>
  </mergeCells>
  <pageMargins left="1.1811023622047245" right="0.59055118110236227" top="0.78740157480314965" bottom="0.78740157480314965"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60"/>
  <sheetViews>
    <sheetView view="pageBreakPreview" topLeftCell="A109" zoomScale="88" zoomScaleNormal="100" zoomScaleSheetLayoutView="88" workbookViewId="0">
      <selection activeCell="F112" sqref="F112"/>
    </sheetView>
  </sheetViews>
  <sheetFormatPr defaultColWidth="8.85546875" defaultRowHeight="15.75" x14ac:dyDescent="0.25"/>
  <cols>
    <col min="1" max="3" width="12.140625" style="275" customWidth="1"/>
    <col min="4" max="4" width="40.7109375" style="276" customWidth="1"/>
    <col min="5" max="8" width="15.7109375" style="276" customWidth="1"/>
    <col min="9" max="15" width="15.7109375" style="277" customWidth="1"/>
    <col min="16" max="16" width="15.7109375" style="276" customWidth="1"/>
    <col min="17" max="16384" width="8.85546875" style="1"/>
  </cols>
  <sheetData>
    <row r="1" spans="1:17" x14ac:dyDescent="0.25">
      <c r="N1" s="3" t="s">
        <v>213</v>
      </c>
      <c r="O1" s="4"/>
    </row>
    <row r="2" spans="1:17" x14ac:dyDescent="0.25">
      <c r="N2" s="3" t="s">
        <v>359</v>
      </c>
      <c r="O2" s="4"/>
    </row>
    <row r="3" spans="1:17" x14ac:dyDescent="0.25">
      <c r="N3" s="3" t="s">
        <v>609</v>
      </c>
      <c r="O3" s="4"/>
    </row>
    <row r="4" spans="1:17" x14ac:dyDescent="0.25">
      <c r="N4" s="367" t="s">
        <v>681</v>
      </c>
      <c r="O4" s="7"/>
    </row>
    <row r="5" spans="1:17" x14ac:dyDescent="0.25">
      <c r="N5" s="6" t="s">
        <v>682</v>
      </c>
      <c r="O5" s="368"/>
    </row>
    <row r="6" spans="1:17" x14ac:dyDescent="0.25">
      <c r="N6" s="698" t="s">
        <v>579</v>
      </c>
      <c r="O6" s="698"/>
    </row>
    <row r="7" spans="1:17" x14ac:dyDescent="0.25">
      <c r="K7" s="276"/>
      <c r="L7" s="276"/>
      <c r="M7" s="276"/>
      <c r="N7" s="744" t="s">
        <v>412</v>
      </c>
      <c r="O7" s="744"/>
      <c r="P7" s="744"/>
      <c r="Q7" s="2"/>
    </row>
    <row r="8" spans="1:17" x14ac:dyDescent="0.25">
      <c r="K8" s="276"/>
      <c r="L8" s="276"/>
      <c r="M8" s="276"/>
      <c r="N8" s="745" t="s">
        <v>361</v>
      </c>
      <c r="O8" s="745"/>
      <c r="P8" s="745"/>
      <c r="Q8" s="231"/>
    </row>
    <row r="9" spans="1:17" x14ac:dyDescent="0.25">
      <c r="K9" s="276"/>
      <c r="L9" s="276"/>
      <c r="M9" s="276"/>
      <c r="N9" s="745" t="s">
        <v>8</v>
      </c>
      <c r="O9" s="745"/>
      <c r="P9" s="745"/>
      <c r="Q9" s="231"/>
    </row>
    <row r="10" spans="1:17" x14ac:dyDescent="0.25">
      <c r="K10" s="276"/>
      <c r="L10" s="276"/>
      <c r="M10" s="276"/>
      <c r="N10" s="745" t="s">
        <v>315</v>
      </c>
      <c r="O10" s="745"/>
      <c r="P10" s="745"/>
      <c r="Q10" s="231"/>
    </row>
    <row r="11" spans="1:17" x14ac:dyDescent="0.25">
      <c r="K11" s="276"/>
      <c r="L11" s="276"/>
      <c r="M11" s="276"/>
      <c r="N11" s="746" t="s">
        <v>371</v>
      </c>
      <c r="O11" s="746"/>
      <c r="P11" s="746"/>
      <c r="Q11" s="231"/>
    </row>
    <row r="12" spans="1:17" x14ac:dyDescent="0.25">
      <c r="K12" s="276"/>
      <c r="L12" s="276"/>
      <c r="M12" s="276"/>
      <c r="N12" s="747" t="s">
        <v>373</v>
      </c>
      <c r="O12" s="747"/>
      <c r="P12" s="747"/>
      <c r="Q12" s="231"/>
    </row>
    <row r="13" spans="1:17" x14ac:dyDescent="0.25">
      <c r="K13" s="276"/>
      <c r="L13" s="276"/>
      <c r="M13" s="276"/>
      <c r="N13" s="745" t="s">
        <v>413</v>
      </c>
      <c r="O13" s="745"/>
      <c r="P13" s="745"/>
      <c r="Q13" s="61"/>
    </row>
    <row r="14" spans="1:17" x14ac:dyDescent="0.25">
      <c r="A14" s="735" t="s">
        <v>214</v>
      </c>
      <c r="B14" s="736"/>
      <c r="C14" s="736"/>
      <c r="D14" s="736"/>
      <c r="E14" s="736"/>
      <c r="F14" s="736"/>
      <c r="G14" s="736"/>
      <c r="H14" s="736"/>
      <c r="I14" s="736"/>
      <c r="J14" s="736"/>
      <c r="K14" s="736"/>
      <c r="L14" s="736"/>
      <c r="M14" s="736"/>
      <c r="N14" s="736"/>
      <c r="O14" s="736"/>
      <c r="P14" s="736"/>
    </row>
    <row r="15" spans="1:17" x14ac:dyDescent="0.25">
      <c r="A15" s="735" t="s">
        <v>312</v>
      </c>
      <c r="B15" s="736"/>
      <c r="C15" s="736"/>
      <c r="D15" s="736"/>
      <c r="E15" s="736"/>
      <c r="F15" s="736"/>
      <c r="G15" s="736"/>
      <c r="H15" s="736"/>
      <c r="I15" s="736"/>
      <c r="J15" s="736"/>
      <c r="K15" s="736"/>
      <c r="L15" s="736"/>
      <c r="M15" s="736"/>
      <c r="N15" s="736"/>
      <c r="O15" s="736"/>
      <c r="P15" s="736"/>
    </row>
    <row r="16" spans="1:17" x14ac:dyDescent="0.25">
      <c r="A16" s="278" t="s">
        <v>211</v>
      </c>
    </row>
    <row r="17" spans="1:16" ht="17.45" customHeight="1" thickBot="1" x14ac:dyDescent="0.3">
      <c r="A17" s="275" t="s">
        <v>0</v>
      </c>
      <c r="P17" s="277" t="s">
        <v>9</v>
      </c>
    </row>
    <row r="18" spans="1:16" s="232" customFormat="1" ht="12.75" x14ac:dyDescent="0.2">
      <c r="A18" s="737" t="s">
        <v>10</v>
      </c>
      <c r="B18" s="739" t="s">
        <v>11</v>
      </c>
      <c r="C18" s="739" t="s">
        <v>12</v>
      </c>
      <c r="D18" s="739" t="s">
        <v>13</v>
      </c>
      <c r="E18" s="739" t="s">
        <v>3</v>
      </c>
      <c r="F18" s="739"/>
      <c r="G18" s="739"/>
      <c r="H18" s="739"/>
      <c r="I18" s="739"/>
      <c r="J18" s="739" t="s">
        <v>4</v>
      </c>
      <c r="K18" s="739"/>
      <c r="L18" s="739"/>
      <c r="M18" s="739"/>
      <c r="N18" s="739"/>
      <c r="O18" s="739"/>
      <c r="P18" s="741" t="s">
        <v>215</v>
      </c>
    </row>
    <row r="19" spans="1:16" s="232" customFormat="1" ht="12.75" x14ac:dyDescent="0.2">
      <c r="A19" s="738"/>
      <c r="B19" s="740"/>
      <c r="C19" s="740"/>
      <c r="D19" s="740"/>
      <c r="E19" s="740" t="s">
        <v>5</v>
      </c>
      <c r="F19" s="740" t="s">
        <v>14</v>
      </c>
      <c r="G19" s="740" t="s">
        <v>216</v>
      </c>
      <c r="H19" s="740"/>
      <c r="I19" s="743" t="s">
        <v>217</v>
      </c>
      <c r="J19" s="740" t="s">
        <v>5</v>
      </c>
      <c r="K19" s="740" t="s">
        <v>6</v>
      </c>
      <c r="L19" s="740" t="s">
        <v>14</v>
      </c>
      <c r="M19" s="740" t="s">
        <v>216</v>
      </c>
      <c r="N19" s="740"/>
      <c r="O19" s="740" t="s">
        <v>217</v>
      </c>
      <c r="P19" s="742"/>
    </row>
    <row r="20" spans="1:16" s="232" customFormat="1" ht="12.75" x14ac:dyDescent="0.2">
      <c r="A20" s="738"/>
      <c r="B20" s="740"/>
      <c r="C20" s="740"/>
      <c r="D20" s="740"/>
      <c r="E20" s="740"/>
      <c r="F20" s="740"/>
      <c r="G20" s="740" t="s">
        <v>268</v>
      </c>
      <c r="H20" s="740" t="s">
        <v>218</v>
      </c>
      <c r="I20" s="743"/>
      <c r="J20" s="740"/>
      <c r="K20" s="740"/>
      <c r="L20" s="740"/>
      <c r="M20" s="740" t="s">
        <v>268</v>
      </c>
      <c r="N20" s="740" t="s">
        <v>218</v>
      </c>
      <c r="O20" s="740"/>
      <c r="P20" s="742"/>
    </row>
    <row r="21" spans="1:16" s="232" customFormat="1" ht="55.9" customHeight="1" x14ac:dyDescent="0.2">
      <c r="A21" s="738"/>
      <c r="B21" s="740"/>
      <c r="C21" s="740"/>
      <c r="D21" s="740"/>
      <c r="E21" s="740"/>
      <c r="F21" s="740"/>
      <c r="G21" s="740"/>
      <c r="H21" s="740"/>
      <c r="I21" s="743"/>
      <c r="J21" s="740"/>
      <c r="K21" s="740"/>
      <c r="L21" s="740"/>
      <c r="M21" s="740"/>
      <c r="N21" s="740"/>
      <c r="O21" s="740"/>
      <c r="P21" s="742"/>
    </row>
    <row r="22" spans="1:16" ht="16.5" thickBot="1" x14ac:dyDescent="0.3">
      <c r="A22" s="267">
        <v>1</v>
      </c>
      <c r="B22" s="268">
        <v>2</v>
      </c>
      <c r="C22" s="268">
        <v>3</v>
      </c>
      <c r="D22" s="268">
        <v>4</v>
      </c>
      <c r="E22" s="268">
        <v>5</v>
      </c>
      <c r="F22" s="268">
        <v>6</v>
      </c>
      <c r="G22" s="268">
        <v>7</v>
      </c>
      <c r="H22" s="268">
        <v>8</v>
      </c>
      <c r="I22" s="279">
        <v>9</v>
      </c>
      <c r="J22" s="279">
        <v>10</v>
      </c>
      <c r="K22" s="279">
        <v>11</v>
      </c>
      <c r="L22" s="279">
        <v>12</v>
      </c>
      <c r="M22" s="279">
        <v>13</v>
      </c>
      <c r="N22" s="279">
        <v>14</v>
      </c>
      <c r="O22" s="279">
        <v>15</v>
      </c>
      <c r="P22" s="280">
        <v>16</v>
      </c>
    </row>
    <row r="23" spans="1:16" ht="48" thickBot="1" x14ac:dyDescent="0.3">
      <c r="A23" s="262" t="s">
        <v>15</v>
      </c>
      <c r="B23" s="263" t="s">
        <v>16</v>
      </c>
      <c r="C23" s="263" t="s">
        <v>16</v>
      </c>
      <c r="D23" s="265" t="s">
        <v>367</v>
      </c>
      <c r="E23" s="281">
        <f>E24</f>
        <v>128681474</v>
      </c>
      <c r="F23" s="281">
        <f>F24</f>
        <v>128681474</v>
      </c>
      <c r="G23" s="281">
        <f t="shared" ref="G23:I23" si="0">G24</f>
        <v>28641455</v>
      </c>
      <c r="H23" s="281">
        <f t="shared" si="0"/>
        <v>2562493</v>
      </c>
      <c r="I23" s="282">
        <f t="shared" si="0"/>
        <v>0</v>
      </c>
      <c r="J23" s="282">
        <f>J24</f>
        <v>23422413</v>
      </c>
      <c r="K23" s="282">
        <f t="shared" ref="K23:O23" si="1">K24</f>
        <v>23422413</v>
      </c>
      <c r="L23" s="282">
        <f t="shared" si="1"/>
        <v>0</v>
      </c>
      <c r="M23" s="282">
        <f t="shared" si="1"/>
        <v>0</v>
      </c>
      <c r="N23" s="282">
        <f t="shared" si="1"/>
        <v>0</v>
      </c>
      <c r="O23" s="282">
        <f t="shared" si="1"/>
        <v>23422413</v>
      </c>
      <c r="P23" s="667">
        <f t="shared" ref="P23:P65" si="2">E23+J23</f>
        <v>152103887</v>
      </c>
    </row>
    <row r="24" spans="1:16" ht="47.25" x14ac:dyDescent="0.25">
      <c r="A24" s="283" t="s">
        <v>17</v>
      </c>
      <c r="B24" s="284" t="s">
        <v>16</v>
      </c>
      <c r="C24" s="284" t="s">
        <v>16</v>
      </c>
      <c r="D24" s="285" t="s">
        <v>367</v>
      </c>
      <c r="E24" s="286">
        <f>E25+E27+E28+E30+E33+E35+E36+E38+E26+E29+E39+E34+E40+E37</f>
        <v>128681474</v>
      </c>
      <c r="F24" s="286">
        <f>F25+F27+F28+F30+F33+F35+F36+F38+F26+F29+F39+F34+F40+F37</f>
        <v>128681474</v>
      </c>
      <c r="G24" s="286">
        <f>G25+G27+G28+G30+G33+G35+G36+G38+G26+G29</f>
        <v>28641455</v>
      </c>
      <c r="H24" s="286">
        <f>H25+H27+H28+H30+H33+H35+H36+H38+H26+H29+H34</f>
        <v>2562493</v>
      </c>
      <c r="I24" s="287">
        <f>I25+I27+I28+I30+I33+I35+I36+I38+I26+I29</f>
        <v>0</v>
      </c>
      <c r="J24" s="287">
        <f>J25+J26+J27+J29+J30+J31+J32+J33+J35+J36+J36+J38+J28+J37+J40</f>
        <v>23422413</v>
      </c>
      <c r="K24" s="287">
        <f>K25+K26+K27+K29+K30+K31+K32+K33+K35+K36+K36+K38+K28+K37+K40</f>
        <v>23422413</v>
      </c>
      <c r="L24" s="287">
        <f t="shared" ref="L24:N24" si="3">L25+L26+L27+L29+L30+L31+L32+L33+L35+L36+L36+L38+L28</f>
        <v>0</v>
      </c>
      <c r="M24" s="287">
        <f t="shared" si="3"/>
        <v>0</v>
      </c>
      <c r="N24" s="287">
        <f t="shared" si="3"/>
        <v>0</v>
      </c>
      <c r="O24" s="287">
        <f>O25+O26+O27+O29+O30+O31+O32+O33+O35+O36+O36+O38+O28+O37+O40</f>
        <v>23422413</v>
      </c>
      <c r="P24" s="668">
        <f>E24+J24</f>
        <v>152103887</v>
      </c>
    </row>
    <row r="25" spans="1:16" ht="94.5" x14ac:dyDescent="0.25">
      <c r="A25" s="566" t="s">
        <v>219</v>
      </c>
      <c r="B25" s="567" t="s">
        <v>220</v>
      </c>
      <c r="C25" s="567" t="s">
        <v>18</v>
      </c>
      <c r="D25" s="176" t="s">
        <v>221</v>
      </c>
      <c r="E25" s="270">
        <f>F25+I25</f>
        <v>34708872</v>
      </c>
      <c r="F25" s="270">
        <f>34654250-665250+144563-395641+970950</f>
        <v>34708872</v>
      </c>
      <c r="G25" s="270">
        <f>27687920+953535</f>
        <v>28641455</v>
      </c>
      <c r="H25" s="270">
        <f>2738106+144563-395641+17415</f>
        <v>2504443</v>
      </c>
      <c r="I25" s="8">
        <v>0</v>
      </c>
      <c r="J25" s="287">
        <f>L25+O25</f>
        <v>0</v>
      </c>
      <c r="K25" s="8"/>
      <c r="L25" s="8"/>
      <c r="M25" s="8">
        <v>0</v>
      </c>
      <c r="N25" s="8">
        <v>0</v>
      </c>
      <c r="O25" s="8"/>
      <c r="P25" s="669">
        <f t="shared" ref="P25:P40" si="4">E25+J25</f>
        <v>34708872</v>
      </c>
    </row>
    <row r="26" spans="1:16" ht="31.5" x14ac:dyDescent="0.25">
      <c r="A26" s="289" t="s">
        <v>316</v>
      </c>
      <c r="B26" s="288" t="s">
        <v>267</v>
      </c>
      <c r="C26" s="567">
        <v>133</v>
      </c>
      <c r="D26" s="176" t="s">
        <v>286</v>
      </c>
      <c r="E26" s="270">
        <f>F26+I26</f>
        <v>165900</v>
      </c>
      <c r="F26" s="270">
        <f>107400+58500</f>
        <v>165900</v>
      </c>
      <c r="G26" s="270">
        <v>0</v>
      </c>
      <c r="H26" s="270">
        <v>0</v>
      </c>
      <c r="I26" s="8">
        <v>0</v>
      </c>
      <c r="J26" s="287">
        <f t="shared" ref="J26:J40" si="5">L26+O26</f>
        <v>0</v>
      </c>
      <c r="K26" s="8"/>
      <c r="L26" s="8"/>
      <c r="M26" s="8"/>
      <c r="N26" s="8"/>
      <c r="O26" s="8"/>
      <c r="P26" s="669">
        <f t="shared" si="4"/>
        <v>165900</v>
      </c>
    </row>
    <row r="27" spans="1:16" ht="31.5" x14ac:dyDescent="0.25">
      <c r="A27" s="566" t="s">
        <v>19</v>
      </c>
      <c r="B27" s="567" t="s">
        <v>20</v>
      </c>
      <c r="C27" s="567" t="s">
        <v>21</v>
      </c>
      <c r="D27" s="176" t="s">
        <v>22</v>
      </c>
      <c r="E27" s="270">
        <f t="shared" ref="E27:E40" si="6">F27+I27</f>
        <v>24792425</v>
      </c>
      <c r="F27" s="270">
        <f>24456802+335623</f>
        <v>24792425</v>
      </c>
      <c r="G27" s="270">
        <v>0</v>
      </c>
      <c r="H27" s="270">
        <v>0</v>
      </c>
      <c r="I27" s="8">
        <v>0</v>
      </c>
      <c r="J27" s="287">
        <f t="shared" si="5"/>
        <v>79894</v>
      </c>
      <c r="K27" s="8">
        <f>O27</f>
        <v>79894</v>
      </c>
      <c r="L27" s="8">
        <v>0</v>
      </c>
      <c r="M27" s="8">
        <v>0</v>
      </c>
      <c r="N27" s="8">
        <v>0</v>
      </c>
      <c r="O27" s="8">
        <f>1548687-1468793</f>
        <v>79894</v>
      </c>
      <c r="P27" s="669">
        <f t="shared" si="4"/>
        <v>24872319</v>
      </c>
    </row>
    <row r="28" spans="1:16" ht="63" x14ac:dyDescent="0.25">
      <c r="A28" s="566" t="s">
        <v>23</v>
      </c>
      <c r="B28" s="567" t="s">
        <v>24</v>
      </c>
      <c r="C28" s="567" t="s">
        <v>25</v>
      </c>
      <c r="D28" s="176" t="s">
        <v>26</v>
      </c>
      <c r="E28" s="270">
        <f t="shared" si="6"/>
        <v>880094</v>
      </c>
      <c r="F28" s="270">
        <f>829404+50690</f>
        <v>880094</v>
      </c>
      <c r="G28" s="270">
        <v>0</v>
      </c>
      <c r="H28" s="270">
        <v>0</v>
      </c>
      <c r="I28" s="8">
        <v>0</v>
      </c>
      <c r="J28" s="287">
        <f t="shared" si="5"/>
        <v>259898</v>
      </c>
      <c r="K28" s="8">
        <f>O28</f>
        <v>259898</v>
      </c>
      <c r="L28" s="8">
        <v>0</v>
      </c>
      <c r="M28" s="8">
        <v>0</v>
      </c>
      <c r="N28" s="8">
        <v>0</v>
      </c>
      <c r="O28" s="8">
        <f>0+173298+86600</f>
        <v>259898</v>
      </c>
      <c r="P28" s="669">
        <f t="shared" si="4"/>
        <v>1139992</v>
      </c>
    </row>
    <row r="29" spans="1:16" ht="31.5" x14ac:dyDescent="0.25">
      <c r="A29" s="289" t="s">
        <v>274</v>
      </c>
      <c r="B29" s="567">
        <v>2152</v>
      </c>
      <c r="C29" s="288" t="s">
        <v>275</v>
      </c>
      <c r="D29" s="176" t="s">
        <v>287</v>
      </c>
      <c r="E29" s="270">
        <f t="shared" si="6"/>
        <v>3047512</v>
      </c>
      <c r="F29" s="270">
        <f>2932512-117000+232000</f>
        <v>3047512</v>
      </c>
      <c r="G29" s="270">
        <v>0</v>
      </c>
      <c r="H29" s="270">
        <v>0</v>
      </c>
      <c r="I29" s="8">
        <v>0</v>
      </c>
      <c r="J29" s="287">
        <f t="shared" si="5"/>
        <v>0</v>
      </c>
      <c r="K29" s="8">
        <f t="shared" ref="K29:K30" si="7">O29</f>
        <v>0</v>
      </c>
      <c r="L29" s="8"/>
      <c r="M29" s="8"/>
      <c r="N29" s="8"/>
      <c r="O29" s="8"/>
      <c r="P29" s="669">
        <f t="shared" si="4"/>
        <v>3047512</v>
      </c>
    </row>
    <row r="30" spans="1:16" ht="31.5" x14ac:dyDescent="0.25">
      <c r="A30" s="566" t="s">
        <v>30</v>
      </c>
      <c r="B30" s="567" t="s">
        <v>31</v>
      </c>
      <c r="C30" s="567" t="s">
        <v>32</v>
      </c>
      <c r="D30" s="176" t="s">
        <v>33</v>
      </c>
      <c r="E30" s="270">
        <f t="shared" si="6"/>
        <v>177516</v>
      </c>
      <c r="F30" s="270">
        <f>155496+23379-1359</f>
        <v>177516</v>
      </c>
      <c r="G30" s="270">
        <v>0</v>
      </c>
      <c r="H30" s="270">
        <v>0</v>
      </c>
      <c r="I30" s="8">
        <v>0</v>
      </c>
      <c r="J30" s="287">
        <f t="shared" si="5"/>
        <v>683798</v>
      </c>
      <c r="K30" s="8">
        <f t="shared" si="7"/>
        <v>683798</v>
      </c>
      <c r="L30" s="8">
        <v>0</v>
      </c>
      <c r="M30" s="8">
        <v>0</v>
      </c>
      <c r="N30" s="8">
        <v>0</v>
      </c>
      <c r="O30" s="8">
        <f>657194+26604</f>
        <v>683798</v>
      </c>
      <c r="P30" s="669">
        <f t="shared" si="4"/>
        <v>861314</v>
      </c>
    </row>
    <row r="31" spans="1:16" ht="32.25" customHeight="1" x14ac:dyDescent="0.25">
      <c r="A31" s="289" t="s">
        <v>288</v>
      </c>
      <c r="B31" s="288">
        <v>7650</v>
      </c>
      <c r="C31" s="288" t="s">
        <v>224</v>
      </c>
      <c r="D31" s="176" t="s">
        <v>289</v>
      </c>
      <c r="E31" s="270">
        <f t="shared" si="6"/>
        <v>0</v>
      </c>
      <c r="F31" s="270">
        <v>0</v>
      </c>
      <c r="G31" s="270">
        <v>0</v>
      </c>
      <c r="H31" s="270">
        <v>0</v>
      </c>
      <c r="I31" s="8">
        <v>0</v>
      </c>
      <c r="J31" s="287">
        <f t="shared" si="5"/>
        <v>57000</v>
      </c>
      <c r="K31" s="8">
        <v>57000</v>
      </c>
      <c r="L31" s="8">
        <v>0</v>
      </c>
      <c r="M31" s="8"/>
      <c r="N31" s="8"/>
      <c r="O31" s="8">
        <v>57000</v>
      </c>
      <c r="P31" s="669">
        <f t="shared" si="4"/>
        <v>57000</v>
      </c>
    </row>
    <row r="32" spans="1:16" ht="80.25" customHeight="1" x14ac:dyDescent="0.25">
      <c r="A32" s="289" t="s">
        <v>290</v>
      </c>
      <c r="B32" s="288" t="s">
        <v>291</v>
      </c>
      <c r="C32" s="288" t="s">
        <v>224</v>
      </c>
      <c r="D32" s="176" t="s">
        <v>292</v>
      </c>
      <c r="E32" s="270">
        <f t="shared" si="6"/>
        <v>0</v>
      </c>
      <c r="F32" s="270">
        <v>0</v>
      </c>
      <c r="G32" s="270">
        <v>0</v>
      </c>
      <c r="H32" s="270">
        <v>0</v>
      </c>
      <c r="I32" s="8">
        <v>0</v>
      </c>
      <c r="J32" s="287">
        <f t="shared" si="5"/>
        <v>15200</v>
      </c>
      <c r="K32" s="8">
        <v>15200</v>
      </c>
      <c r="L32" s="8">
        <v>0</v>
      </c>
      <c r="M32" s="8"/>
      <c r="N32" s="8"/>
      <c r="O32" s="8">
        <v>15200</v>
      </c>
      <c r="P32" s="669">
        <f t="shared" si="4"/>
        <v>15200</v>
      </c>
    </row>
    <row r="33" spans="1:16" ht="31.5" x14ac:dyDescent="0.25">
      <c r="A33" s="566" t="s">
        <v>222</v>
      </c>
      <c r="B33" s="567" t="s">
        <v>223</v>
      </c>
      <c r="C33" s="567" t="s">
        <v>224</v>
      </c>
      <c r="D33" s="176" t="s">
        <v>225</v>
      </c>
      <c r="E33" s="270">
        <f t="shared" si="6"/>
        <v>40031</v>
      </c>
      <c r="F33" s="270">
        <v>40031</v>
      </c>
      <c r="G33" s="270">
        <v>0</v>
      </c>
      <c r="H33" s="270">
        <v>0</v>
      </c>
      <c r="I33" s="8">
        <v>0</v>
      </c>
      <c r="J33" s="287">
        <f t="shared" si="5"/>
        <v>0</v>
      </c>
      <c r="K33" s="8">
        <v>0</v>
      </c>
      <c r="L33" s="8">
        <v>0</v>
      </c>
      <c r="M33" s="8">
        <v>0</v>
      </c>
      <c r="N33" s="8">
        <v>0</v>
      </c>
      <c r="O33" s="8">
        <v>0</v>
      </c>
      <c r="P33" s="669">
        <f t="shared" si="4"/>
        <v>40031</v>
      </c>
    </row>
    <row r="34" spans="1:16" ht="47.25" x14ac:dyDescent="0.25">
      <c r="A34" s="289" t="s">
        <v>583</v>
      </c>
      <c r="B34" s="567">
        <v>8110</v>
      </c>
      <c r="C34" s="288" t="s">
        <v>277</v>
      </c>
      <c r="D34" s="176" t="s">
        <v>278</v>
      </c>
      <c r="E34" s="270">
        <f t="shared" si="6"/>
        <v>714150</v>
      </c>
      <c r="F34" s="270">
        <f>676200-20100+58050</f>
        <v>714150</v>
      </c>
      <c r="G34" s="270"/>
      <c r="H34" s="270">
        <f>0+58050</f>
        <v>58050</v>
      </c>
      <c r="I34" s="8"/>
      <c r="J34" s="287"/>
      <c r="K34" s="8"/>
      <c r="L34" s="8"/>
      <c r="M34" s="8"/>
      <c r="N34" s="8"/>
      <c r="O34" s="8"/>
      <c r="P34" s="669">
        <f t="shared" si="4"/>
        <v>714150</v>
      </c>
    </row>
    <row r="35" spans="1:16" ht="31.5" x14ac:dyDescent="0.25">
      <c r="A35" s="566" t="s">
        <v>34</v>
      </c>
      <c r="B35" s="567" t="s">
        <v>35</v>
      </c>
      <c r="C35" s="567" t="s">
        <v>36</v>
      </c>
      <c r="D35" s="176" t="s">
        <v>37</v>
      </c>
      <c r="E35" s="270">
        <f t="shared" si="6"/>
        <v>9500</v>
      </c>
      <c r="F35" s="270">
        <f>406200-58500-338200</f>
        <v>9500</v>
      </c>
      <c r="G35" s="270">
        <v>0</v>
      </c>
      <c r="H35" s="270">
        <v>0</v>
      </c>
      <c r="I35" s="8">
        <v>0</v>
      </c>
      <c r="J35" s="287">
        <f t="shared" si="5"/>
        <v>0</v>
      </c>
      <c r="K35" s="8">
        <v>0</v>
      </c>
      <c r="L35" s="8">
        <v>0</v>
      </c>
      <c r="M35" s="8">
        <v>0</v>
      </c>
      <c r="N35" s="8">
        <v>0</v>
      </c>
      <c r="O35" s="8">
        <v>0</v>
      </c>
      <c r="P35" s="669">
        <f t="shared" si="4"/>
        <v>9500</v>
      </c>
    </row>
    <row r="36" spans="1:16" ht="31.5" x14ac:dyDescent="0.25">
      <c r="A36" s="566" t="s">
        <v>141</v>
      </c>
      <c r="B36" s="567" t="s">
        <v>226</v>
      </c>
      <c r="C36" s="567" t="s">
        <v>36</v>
      </c>
      <c r="D36" s="176" t="s">
        <v>142</v>
      </c>
      <c r="E36" s="270">
        <f t="shared" si="6"/>
        <v>18043353</v>
      </c>
      <c r="F36" s="270">
        <f>20158706-303595-800140-1011618</f>
        <v>18043353</v>
      </c>
      <c r="G36" s="270">
        <v>0</v>
      </c>
      <c r="H36" s="270">
        <v>0</v>
      </c>
      <c r="I36" s="8">
        <v>0</v>
      </c>
      <c r="J36" s="287">
        <f t="shared" si="5"/>
        <v>0</v>
      </c>
      <c r="K36" s="8">
        <v>0</v>
      </c>
      <c r="L36" s="8">
        <v>0</v>
      </c>
      <c r="M36" s="8">
        <v>0</v>
      </c>
      <c r="N36" s="8">
        <v>0</v>
      </c>
      <c r="O36" s="8">
        <v>0</v>
      </c>
      <c r="P36" s="669">
        <f t="shared" si="4"/>
        <v>18043353</v>
      </c>
    </row>
    <row r="37" spans="1:16" ht="31.5" x14ac:dyDescent="0.25">
      <c r="A37" s="289" t="s">
        <v>400</v>
      </c>
      <c r="B37" s="567">
        <v>8240</v>
      </c>
      <c r="C37" s="567" t="s">
        <v>36</v>
      </c>
      <c r="D37" s="176" t="s">
        <v>401</v>
      </c>
      <c r="E37" s="270">
        <f t="shared" si="6"/>
        <v>241072</v>
      </c>
      <c r="F37" s="270">
        <f>0+241072</f>
        <v>241072</v>
      </c>
      <c r="G37" s="270"/>
      <c r="H37" s="270"/>
      <c r="I37" s="8"/>
      <c r="J37" s="287">
        <f>L37+O37</f>
        <v>183598</v>
      </c>
      <c r="K37" s="8">
        <f>400444-216846</f>
        <v>183598</v>
      </c>
      <c r="L37" s="8"/>
      <c r="M37" s="8"/>
      <c r="N37" s="8"/>
      <c r="O37" s="8">
        <f>400444-216846</f>
        <v>183598</v>
      </c>
      <c r="P37" s="669">
        <f t="shared" si="4"/>
        <v>424670</v>
      </c>
    </row>
    <row r="38" spans="1:16" ht="35.450000000000003" customHeight="1" x14ac:dyDescent="0.25">
      <c r="A38" s="566" t="s">
        <v>38</v>
      </c>
      <c r="B38" s="567" t="s">
        <v>39</v>
      </c>
      <c r="C38" s="567" t="s">
        <v>40</v>
      </c>
      <c r="D38" s="176" t="s">
        <v>381</v>
      </c>
      <c r="E38" s="270">
        <f t="shared" si="6"/>
        <v>3644210</v>
      </c>
      <c r="F38" s="270">
        <f>3582707+490356-490356+61503</f>
        <v>3644210</v>
      </c>
      <c r="G38" s="270">
        <v>0</v>
      </c>
      <c r="H38" s="270">
        <v>0</v>
      </c>
      <c r="I38" s="8">
        <v>0</v>
      </c>
      <c r="J38" s="287">
        <f t="shared" si="5"/>
        <v>0</v>
      </c>
      <c r="K38" s="8">
        <v>0</v>
      </c>
      <c r="L38" s="8">
        <v>0</v>
      </c>
      <c r="M38" s="8">
        <v>0</v>
      </c>
      <c r="N38" s="8">
        <v>0</v>
      </c>
      <c r="O38" s="8">
        <v>0</v>
      </c>
      <c r="P38" s="669">
        <f t="shared" si="4"/>
        <v>3644210</v>
      </c>
    </row>
    <row r="39" spans="1:16" ht="35.450000000000003" customHeight="1" x14ac:dyDescent="0.25">
      <c r="A39" s="289" t="s">
        <v>389</v>
      </c>
      <c r="B39" s="567">
        <v>9770</v>
      </c>
      <c r="C39" s="288" t="s">
        <v>267</v>
      </c>
      <c r="D39" s="176" t="s">
        <v>383</v>
      </c>
      <c r="E39" s="270">
        <f t="shared" si="6"/>
        <v>30000000</v>
      </c>
      <c r="F39" s="270">
        <v>30000000</v>
      </c>
      <c r="G39" s="270"/>
      <c r="H39" s="270"/>
      <c r="I39" s="8"/>
      <c r="J39" s="517">
        <f t="shared" si="5"/>
        <v>0</v>
      </c>
      <c r="K39" s="8"/>
      <c r="L39" s="8"/>
      <c r="M39" s="8"/>
      <c r="N39" s="8"/>
      <c r="O39" s="8">
        <v>0</v>
      </c>
      <c r="P39" s="670">
        <f t="shared" si="4"/>
        <v>30000000</v>
      </c>
    </row>
    <row r="40" spans="1:16" ht="76.900000000000006" customHeight="1" thickBot="1" x14ac:dyDescent="0.3">
      <c r="A40" s="355" t="s">
        <v>462</v>
      </c>
      <c r="B40" s="16">
        <v>9800</v>
      </c>
      <c r="C40" s="288" t="s">
        <v>267</v>
      </c>
      <c r="D40" s="256" t="s">
        <v>463</v>
      </c>
      <c r="E40" s="270">
        <f t="shared" si="6"/>
        <v>12216839</v>
      </c>
      <c r="F40" s="559">
        <f>8966839+3250000</f>
        <v>12216839</v>
      </c>
      <c r="G40" s="353"/>
      <c r="H40" s="353"/>
      <c r="I40" s="354"/>
      <c r="J40" s="517">
        <f t="shared" si="5"/>
        <v>22143025</v>
      </c>
      <c r="K40" s="354">
        <f>O40</f>
        <v>22143025</v>
      </c>
      <c r="L40" s="354"/>
      <c r="M40" s="354"/>
      <c r="N40" s="354"/>
      <c r="O40" s="429">
        <f>0+4560280+13196000+4636745-250000</f>
        <v>22143025</v>
      </c>
      <c r="P40" s="670">
        <f t="shared" si="4"/>
        <v>34359864</v>
      </c>
    </row>
    <row r="41" spans="1:16" ht="48" thickBot="1" x14ac:dyDescent="0.3">
      <c r="A41" s="262" t="s">
        <v>41</v>
      </c>
      <c r="B41" s="263" t="s">
        <v>16</v>
      </c>
      <c r="C41" s="263" t="s">
        <v>16</v>
      </c>
      <c r="D41" s="265" t="s">
        <v>390</v>
      </c>
      <c r="E41" s="290">
        <f>E42</f>
        <v>280916914</v>
      </c>
      <c r="F41" s="290">
        <f>F42</f>
        <v>280916914</v>
      </c>
      <c r="G41" s="290">
        <f t="shared" ref="G41:I41" si="8">G42</f>
        <v>213448237</v>
      </c>
      <c r="H41" s="290">
        <f t="shared" si="8"/>
        <v>29105163</v>
      </c>
      <c r="I41" s="290">
        <f t="shared" si="8"/>
        <v>0</v>
      </c>
      <c r="J41" s="290">
        <f>J42</f>
        <v>23411588</v>
      </c>
      <c r="K41" s="290">
        <f>K42</f>
        <v>5071553</v>
      </c>
      <c r="L41" s="290">
        <f t="shared" ref="L41:O41" si="9">L42</f>
        <v>18340035</v>
      </c>
      <c r="M41" s="290">
        <f>M42</f>
        <v>2186942</v>
      </c>
      <c r="N41" s="290">
        <f t="shared" si="9"/>
        <v>60976</v>
      </c>
      <c r="O41" s="290">
        <f t="shared" si="9"/>
        <v>5071553</v>
      </c>
      <c r="P41" s="291">
        <f t="shared" si="2"/>
        <v>304328502</v>
      </c>
    </row>
    <row r="42" spans="1:16" s="233" customFormat="1" ht="47.25" x14ac:dyDescent="0.25">
      <c r="A42" s="283" t="s">
        <v>42</v>
      </c>
      <c r="B42" s="284" t="s">
        <v>16</v>
      </c>
      <c r="C42" s="284" t="s">
        <v>16</v>
      </c>
      <c r="D42" s="285" t="s">
        <v>390</v>
      </c>
      <c r="E42" s="272">
        <f>E43+E44+E45+E50+E51+E52+E53+E54+E57+E55+E65+E60+E56+E47+E66+E61+E62+E49</f>
        <v>280916914</v>
      </c>
      <c r="F42" s="272">
        <f>F43+F44+F45+F50+F51+F52+F53+F54+F57+F55+F65+F60+F56+F47+F66+F61+F62+F49</f>
        <v>280916914</v>
      </c>
      <c r="G42" s="272">
        <f>G43+G44+G45+G50+G51+G52+G53+G54+G57+G55+G65+G60+G56+G47+G66</f>
        <v>213448237</v>
      </c>
      <c r="H42" s="272">
        <f>H43+H44+H45+H50+H51+H52+H53+H54+H57+H55+H65+H60+H56+H47+H66</f>
        <v>29105163</v>
      </c>
      <c r="I42" s="272">
        <f>I43+I44+I45+I50+I51+I52+I53+I54+I57</f>
        <v>0</v>
      </c>
      <c r="J42" s="272">
        <f>J43+J44+J45+J50+J51+J52+J53+J54+J57+J46+J58+J59+J66+J63+J48+J64</f>
        <v>23411588</v>
      </c>
      <c r="K42" s="272">
        <f>K43+K44+K45+K50+K51+K52+K53+K54+K57+K46+K58+K59+K66</f>
        <v>5071553</v>
      </c>
      <c r="L42" s="272">
        <f>L43+L44+L45+L50+L51+L52+L53+L54+L57+L46+L58+L59+L66+L63+L48+L64</f>
        <v>18340035</v>
      </c>
      <c r="M42" s="366">
        <f>M43+M44+M45+M50+M51+M52+M53+M54+M57+M46+M58+M59+M66+M64</f>
        <v>2186942</v>
      </c>
      <c r="N42" s="272">
        <f>N43+N44+N45+N50+N51+N52+N53+N54+N57+N46+N58+N59+N66</f>
        <v>60976</v>
      </c>
      <c r="O42" s="272">
        <f>O43+O44+O45+O50+O51+O52+O53+O54+O57+O46+O58+O59+O66</f>
        <v>5071553</v>
      </c>
      <c r="P42" s="292">
        <f>E42+J42</f>
        <v>304328502</v>
      </c>
    </row>
    <row r="43" spans="1:16" ht="47.25" x14ac:dyDescent="0.25">
      <c r="A43" s="566" t="s">
        <v>227</v>
      </c>
      <c r="B43" s="567" t="s">
        <v>43</v>
      </c>
      <c r="C43" s="567" t="s">
        <v>18</v>
      </c>
      <c r="D43" s="176" t="s">
        <v>228</v>
      </c>
      <c r="E43" s="270">
        <f>F43+I43</f>
        <v>5364445</v>
      </c>
      <c r="F43" s="270">
        <f>4916560-7661-115839+623995-52610</f>
        <v>5364445</v>
      </c>
      <c r="G43" s="270">
        <f>4157532+623995</f>
        <v>4781527</v>
      </c>
      <c r="H43" s="270">
        <f>193051-975</f>
        <v>192076</v>
      </c>
      <c r="I43" s="8">
        <v>0</v>
      </c>
      <c r="J43" s="8">
        <f>L43+O43</f>
        <v>49510</v>
      </c>
      <c r="K43" s="8">
        <f>O43</f>
        <v>49510</v>
      </c>
      <c r="L43" s="8">
        <v>0</v>
      </c>
      <c r="M43" s="8">
        <v>0</v>
      </c>
      <c r="N43" s="8">
        <v>0</v>
      </c>
      <c r="O43" s="8">
        <f>0+49510</f>
        <v>49510</v>
      </c>
      <c r="P43" s="293">
        <f t="shared" si="2"/>
        <v>5413955</v>
      </c>
    </row>
    <row r="44" spans="1:16" ht="27" customHeight="1" x14ac:dyDescent="0.25">
      <c r="A44" s="566" t="s">
        <v>44</v>
      </c>
      <c r="B44" s="567" t="s">
        <v>45</v>
      </c>
      <c r="C44" s="567" t="s">
        <v>46</v>
      </c>
      <c r="D44" s="176" t="s">
        <v>47</v>
      </c>
      <c r="E44" s="270">
        <f t="shared" ref="E44:E66" si="10">F44+I44</f>
        <v>87152947</v>
      </c>
      <c r="F44" s="270">
        <f>82730763+1653405-301381+95000-1281044+1278458-61425-385325+530000+2223572+48880+581304-17310+58050</f>
        <v>87152947</v>
      </c>
      <c r="G44" s="270">
        <f>50012246+11002694+1653405-301381-933159+2223572+581304</f>
        <v>64238681</v>
      </c>
      <c r="H44" s="270">
        <f>10027279-66436+48880+58050</f>
        <v>10067773</v>
      </c>
      <c r="I44" s="8">
        <v>0</v>
      </c>
      <c r="J44" s="8">
        <f>L44+O44</f>
        <v>2128492</v>
      </c>
      <c r="K44" s="8">
        <f>O44</f>
        <v>218008</v>
      </c>
      <c r="L44" s="8">
        <v>1910484</v>
      </c>
      <c r="M44" s="8">
        <v>0</v>
      </c>
      <c r="N44" s="8">
        <v>0</v>
      </c>
      <c r="O44" s="8">
        <f>61425+156583</f>
        <v>218008</v>
      </c>
      <c r="P44" s="293">
        <f t="shared" si="2"/>
        <v>89281439</v>
      </c>
    </row>
    <row r="45" spans="1:16" ht="31.5" x14ac:dyDescent="0.25">
      <c r="A45" s="566" t="s">
        <v>48</v>
      </c>
      <c r="B45" s="567" t="s">
        <v>49</v>
      </c>
      <c r="C45" s="567" t="s">
        <v>50</v>
      </c>
      <c r="D45" s="176" t="s">
        <v>51</v>
      </c>
      <c r="E45" s="270">
        <f t="shared" si="10"/>
        <v>72801153</v>
      </c>
      <c r="F45" s="270">
        <f>64264558+5817405-3500600-222289-86776+1100000+292423-49726+49726-49725+49725+1026434-691713+1199819+3697507-153665+58050</f>
        <v>72801153</v>
      </c>
      <c r="G45" s="270">
        <f>31907857+5817405+1026434+3697507</f>
        <v>42449203</v>
      </c>
      <c r="H45" s="270">
        <f>18011423-11479-99819-48880-30000-27400+58050</f>
        <v>17851895</v>
      </c>
      <c r="I45" s="8">
        <v>0</v>
      </c>
      <c r="J45" s="8">
        <f>L45+O45</f>
        <v>9658744</v>
      </c>
      <c r="K45" s="8">
        <f>0+703463+124530</f>
        <v>827993</v>
      </c>
      <c r="L45" s="8">
        <f>8830751</f>
        <v>8830751</v>
      </c>
      <c r="M45" s="8">
        <v>1981242</v>
      </c>
      <c r="N45" s="8">
        <v>60976</v>
      </c>
      <c r="O45" s="8">
        <f>0+703463+124530</f>
        <v>827993</v>
      </c>
      <c r="P45" s="293">
        <f>E45+J45</f>
        <v>82459897</v>
      </c>
    </row>
    <row r="46" spans="1:16" ht="78.75" x14ac:dyDescent="0.25">
      <c r="A46" s="289" t="s">
        <v>391</v>
      </c>
      <c r="B46" s="567">
        <v>1403</v>
      </c>
      <c r="C46" s="288" t="s">
        <v>56</v>
      </c>
      <c r="D46" s="176" t="s">
        <v>392</v>
      </c>
      <c r="E46" s="270">
        <f t="shared" si="10"/>
        <v>0</v>
      </c>
      <c r="F46" s="270"/>
      <c r="G46" s="270"/>
      <c r="H46" s="270"/>
      <c r="I46" s="8"/>
      <c r="J46" s="8">
        <f>L46+O46</f>
        <v>3500600</v>
      </c>
      <c r="K46" s="8"/>
      <c r="L46" s="8">
        <v>3500600</v>
      </c>
      <c r="M46" s="8"/>
      <c r="N46" s="8"/>
      <c r="O46" s="8"/>
      <c r="P46" s="293">
        <f>E46+J46</f>
        <v>3500600</v>
      </c>
    </row>
    <row r="47" spans="1:16" ht="78.75" x14ac:dyDescent="0.25">
      <c r="A47" s="289" t="s">
        <v>395</v>
      </c>
      <c r="B47" s="567">
        <v>1600</v>
      </c>
      <c r="C47" s="288" t="s">
        <v>56</v>
      </c>
      <c r="D47" s="176" t="s">
        <v>396</v>
      </c>
      <c r="E47" s="270">
        <f t="shared" si="10"/>
        <v>9379900</v>
      </c>
      <c r="F47" s="270">
        <f>3975300+5404600</f>
        <v>9379900</v>
      </c>
      <c r="G47" s="270">
        <f>3975300+5404600</f>
        <v>9379900</v>
      </c>
      <c r="H47" s="270"/>
      <c r="I47" s="8"/>
      <c r="J47" s="8">
        <f t="shared" ref="J47" si="11">L47+O47</f>
        <v>0</v>
      </c>
      <c r="K47" s="8"/>
      <c r="L47" s="8"/>
      <c r="M47" s="8"/>
      <c r="N47" s="8"/>
      <c r="O47" s="8"/>
      <c r="P47" s="293">
        <f>E47+J47</f>
        <v>9379900</v>
      </c>
    </row>
    <row r="48" spans="1:16" ht="94.5" x14ac:dyDescent="0.25">
      <c r="A48" s="289" t="s">
        <v>620</v>
      </c>
      <c r="B48" s="567">
        <v>1700</v>
      </c>
      <c r="C48" s="288" t="s">
        <v>56</v>
      </c>
      <c r="D48" s="176" t="s">
        <v>621</v>
      </c>
      <c r="E48" s="270"/>
      <c r="F48" s="270"/>
      <c r="G48" s="270"/>
      <c r="H48" s="270"/>
      <c r="I48" s="8"/>
      <c r="J48" s="8">
        <f>L48+O48</f>
        <v>1380800</v>
      </c>
      <c r="K48" s="8"/>
      <c r="L48" s="8">
        <v>1380800</v>
      </c>
      <c r="M48" s="8"/>
      <c r="N48" s="8"/>
      <c r="O48" s="8"/>
      <c r="P48" s="293">
        <f>E48+J48</f>
        <v>1380800</v>
      </c>
    </row>
    <row r="49" spans="1:16" ht="63" x14ac:dyDescent="0.25">
      <c r="A49" s="289" t="s">
        <v>616</v>
      </c>
      <c r="B49" s="567">
        <v>1702</v>
      </c>
      <c r="C49" s="288" t="s">
        <v>56</v>
      </c>
      <c r="D49" s="176" t="s">
        <v>617</v>
      </c>
      <c r="E49" s="270">
        <f t="shared" si="10"/>
        <v>8230500</v>
      </c>
      <c r="F49" s="270">
        <f>8230500</f>
        <v>8230500</v>
      </c>
      <c r="G49" s="270"/>
      <c r="H49" s="270"/>
      <c r="I49" s="8"/>
      <c r="J49" s="8">
        <f t="shared" ref="J49:J66" si="12">L49+O49</f>
        <v>0</v>
      </c>
      <c r="K49" s="8"/>
      <c r="L49" s="8"/>
      <c r="M49" s="8"/>
      <c r="N49" s="8"/>
      <c r="O49" s="8"/>
      <c r="P49" s="293">
        <f>E49+J49</f>
        <v>8230500</v>
      </c>
    </row>
    <row r="50" spans="1:16" ht="31.5" x14ac:dyDescent="0.25">
      <c r="A50" s="305" t="s">
        <v>229</v>
      </c>
      <c r="B50" s="306" t="s">
        <v>230</v>
      </c>
      <c r="C50" s="306" t="s">
        <v>50</v>
      </c>
      <c r="D50" s="248" t="s">
        <v>51</v>
      </c>
      <c r="E50" s="270">
        <f t="shared" si="10"/>
        <v>77435200</v>
      </c>
      <c r="F50" s="270">
        <f>51662400+25772800</f>
        <v>77435200</v>
      </c>
      <c r="G50" s="270">
        <f>F50</f>
        <v>77435200</v>
      </c>
      <c r="H50" s="8">
        <v>0</v>
      </c>
      <c r="I50" s="8">
        <v>0</v>
      </c>
      <c r="J50" s="8">
        <f t="shared" si="12"/>
        <v>0</v>
      </c>
      <c r="K50" s="8">
        <v>0</v>
      </c>
      <c r="L50" s="8">
        <v>0</v>
      </c>
      <c r="M50" s="8">
        <v>0</v>
      </c>
      <c r="N50" s="8">
        <v>0</v>
      </c>
      <c r="O50" s="8">
        <v>0</v>
      </c>
      <c r="P50" s="293">
        <f t="shared" si="2"/>
        <v>77435200</v>
      </c>
    </row>
    <row r="51" spans="1:16" ht="47.25" x14ac:dyDescent="0.25">
      <c r="A51" s="566" t="s">
        <v>52</v>
      </c>
      <c r="B51" s="567" t="s">
        <v>53</v>
      </c>
      <c r="C51" s="567" t="s">
        <v>54</v>
      </c>
      <c r="D51" s="176" t="s">
        <v>55</v>
      </c>
      <c r="E51" s="270">
        <f t="shared" si="10"/>
        <v>6282432</v>
      </c>
      <c r="F51" s="270">
        <f>5731771+435548-17167-52553+253492+30600-42763-56496</f>
        <v>6282432</v>
      </c>
      <c r="G51" s="270">
        <f>4582100+435548+253492-42763</f>
        <v>5228377</v>
      </c>
      <c r="H51" s="270">
        <f>437189-1302+1379</f>
        <v>437266</v>
      </c>
      <c r="I51" s="8">
        <v>0</v>
      </c>
      <c r="J51" s="8">
        <f t="shared" si="12"/>
        <v>43899</v>
      </c>
      <c r="K51" s="8">
        <f>O51</f>
        <v>43899</v>
      </c>
      <c r="L51" s="8">
        <v>0</v>
      </c>
      <c r="M51" s="8">
        <v>0</v>
      </c>
      <c r="N51" s="8">
        <v>0</v>
      </c>
      <c r="O51" s="8">
        <f>0+43899</f>
        <v>43899</v>
      </c>
      <c r="P51" s="293">
        <f t="shared" si="2"/>
        <v>6326331</v>
      </c>
    </row>
    <row r="52" spans="1:16" ht="31.5" x14ac:dyDescent="0.25">
      <c r="A52" s="566" t="s">
        <v>231</v>
      </c>
      <c r="B52" s="567" t="s">
        <v>232</v>
      </c>
      <c r="C52" s="567" t="s">
        <v>56</v>
      </c>
      <c r="D52" s="176" t="s">
        <v>233</v>
      </c>
      <c r="E52" s="270">
        <f t="shared" si="10"/>
        <v>5280944</v>
      </c>
      <c r="F52" s="270">
        <f>4957007-1517+325956-502</f>
        <v>5280944</v>
      </c>
      <c r="G52" s="270">
        <f>4556781+325956</f>
        <v>4882737</v>
      </c>
      <c r="H52" s="270">
        <f>192464-1517</f>
        <v>190947</v>
      </c>
      <c r="I52" s="8">
        <v>0</v>
      </c>
      <c r="J52" s="8">
        <f t="shared" si="12"/>
        <v>0</v>
      </c>
      <c r="K52" s="8">
        <v>0</v>
      </c>
      <c r="L52" s="8">
        <v>0</v>
      </c>
      <c r="M52" s="8">
        <v>0</v>
      </c>
      <c r="N52" s="8">
        <v>0</v>
      </c>
      <c r="O52" s="8">
        <v>0</v>
      </c>
      <c r="P52" s="293">
        <f t="shared" si="2"/>
        <v>5280944</v>
      </c>
    </row>
    <row r="53" spans="1:16" ht="21.75" customHeight="1" x14ac:dyDescent="0.25">
      <c r="A53" s="566" t="s">
        <v>57</v>
      </c>
      <c r="B53" s="567" t="s">
        <v>58</v>
      </c>
      <c r="C53" s="567" t="s">
        <v>56</v>
      </c>
      <c r="D53" s="176" t="s">
        <v>59</v>
      </c>
      <c r="E53" s="270">
        <f t="shared" si="10"/>
        <v>99030</v>
      </c>
      <c r="F53" s="270">
        <f>113122+70000-84092</f>
        <v>99030</v>
      </c>
      <c r="G53" s="270">
        <f t="shared" ref="G53" si="13">H53+K53</f>
        <v>0</v>
      </c>
      <c r="H53" s="8">
        <v>0</v>
      </c>
      <c r="I53" s="8">
        <v>0</v>
      </c>
      <c r="J53" s="8">
        <f t="shared" si="12"/>
        <v>0</v>
      </c>
      <c r="K53" s="8">
        <v>0</v>
      </c>
      <c r="L53" s="8">
        <v>0</v>
      </c>
      <c r="M53" s="8">
        <v>0</v>
      </c>
      <c r="N53" s="8">
        <v>0</v>
      </c>
      <c r="O53" s="8">
        <v>0</v>
      </c>
      <c r="P53" s="293">
        <f t="shared" si="2"/>
        <v>99030</v>
      </c>
    </row>
    <row r="54" spans="1:16" ht="47.25" x14ac:dyDescent="0.25">
      <c r="A54" s="566" t="s">
        <v>60</v>
      </c>
      <c r="B54" s="567" t="s">
        <v>61</v>
      </c>
      <c r="C54" s="567" t="s">
        <v>56</v>
      </c>
      <c r="D54" s="176" t="s">
        <v>62</v>
      </c>
      <c r="E54" s="270">
        <f t="shared" si="10"/>
        <v>1384387</v>
      </c>
      <c r="F54" s="270">
        <f>1237120+66612-6974+68228-25517+51344-6426</f>
        <v>1384387</v>
      </c>
      <c r="G54" s="270">
        <f>577332+127013+66612+68228+51344</f>
        <v>890529</v>
      </c>
      <c r="H54" s="270">
        <f>310038-1517</f>
        <v>308521</v>
      </c>
      <c r="I54" s="8">
        <v>0</v>
      </c>
      <c r="J54" s="8">
        <f t="shared" si="12"/>
        <v>0</v>
      </c>
      <c r="K54" s="8">
        <v>0</v>
      </c>
      <c r="L54" s="8">
        <v>0</v>
      </c>
      <c r="M54" s="8">
        <v>0</v>
      </c>
      <c r="N54" s="8">
        <v>0</v>
      </c>
      <c r="O54" s="8">
        <v>0</v>
      </c>
      <c r="P54" s="293">
        <f t="shared" si="2"/>
        <v>1384387</v>
      </c>
    </row>
    <row r="55" spans="1:16" ht="47.25" hidden="1" x14ac:dyDescent="0.25">
      <c r="A55" s="90" t="s">
        <v>299</v>
      </c>
      <c r="B55" s="565" t="s">
        <v>300</v>
      </c>
      <c r="C55" s="565" t="s">
        <v>56</v>
      </c>
      <c r="D55" s="31" t="s">
        <v>301</v>
      </c>
      <c r="E55" s="270">
        <f t="shared" si="10"/>
        <v>0</v>
      </c>
      <c r="F55" s="270">
        <f t="shared" ref="F55" si="14">G55+J55</f>
        <v>0</v>
      </c>
      <c r="G55" s="270">
        <f t="shared" ref="G55" si="15">H55+K55</f>
        <v>0</v>
      </c>
      <c r="H55" s="8">
        <v>0</v>
      </c>
      <c r="I55" s="8"/>
      <c r="J55" s="8">
        <f t="shared" si="12"/>
        <v>0</v>
      </c>
      <c r="K55" s="8"/>
      <c r="L55" s="8"/>
      <c r="M55" s="8"/>
      <c r="N55" s="8"/>
      <c r="O55" s="8"/>
      <c r="P55" s="293">
        <f t="shared" si="2"/>
        <v>0</v>
      </c>
    </row>
    <row r="56" spans="1:16" ht="47.25" x14ac:dyDescent="0.25">
      <c r="A56" s="351" t="s">
        <v>299</v>
      </c>
      <c r="B56" s="565">
        <v>1152</v>
      </c>
      <c r="C56" s="567" t="s">
        <v>56</v>
      </c>
      <c r="D56" s="176" t="s">
        <v>301</v>
      </c>
      <c r="E56" s="270">
        <f t="shared" si="10"/>
        <v>1773410</v>
      </c>
      <c r="F56" s="270">
        <f>883100+322850+567460</f>
        <v>1773410</v>
      </c>
      <c r="G56" s="270">
        <f>883100+322850+567460</f>
        <v>1773410</v>
      </c>
      <c r="H56" s="8"/>
      <c r="I56" s="8"/>
      <c r="J56" s="8">
        <f t="shared" si="12"/>
        <v>0</v>
      </c>
      <c r="K56" s="8"/>
      <c r="L56" s="8"/>
      <c r="M56" s="8"/>
      <c r="N56" s="8"/>
      <c r="O56" s="8"/>
      <c r="P56" s="293">
        <f t="shared" si="2"/>
        <v>1773410</v>
      </c>
    </row>
    <row r="57" spans="1:16" ht="47.25" x14ac:dyDescent="0.25">
      <c r="A57" s="566" t="s">
        <v>63</v>
      </c>
      <c r="B57" s="567" t="s">
        <v>64</v>
      </c>
      <c r="C57" s="567" t="s">
        <v>56</v>
      </c>
      <c r="D57" s="176" t="s">
        <v>65</v>
      </c>
      <c r="E57" s="270">
        <f t="shared" si="10"/>
        <v>1673966</v>
      </c>
      <c r="F57" s="270">
        <f>1523754+63837-651+63556+24110-640</f>
        <v>1673966</v>
      </c>
      <c r="G57" s="270">
        <f>1356004+63837+63556+24110</f>
        <v>1507507</v>
      </c>
      <c r="H57" s="270">
        <f>43895-651</f>
        <v>43244</v>
      </c>
      <c r="I57" s="8">
        <v>0</v>
      </c>
      <c r="J57" s="8">
        <f t="shared" si="12"/>
        <v>0</v>
      </c>
      <c r="K57" s="8">
        <v>0</v>
      </c>
      <c r="L57" s="8">
        <v>0</v>
      </c>
      <c r="M57" s="8">
        <v>0</v>
      </c>
      <c r="N57" s="8">
        <v>0</v>
      </c>
      <c r="O57" s="8">
        <v>0</v>
      </c>
      <c r="P57" s="293">
        <f t="shared" si="2"/>
        <v>1673966</v>
      </c>
    </row>
    <row r="58" spans="1:16" ht="126" x14ac:dyDescent="0.25">
      <c r="A58" s="289" t="s">
        <v>402</v>
      </c>
      <c r="B58" s="567">
        <v>1183</v>
      </c>
      <c r="C58" s="567" t="s">
        <v>56</v>
      </c>
      <c r="D58" s="176" t="s">
        <v>404</v>
      </c>
      <c r="E58" s="270"/>
      <c r="F58" s="270"/>
      <c r="G58" s="270"/>
      <c r="H58" s="270"/>
      <c r="I58" s="8"/>
      <c r="J58" s="8">
        <f t="shared" si="12"/>
        <v>579643</v>
      </c>
      <c r="K58" s="8">
        <v>579643</v>
      </c>
      <c r="L58" s="8"/>
      <c r="M58" s="8"/>
      <c r="N58" s="8"/>
      <c r="O58" s="8">
        <v>579643</v>
      </c>
      <c r="P58" s="293">
        <f t="shared" si="2"/>
        <v>579643</v>
      </c>
    </row>
    <row r="59" spans="1:16" ht="100.5" customHeight="1" x14ac:dyDescent="0.25">
      <c r="A59" s="289" t="s">
        <v>403</v>
      </c>
      <c r="B59" s="567">
        <v>1184</v>
      </c>
      <c r="C59" s="567" t="s">
        <v>56</v>
      </c>
      <c r="D59" s="176" t="s">
        <v>405</v>
      </c>
      <c r="E59" s="270"/>
      <c r="F59" s="270"/>
      <c r="G59" s="270"/>
      <c r="H59" s="270"/>
      <c r="I59" s="8"/>
      <c r="J59" s="8">
        <f t="shared" si="12"/>
        <v>1352500</v>
      </c>
      <c r="K59" s="8">
        <v>1352500</v>
      </c>
      <c r="L59" s="8"/>
      <c r="M59" s="8"/>
      <c r="N59" s="8"/>
      <c r="O59" s="8">
        <v>1352500</v>
      </c>
      <c r="P59" s="293">
        <f t="shared" si="2"/>
        <v>1352500</v>
      </c>
    </row>
    <row r="60" spans="1:16" ht="110.25" x14ac:dyDescent="0.25">
      <c r="A60" s="289" t="s">
        <v>393</v>
      </c>
      <c r="B60" s="567">
        <v>1200</v>
      </c>
      <c r="C60" s="567" t="s">
        <v>56</v>
      </c>
      <c r="D60" s="176" t="s">
        <v>394</v>
      </c>
      <c r="E60" s="270">
        <f>F60+I60</f>
        <v>480600</v>
      </c>
      <c r="F60" s="270">
        <v>480600</v>
      </c>
      <c r="G60" s="270">
        <v>480600</v>
      </c>
      <c r="H60" s="270"/>
      <c r="I60" s="8"/>
      <c r="J60" s="8">
        <f t="shared" si="12"/>
        <v>0</v>
      </c>
      <c r="K60" s="8"/>
      <c r="L60" s="8"/>
      <c r="M60" s="8"/>
      <c r="N60" s="8"/>
      <c r="O60" s="8"/>
      <c r="P60" s="293">
        <f t="shared" si="2"/>
        <v>480600</v>
      </c>
    </row>
    <row r="61" spans="1:16" ht="128.25" customHeight="1" x14ac:dyDescent="0.25">
      <c r="A61" s="289" t="s">
        <v>584</v>
      </c>
      <c r="B61" s="567">
        <v>1231</v>
      </c>
      <c r="C61" s="567" t="s">
        <v>56</v>
      </c>
      <c r="D61" s="176" t="s">
        <v>586</v>
      </c>
      <c r="E61" s="270">
        <f t="shared" ref="E61:E62" si="16">F61+I61</f>
        <v>1250000</v>
      </c>
      <c r="F61" s="270">
        <f>1001903+248097</f>
        <v>1250000</v>
      </c>
      <c r="G61" s="270"/>
      <c r="H61" s="270"/>
      <c r="I61" s="8"/>
      <c r="J61" s="8">
        <f t="shared" si="12"/>
        <v>0</v>
      </c>
      <c r="K61" s="8"/>
      <c r="L61" s="8"/>
      <c r="M61" s="8"/>
      <c r="N61" s="8"/>
      <c r="O61" s="8"/>
      <c r="P61" s="293">
        <f t="shared" si="2"/>
        <v>1250000</v>
      </c>
    </row>
    <row r="62" spans="1:16" ht="111" customHeight="1" x14ac:dyDescent="0.25">
      <c r="A62" s="289" t="s">
        <v>585</v>
      </c>
      <c r="B62" s="567">
        <v>1232</v>
      </c>
      <c r="C62" s="567" t="s">
        <v>56</v>
      </c>
      <c r="D62" s="176" t="s">
        <v>587</v>
      </c>
      <c r="E62" s="270">
        <f t="shared" si="16"/>
        <v>1250000</v>
      </c>
      <c r="F62" s="270">
        <f>1001903+248097</f>
        <v>1250000</v>
      </c>
      <c r="G62" s="270"/>
      <c r="H62" s="270"/>
      <c r="I62" s="8"/>
      <c r="J62" s="8">
        <f t="shared" si="12"/>
        <v>0</v>
      </c>
      <c r="K62" s="8"/>
      <c r="L62" s="8"/>
      <c r="M62" s="8"/>
      <c r="N62" s="8"/>
      <c r="O62" s="8"/>
      <c r="P62" s="293">
        <f t="shared" si="2"/>
        <v>1250000</v>
      </c>
    </row>
    <row r="63" spans="1:16" ht="94.5" x14ac:dyDescent="0.25">
      <c r="A63" s="289" t="s">
        <v>618</v>
      </c>
      <c r="B63" s="567">
        <v>1279</v>
      </c>
      <c r="C63" s="567" t="s">
        <v>56</v>
      </c>
      <c r="D63" s="176" t="s">
        <v>619</v>
      </c>
      <c r="E63" s="270"/>
      <c r="F63" s="270"/>
      <c r="G63" s="270"/>
      <c r="H63" s="270"/>
      <c r="I63" s="8"/>
      <c r="J63" s="8">
        <f t="shared" si="12"/>
        <v>2511700</v>
      </c>
      <c r="K63" s="8"/>
      <c r="L63" s="8">
        <v>2511700</v>
      </c>
      <c r="M63" s="8"/>
      <c r="N63" s="8"/>
      <c r="O63" s="8"/>
      <c r="P63" s="293">
        <f t="shared" si="2"/>
        <v>2511700</v>
      </c>
    </row>
    <row r="64" spans="1:16" ht="141.75" x14ac:dyDescent="0.25">
      <c r="A64" s="289" t="s">
        <v>622</v>
      </c>
      <c r="B64" s="567">
        <v>1501</v>
      </c>
      <c r="C64" s="567" t="s">
        <v>56</v>
      </c>
      <c r="D64" s="176" t="s">
        <v>623</v>
      </c>
      <c r="E64" s="270"/>
      <c r="F64" s="270"/>
      <c r="G64" s="270"/>
      <c r="H64" s="270"/>
      <c r="I64" s="8"/>
      <c r="J64" s="8">
        <f t="shared" si="12"/>
        <v>205700</v>
      </c>
      <c r="K64" s="8"/>
      <c r="L64" s="8">
        <f>0+205700</f>
        <v>205700</v>
      </c>
      <c r="M64" s="8">
        <v>205700</v>
      </c>
      <c r="N64" s="8"/>
      <c r="O64" s="8"/>
      <c r="P64" s="293">
        <f t="shared" si="2"/>
        <v>205700</v>
      </c>
    </row>
    <row r="65" spans="1:16" ht="89.25" customHeight="1" x14ac:dyDescent="0.25">
      <c r="A65" s="289" t="s">
        <v>317</v>
      </c>
      <c r="B65" s="567">
        <v>3140</v>
      </c>
      <c r="C65" s="567">
        <v>1040</v>
      </c>
      <c r="D65" s="176" t="s">
        <v>318</v>
      </c>
      <c r="E65" s="270">
        <f t="shared" si="10"/>
        <v>1078000</v>
      </c>
      <c r="F65" s="270">
        <f>1001000+77000</f>
        <v>1078000</v>
      </c>
      <c r="G65" s="270">
        <f>357956+34926+7684</f>
        <v>400566</v>
      </c>
      <c r="H65" s="270">
        <f>10603+1585+1253</f>
        <v>13441</v>
      </c>
      <c r="I65" s="8"/>
      <c r="J65" s="8">
        <f t="shared" si="12"/>
        <v>0</v>
      </c>
      <c r="K65" s="8"/>
      <c r="L65" s="8"/>
      <c r="M65" s="8"/>
      <c r="N65" s="8"/>
      <c r="O65" s="8"/>
      <c r="P65" s="293">
        <f t="shared" si="2"/>
        <v>1078000</v>
      </c>
    </row>
    <row r="66" spans="1:16" ht="42" customHeight="1" thickBot="1" x14ac:dyDescent="0.3">
      <c r="A66" s="355" t="s">
        <v>572</v>
      </c>
      <c r="B66" s="16">
        <v>9750</v>
      </c>
      <c r="C66" s="356" t="s">
        <v>267</v>
      </c>
      <c r="D66" s="455" t="s">
        <v>573</v>
      </c>
      <c r="E66" s="270">
        <f t="shared" si="10"/>
        <v>0</v>
      </c>
      <c r="F66" s="353"/>
      <c r="G66" s="353"/>
      <c r="H66" s="353"/>
      <c r="I66" s="354"/>
      <c r="J66" s="8">
        <f t="shared" si="12"/>
        <v>2000000</v>
      </c>
      <c r="K66" s="354">
        <v>2000000</v>
      </c>
      <c r="L66" s="354"/>
      <c r="M66" s="354"/>
      <c r="N66" s="354"/>
      <c r="O66" s="354">
        <v>2000000</v>
      </c>
      <c r="P66" s="544">
        <f>E66+J66</f>
        <v>2000000</v>
      </c>
    </row>
    <row r="67" spans="1:16" ht="48" thickBot="1" x14ac:dyDescent="0.3">
      <c r="A67" s="262" t="s">
        <v>67</v>
      </c>
      <c r="B67" s="263" t="s">
        <v>16</v>
      </c>
      <c r="C67" s="263" t="s">
        <v>16</v>
      </c>
      <c r="D67" s="265" t="s">
        <v>340</v>
      </c>
      <c r="E67" s="290">
        <f>E68</f>
        <v>56580043</v>
      </c>
      <c r="F67" s="290">
        <f>F68</f>
        <v>56580043</v>
      </c>
      <c r="G67" s="290">
        <f t="shared" ref="G67:I67" si="17">G68</f>
        <v>19497302</v>
      </c>
      <c r="H67" s="290">
        <f t="shared" si="17"/>
        <v>394144</v>
      </c>
      <c r="I67" s="290">
        <f t="shared" si="17"/>
        <v>0</v>
      </c>
      <c r="J67" s="290">
        <f>J68</f>
        <v>407800</v>
      </c>
      <c r="K67" s="290">
        <f>K68</f>
        <v>392800</v>
      </c>
      <c r="L67" s="290">
        <f t="shared" ref="L67:O67" si="18">L68</f>
        <v>15000</v>
      </c>
      <c r="M67" s="290">
        <f t="shared" si="18"/>
        <v>0</v>
      </c>
      <c r="N67" s="290">
        <f t="shared" si="18"/>
        <v>0</v>
      </c>
      <c r="O67" s="290">
        <f t="shared" si="18"/>
        <v>392800</v>
      </c>
      <c r="P67" s="291">
        <f>E67+J67</f>
        <v>56987843</v>
      </c>
    </row>
    <row r="68" spans="1:16" ht="47.25" x14ac:dyDescent="0.25">
      <c r="A68" s="283" t="s">
        <v>68</v>
      </c>
      <c r="B68" s="284" t="s">
        <v>16</v>
      </c>
      <c r="C68" s="284" t="s">
        <v>16</v>
      </c>
      <c r="D68" s="285" t="s">
        <v>340</v>
      </c>
      <c r="E68" s="273">
        <f>E69+E70+E73+E76+E79+E80+E74+E75+E77+E72+E71+E78+E81</f>
        <v>56580043</v>
      </c>
      <c r="F68" s="272">
        <f>F69+F70+F73+F76+F79+F80+F74+F75+F77+F72+F71+F78+F81</f>
        <v>56580043</v>
      </c>
      <c r="G68" s="272">
        <f>G69+G70+G73+G76+G79+G80+G74+G75+G77+G78</f>
        <v>19497302</v>
      </c>
      <c r="H68" s="272">
        <f t="shared" ref="H68" si="19">H69+H70+H73+H76+H79+H80+H74+H75+H77</f>
        <v>394144</v>
      </c>
      <c r="I68" s="272">
        <f t="shared" ref="I68:O68" si="20">I69+I70+I73+I76+I79+I80</f>
        <v>0</v>
      </c>
      <c r="J68" s="273">
        <f t="shared" si="20"/>
        <v>407800</v>
      </c>
      <c r="K68" s="272">
        <f t="shared" si="20"/>
        <v>392800</v>
      </c>
      <c r="L68" s="272">
        <f t="shared" si="20"/>
        <v>15000</v>
      </c>
      <c r="M68" s="272">
        <f t="shared" si="20"/>
        <v>0</v>
      </c>
      <c r="N68" s="272">
        <f t="shared" si="20"/>
        <v>0</v>
      </c>
      <c r="O68" s="272">
        <f t="shared" si="20"/>
        <v>392800</v>
      </c>
      <c r="P68" s="292">
        <f>E68+J68</f>
        <v>56987843</v>
      </c>
    </row>
    <row r="69" spans="1:16" ht="47.25" x14ac:dyDescent="0.25">
      <c r="A69" s="566" t="s">
        <v>234</v>
      </c>
      <c r="B69" s="567" t="s">
        <v>43</v>
      </c>
      <c r="C69" s="567" t="s">
        <v>18</v>
      </c>
      <c r="D69" s="176" t="s">
        <v>228</v>
      </c>
      <c r="E69" s="270">
        <f>F69+I69</f>
        <v>10490357</v>
      </c>
      <c r="F69" s="270">
        <f>9573438+916919</f>
        <v>10490357</v>
      </c>
      <c r="G69" s="270">
        <f>9042650+916919</f>
        <v>9959569</v>
      </c>
      <c r="H69" s="270">
        <v>199920</v>
      </c>
      <c r="I69" s="8">
        <v>0</v>
      </c>
      <c r="J69" s="8">
        <f>L69+O69</f>
        <v>0</v>
      </c>
      <c r="K69" s="8"/>
      <c r="L69" s="8">
        <v>0</v>
      </c>
      <c r="M69" s="8">
        <v>0</v>
      </c>
      <c r="N69" s="8">
        <v>0</v>
      </c>
      <c r="O69" s="8"/>
      <c r="P69" s="293">
        <f>E69+J69</f>
        <v>10490357</v>
      </c>
    </row>
    <row r="70" spans="1:16" ht="31.5" x14ac:dyDescent="0.25">
      <c r="A70" s="566" t="s">
        <v>70</v>
      </c>
      <c r="B70" s="567" t="s">
        <v>71</v>
      </c>
      <c r="C70" s="567" t="s">
        <v>53</v>
      </c>
      <c r="D70" s="176" t="s">
        <v>72</v>
      </c>
      <c r="E70" s="270">
        <f t="shared" ref="E70:G81" si="21">F70+I70</f>
        <v>3619</v>
      </c>
      <c r="F70" s="270">
        <f>9420-5801</f>
        <v>3619</v>
      </c>
      <c r="G70" s="270">
        <f t="shared" si="21"/>
        <v>0</v>
      </c>
      <c r="H70" s="270">
        <v>0</v>
      </c>
      <c r="I70" s="8">
        <v>0</v>
      </c>
      <c r="J70" s="8">
        <f t="shared" ref="J70:J79" si="22">L70+O70</f>
        <v>0</v>
      </c>
      <c r="K70" s="8">
        <v>0</v>
      </c>
      <c r="L70" s="8">
        <v>0</v>
      </c>
      <c r="M70" s="8">
        <v>0</v>
      </c>
      <c r="N70" s="8">
        <v>0</v>
      </c>
      <c r="O70" s="8">
        <v>0</v>
      </c>
      <c r="P70" s="293">
        <f t="shared" ref="P70:P146" si="23">E70+J70</f>
        <v>3619</v>
      </c>
    </row>
    <row r="71" spans="1:16" ht="47.25" x14ac:dyDescent="0.25">
      <c r="A71" s="351" t="s">
        <v>302</v>
      </c>
      <c r="B71" s="249" t="s">
        <v>303</v>
      </c>
      <c r="C71" s="565" t="s">
        <v>53</v>
      </c>
      <c r="D71" s="31" t="s">
        <v>304</v>
      </c>
      <c r="E71" s="270">
        <f t="shared" si="21"/>
        <v>136573</v>
      </c>
      <c r="F71" s="270">
        <f>57773+78800</f>
        <v>136573</v>
      </c>
      <c r="G71" s="270"/>
      <c r="H71" s="270"/>
      <c r="I71" s="8"/>
      <c r="J71" s="8"/>
      <c r="K71" s="8"/>
      <c r="L71" s="8"/>
      <c r="M71" s="8"/>
      <c r="N71" s="8"/>
      <c r="O71" s="8"/>
      <c r="P71" s="293">
        <f t="shared" si="23"/>
        <v>136573</v>
      </c>
    </row>
    <row r="72" spans="1:16" ht="47.25" x14ac:dyDescent="0.25">
      <c r="A72" s="289" t="s">
        <v>305</v>
      </c>
      <c r="B72" s="567">
        <v>3090</v>
      </c>
      <c r="C72" s="249" t="s">
        <v>69</v>
      </c>
      <c r="D72" s="250" t="s">
        <v>307</v>
      </c>
      <c r="E72" s="270">
        <f t="shared" si="21"/>
        <v>164690</v>
      </c>
      <c r="F72" s="270">
        <v>164690</v>
      </c>
      <c r="G72" s="270"/>
      <c r="H72" s="270"/>
      <c r="I72" s="8"/>
      <c r="J72" s="8"/>
      <c r="K72" s="8"/>
      <c r="L72" s="8"/>
      <c r="M72" s="8"/>
      <c r="N72" s="8"/>
      <c r="O72" s="8"/>
      <c r="P72" s="293">
        <f t="shared" si="23"/>
        <v>164690</v>
      </c>
    </row>
    <row r="73" spans="1:16" ht="31.5" x14ac:dyDescent="0.25">
      <c r="A73" s="566" t="s">
        <v>235</v>
      </c>
      <c r="B73" s="567" t="s">
        <v>236</v>
      </c>
      <c r="C73" s="567" t="s">
        <v>45</v>
      </c>
      <c r="D73" s="176" t="s">
        <v>237</v>
      </c>
      <c r="E73" s="270">
        <f t="shared" si="21"/>
        <v>4346770</v>
      </c>
      <c r="F73" s="270">
        <f>4115506+34200+197064</f>
        <v>4346770</v>
      </c>
      <c r="G73" s="270">
        <f>3137173+690178+197064</f>
        <v>4024415</v>
      </c>
      <c r="H73" s="270">
        <f>41629+5700+41082+3839</f>
        <v>92250</v>
      </c>
      <c r="I73" s="8">
        <v>0</v>
      </c>
      <c r="J73" s="8">
        <f t="shared" si="22"/>
        <v>312000</v>
      </c>
      <c r="K73" s="8">
        <f>58000+254000</f>
        <v>312000</v>
      </c>
      <c r="L73" s="8">
        <v>0</v>
      </c>
      <c r="M73" s="8">
        <v>0</v>
      </c>
      <c r="N73" s="8">
        <v>0</v>
      </c>
      <c r="O73" s="8">
        <f>58000+254000</f>
        <v>312000</v>
      </c>
      <c r="P73" s="293">
        <f t="shared" si="23"/>
        <v>4658770</v>
      </c>
    </row>
    <row r="74" spans="1:16" ht="47.25" hidden="1" x14ac:dyDescent="0.25">
      <c r="A74" s="351" t="s">
        <v>302</v>
      </c>
      <c r="B74" s="249" t="s">
        <v>303</v>
      </c>
      <c r="C74" s="565" t="s">
        <v>53</v>
      </c>
      <c r="D74" s="31" t="s">
        <v>304</v>
      </c>
      <c r="E74" s="270">
        <f t="shared" si="21"/>
        <v>0</v>
      </c>
      <c r="F74" s="270"/>
      <c r="G74" s="270"/>
      <c r="H74" s="270"/>
      <c r="I74" s="8"/>
      <c r="J74" s="8"/>
      <c r="K74" s="8"/>
      <c r="L74" s="8"/>
      <c r="M74" s="8"/>
      <c r="N74" s="8"/>
      <c r="O74" s="8"/>
      <c r="P74" s="293">
        <f t="shared" si="23"/>
        <v>0</v>
      </c>
    </row>
    <row r="75" spans="1:16" ht="47.25" hidden="1" x14ac:dyDescent="0.25">
      <c r="A75" s="351" t="s">
        <v>305</v>
      </c>
      <c r="B75" s="249" t="s">
        <v>306</v>
      </c>
      <c r="C75" s="249" t="s">
        <v>69</v>
      </c>
      <c r="D75" s="250" t="s">
        <v>307</v>
      </c>
      <c r="E75" s="270">
        <f t="shared" si="21"/>
        <v>0</v>
      </c>
      <c r="F75" s="270"/>
      <c r="G75" s="270"/>
      <c r="H75" s="270"/>
      <c r="I75" s="8"/>
      <c r="J75" s="8"/>
      <c r="K75" s="8"/>
      <c r="L75" s="8"/>
      <c r="M75" s="8"/>
      <c r="N75" s="8"/>
      <c r="O75" s="8"/>
      <c r="P75" s="293">
        <f t="shared" si="23"/>
        <v>0</v>
      </c>
    </row>
    <row r="76" spans="1:16" ht="110.25" x14ac:dyDescent="0.25">
      <c r="A76" s="566" t="s">
        <v>238</v>
      </c>
      <c r="B76" s="567" t="s">
        <v>239</v>
      </c>
      <c r="C76" s="567" t="s">
        <v>45</v>
      </c>
      <c r="D76" s="176" t="s">
        <v>240</v>
      </c>
      <c r="E76" s="270">
        <f t="shared" si="21"/>
        <v>215221</v>
      </c>
      <c r="F76" s="270">
        <f>155034+20801+39386</f>
        <v>215221</v>
      </c>
      <c r="G76" s="270">
        <v>0</v>
      </c>
      <c r="H76" s="270">
        <v>0</v>
      </c>
      <c r="I76" s="8">
        <v>0</v>
      </c>
      <c r="J76" s="8">
        <f t="shared" si="22"/>
        <v>0</v>
      </c>
      <c r="K76" s="8">
        <v>0</v>
      </c>
      <c r="L76" s="8">
        <v>0</v>
      </c>
      <c r="M76" s="8">
        <v>0</v>
      </c>
      <c r="N76" s="8">
        <v>0</v>
      </c>
      <c r="O76" s="8">
        <v>0</v>
      </c>
      <c r="P76" s="293">
        <f t="shared" si="23"/>
        <v>215221</v>
      </c>
    </row>
    <row r="77" spans="1:16" ht="78.75" x14ac:dyDescent="0.25">
      <c r="A77" s="351" t="s">
        <v>308</v>
      </c>
      <c r="B77" s="249" t="s">
        <v>309</v>
      </c>
      <c r="C77" s="249" t="s">
        <v>45</v>
      </c>
      <c r="D77" s="352" t="s">
        <v>310</v>
      </c>
      <c r="E77" s="270">
        <f t="shared" si="21"/>
        <v>17623</v>
      </c>
      <c r="F77" s="270">
        <v>17623</v>
      </c>
      <c r="G77" s="270"/>
      <c r="H77" s="270"/>
      <c r="I77" s="8"/>
      <c r="J77" s="8"/>
      <c r="K77" s="8"/>
      <c r="L77" s="8"/>
      <c r="M77" s="8"/>
      <c r="N77" s="8"/>
      <c r="O77" s="8"/>
      <c r="P77" s="293">
        <f t="shared" si="23"/>
        <v>17623</v>
      </c>
    </row>
    <row r="78" spans="1:16" ht="94.5" x14ac:dyDescent="0.25">
      <c r="A78" s="351" t="s">
        <v>397</v>
      </c>
      <c r="B78" s="249" t="s">
        <v>398</v>
      </c>
      <c r="C78" s="249" t="s">
        <v>69</v>
      </c>
      <c r="D78" s="352" t="s">
        <v>399</v>
      </c>
      <c r="E78" s="270">
        <f t="shared" si="21"/>
        <v>295047</v>
      </c>
      <c r="F78" s="270">
        <f>339588-44541</f>
        <v>295047</v>
      </c>
      <c r="G78" s="270">
        <f>339588-44541</f>
        <v>295047</v>
      </c>
      <c r="H78" s="270"/>
      <c r="I78" s="8"/>
      <c r="J78" s="8"/>
      <c r="K78" s="8"/>
      <c r="L78" s="8"/>
      <c r="M78" s="8"/>
      <c r="N78" s="8"/>
      <c r="O78" s="8"/>
      <c r="P78" s="293">
        <f t="shared" si="23"/>
        <v>295047</v>
      </c>
    </row>
    <row r="79" spans="1:16" ht="63" x14ac:dyDescent="0.25">
      <c r="A79" s="566" t="s">
        <v>241</v>
      </c>
      <c r="B79" s="567" t="s">
        <v>242</v>
      </c>
      <c r="C79" s="567" t="s">
        <v>73</v>
      </c>
      <c r="D79" s="176" t="s">
        <v>380</v>
      </c>
      <c r="E79" s="270">
        <f t="shared" si="21"/>
        <v>5692104</v>
      </c>
      <c r="F79" s="270">
        <f>5617762-67613+141955</f>
        <v>5692104</v>
      </c>
      <c r="G79" s="270">
        <f>5281705-164756-40633+141955</f>
        <v>5218271</v>
      </c>
      <c r="H79" s="270">
        <v>101974</v>
      </c>
      <c r="I79" s="8">
        <v>0</v>
      </c>
      <c r="J79" s="8">
        <f t="shared" si="22"/>
        <v>95800</v>
      </c>
      <c r="K79" s="8">
        <f>34800+46000</f>
        <v>80800</v>
      </c>
      <c r="L79" s="8">
        <v>15000</v>
      </c>
      <c r="M79" s="8">
        <v>0</v>
      </c>
      <c r="N79" s="8">
        <v>0</v>
      </c>
      <c r="O79" s="8">
        <f>34800+46000</f>
        <v>80800</v>
      </c>
      <c r="P79" s="293">
        <f>E79+J79</f>
        <v>5787904</v>
      </c>
    </row>
    <row r="80" spans="1:16" ht="39" customHeight="1" x14ac:dyDescent="0.25">
      <c r="A80" s="566" t="s">
        <v>74</v>
      </c>
      <c r="B80" s="567" t="s">
        <v>75</v>
      </c>
      <c r="C80" s="567" t="s">
        <v>73</v>
      </c>
      <c r="D80" s="176" t="s">
        <v>76</v>
      </c>
      <c r="E80" s="270">
        <f t="shared" si="21"/>
        <v>35196676</v>
      </c>
      <c r="F80" s="270">
        <f>29169400-500000+17383862-638200+335000-15543600+15543600-39386-10514000</f>
        <v>35196676</v>
      </c>
      <c r="G80" s="270">
        <v>0</v>
      </c>
      <c r="H80" s="270">
        <v>0</v>
      </c>
      <c r="I80" s="8">
        <v>0</v>
      </c>
      <c r="J80" s="8">
        <f>L80+O80</f>
        <v>0</v>
      </c>
      <c r="K80" s="8">
        <v>0</v>
      </c>
      <c r="L80" s="8">
        <v>0</v>
      </c>
      <c r="M80" s="8">
        <v>0</v>
      </c>
      <c r="N80" s="8">
        <v>0</v>
      </c>
      <c r="O80" s="8">
        <v>0</v>
      </c>
      <c r="P80" s="293">
        <f t="shared" si="23"/>
        <v>35196676</v>
      </c>
    </row>
    <row r="81" spans="1:16" ht="38.450000000000003" customHeight="1" thickBot="1" x14ac:dyDescent="0.3">
      <c r="A81" s="515" t="s">
        <v>460</v>
      </c>
      <c r="B81" s="511">
        <v>9770</v>
      </c>
      <c r="C81" s="516" t="s">
        <v>267</v>
      </c>
      <c r="D81" s="512" t="s">
        <v>383</v>
      </c>
      <c r="E81" s="270">
        <f t="shared" si="21"/>
        <v>21363</v>
      </c>
      <c r="F81" s="513">
        <f>0+21363</f>
        <v>21363</v>
      </c>
      <c r="G81" s="513"/>
      <c r="H81" s="513"/>
      <c r="I81" s="514"/>
      <c r="J81" s="514"/>
      <c r="K81" s="514"/>
      <c r="L81" s="514"/>
      <c r="M81" s="514"/>
      <c r="N81" s="514"/>
      <c r="O81" s="514"/>
      <c r="P81" s="293">
        <f t="shared" si="23"/>
        <v>21363</v>
      </c>
    </row>
    <row r="82" spans="1:16" ht="45.75" customHeight="1" thickBot="1" x14ac:dyDescent="0.3">
      <c r="A82" s="262" t="s">
        <v>77</v>
      </c>
      <c r="B82" s="263" t="s">
        <v>16</v>
      </c>
      <c r="C82" s="263" t="s">
        <v>16</v>
      </c>
      <c r="D82" s="265" t="s">
        <v>455</v>
      </c>
      <c r="E82" s="290">
        <f>E83</f>
        <v>2713579</v>
      </c>
      <c r="F82" s="290">
        <f>F83</f>
        <v>2713579</v>
      </c>
      <c r="G82" s="290">
        <f t="shared" ref="G82:I82" si="24">G83</f>
        <v>2554131</v>
      </c>
      <c r="H82" s="290">
        <f t="shared" si="24"/>
        <v>0</v>
      </c>
      <c r="I82" s="290">
        <f t="shared" si="24"/>
        <v>0</v>
      </c>
      <c r="J82" s="290">
        <f>J83</f>
        <v>23000</v>
      </c>
      <c r="K82" s="290">
        <f>K83</f>
        <v>23000</v>
      </c>
      <c r="L82" s="290">
        <f t="shared" ref="L82:O82" si="25">L83</f>
        <v>0</v>
      </c>
      <c r="M82" s="290">
        <f t="shared" si="25"/>
        <v>0</v>
      </c>
      <c r="N82" s="290">
        <f t="shared" si="25"/>
        <v>0</v>
      </c>
      <c r="O82" s="290">
        <f t="shared" si="25"/>
        <v>23000</v>
      </c>
      <c r="P82" s="291">
        <f t="shared" si="23"/>
        <v>2736579</v>
      </c>
    </row>
    <row r="83" spans="1:16" ht="47.25" x14ac:dyDescent="0.25">
      <c r="A83" s="283" t="s">
        <v>78</v>
      </c>
      <c r="B83" s="284" t="s">
        <v>16</v>
      </c>
      <c r="C83" s="284" t="s">
        <v>16</v>
      </c>
      <c r="D83" s="285" t="s">
        <v>455</v>
      </c>
      <c r="E83" s="272">
        <f>E84+E85</f>
        <v>2713579</v>
      </c>
      <c r="F83" s="272">
        <f>F84+F85</f>
        <v>2713579</v>
      </c>
      <c r="G83" s="272">
        <f t="shared" ref="G83:I83" si="26">G84+G85</f>
        <v>2554131</v>
      </c>
      <c r="H83" s="272">
        <f t="shared" si="26"/>
        <v>0</v>
      </c>
      <c r="I83" s="272">
        <f t="shared" si="26"/>
        <v>0</v>
      </c>
      <c r="J83" s="272">
        <f>J84+J85</f>
        <v>23000</v>
      </c>
      <c r="K83" s="272">
        <f>K84+K85</f>
        <v>23000</v>
      </c>
      <c r="L83" s="272">
        <f t="shared" ref="L83:O83" si="27">L84+L85</f>
        <v>0</v>
      </c>
      <c r="M83" s="272">
        <f t="shared" si="27"/>
        <v>0</v>
      </c>
      <c r="N83" s="272">
        <f t="shared" si="27"/>
        <v>0</v>
      </c>
      <c r="O83" s="272">
        <f t="shared" si="27"/>
        <v>23000</v>
      </c>
      <c r="P83" s="292">
        <f t="shared" si="23"/>
        <v>2736579</v>
      </c>
    </row>
    <row r="84" spans="1:16" ht="47.25" x14ac:dyDescent="0.25">
      <c r="A84" s="566" t="s">
        <v>243</v>
      </c>
      <c r="B84" s="567" t="s">
        <v>43</v>
      </c>
      <c r="C84" s="567" t="s">
        <v>18</v>
      </c>
      <c r="D84" s="176" t="s">
        <v>228</v>
      </c>
      <c r="E84" s="270">
        <f>F84+I84</f>
        <v>2618579</v>
      </c>
      <c r="F84" s="270">
        <f>2213465+405114</f>
        <v>2618579</v>
      </c>
      <c r="G84" s="270">
        <f>2149017+405114</f>
        <v>2554131</v>
      </c>
      <c r="H84" s="270">
        <v>0</v>
      </c>
      <c r="I84" s="8">
        <v>0</v>
      </c>
      <c r="J84" s="8">
        <f>L84+O84</f>
        <v>23000</v>
      </c>
      <c r="K84" s="8">
        <v>23000</v>
      </c>
      <c r="L84" s="8">
        <v>0</v>
      </c>
      <c r="M84" s="8">
        <v>0</v>
      </c>
      <c r="N84" s="8">
        <v>0</v>
      </c>
      <c r="O84" s="8">
        <v>23000</v>
      </c>
      <c r="P84" s="293">
        <f t="shared" si="23"/>
        <v>2641579</v>
      </c>
    </row>
    <row r="85" spans="1:16" ht="32.25" thickBot="1" x14ac:dyDescent="0.3">
      <c r="A85" s="267" t="s">
        <v>79</v>
      </c>
      <c r="B85" s="268" t="s">
        <v>80</v>
      </c>
      <c r="C85" s="268" t="s">
        <v>66</v>
      </c>
      <c r="D85" s="261" t="s">
        <v>81</v>
      </c>
      <c r="E85" s="270">
        <f>F85+I85</f>
        <v>95000</v>
      </c>
      <c r="F85" s="271">
        <f>34000+61000</f>
        <v>95000</v>
      </c>
      <c r="G85" s="271">
        <v>0</v>
      </c>
      <c r="H85" s="271">
        <v>0</v>
      </c>
      <c r="I85" s="35">
        <v>0</v>
      </c>
      <c r="J85" s="35">
        <f>L85+O85</f>
        <v>0</v>
      </c>
      <c r="K85" s="35">
        <v>0</v>
      </c>
      <c r="L85" s="35">
        <v>0</v>
      </c>
      <c r="M85" s="35">
        <v>0</v>
      </c>
      <c r="N85" s="35">
        <v>0</v>
      </c>
      <c r="O85" s="35">
        <v>0</v>
      </c>
      <c r="P85" s="294">
        <f t="shared" si="23"/>
        <v>95000</v>
      </c>
    </row>
    <row r="86" spans="1:16" s="234" customFormat="1" ht="64.5" customHeight="1" thickBot="1" x14ac:dyDescent="0.3">
      <c r="A86" s="262" t="s">
        <v>82</v>
      </c>
      <c r="B86" s="263" t="s">
        <v>16</v>
      </c>
      <c r="C86" s="263" t="s">
        <v>16</v>
      </c>
      <c r="D86" s="265" t="s">
        <v>461</v>
      </c>
      <c r="E86" s="290">
        <f>E87</f>
        <v>104872060</v>
      </c>
      <c r="F86" s="290">
        <f>F87</f>
        <v>104872060</v>
      </c>
      <c r="G86" s="290">
        <f t="shared" ref="G86:I86" si="28">G87</f>
        <v>53914713</v>
      </c>
      <c r="H86" s="290">
        <f t="shared" si="28"/>
        <v>6250004</v>
      </c>
      <c r="I86" s="290">
        <f t="shared" si="28"/>
        <v>0</v>
      </c>
      <c r="J86" s="290">
        <f>J87</f>
        <v>1496174</v>
      </c>
      <c r="K86" s="290">
        <f>K87</f>
        <v>537009</v>
      </c>
      <c r="L86" s="290">
        <f t="shared" ref="L86:O86" si="29">L87</f>
        <v>959165</v>
      </c>
      <c r="M86" s="290">
        <f t="shared" si="29"/>
        <v>799155</v>
      </c>
      <c r="N86" s="290">
        <f t="shared" si="29"/>
        <v>0</v>
      </c>
      <c r="O86" s="290">
        <f t="shared" si="29"/>
        <v>537009</v>
      </c>
      <c r="P86" s="291">
        <f t="shared" si="23"/>
        <v>106368234</v>
      </c>
    </row>
    <row r="87" spans="1:16" s="233" customFormat="1" ht="63" x14ac:dyDescent="0.25">
      <c r="A87" s="283" t="s">
        <v>83</v>
      </c>
      <c r="B87" s="284" t="s">
        <v>16</v>
      </c>
      <c r="C87" s="284" t="s">
        <v>16</v>
      </c>
      <c r="D87" s="285" t="s">
        <v>461</v>
      </c>
      <c r="E87" s="272">
        <f>E88+E89+E90+E91+E92+E93+E94+E95+E96+E97+E98+E99+E100+E101</f>
        <v>104872060</v>
      </c>
      <c r="F87" s="272">
        <f>F88+F89+F90+F91+F92+F93+F94+F95+F96+F97+F98+F99+F100+F101</f>
        <v>104872060</v>
      </c>
      <c r="G87" s="272">
        <f>G88+G89+G90+G91+G92+G93+G94+G95+G96+G97+G98+G99+G100+G101</f>
        <v>53914713</v>
      </c>
      <c r="H87" s="272">
        <f t="shared" ref="H87:N87" si="30">H88+H89+H90+H91+H92+H93+H94+H95+H96+H97+H98+H100+H101</f>
        <v>6250004</v>
      </c>
      <c r="I87" s="272">
        <f t="shared" si="30"/>
        <v>0</v>
      </c>
      <c r="J87" s="272">
        <f>J88+J89+J90+J91+J92+J93+J94+J95+J96+J97+J98+J100+J101</f>
        <v>1496174</v>
      </c>
      <c r="K87" s="272">
        <f t="shared" si="30"/>
        <v>537009</v>
      </c>
      <c r="L87" s="272">
        <f t="shared" si="30"/>
        <v>959165</v>
      </c>
      <c r="M87" s="272">
        <f t="shared" si="30"/>
        <v>799155</v>
      </c>
      <c r="N87" s="272">
        <f t="shared" si="30"/>
        <v>0</v>
      </c>
      <c r="O87" s="272">
        <f>O88+O89+O90+O91+O92+O93+O94+O95+O96+O97+O98+O100+O101</f>
        <v>537009</v>
      </c>
      <c r="P87" s="292">
        <f>P88+P89+P90+P91+P92+P93+P94+P95+P96+P97+P98+P100+P101+P99</f>
        <v>106368234</v>
      </c>
    </row>
    <row r="88" spans="1:16" ht="52.5" customHeight="1" x14ac:dyDescent="0.25">
      <c r="A88" s="566" t="s">
        <v>244</v>
      </c>
      <c r="B88" s="567" t="s">
        <v>43</v>
      </c>
      <c r="C88" s="567" t="s">
        <v>18</v>
      </c>
      <c r="D88" s="176" t="s">
        <v>228</v>
      </c>
      <c r="E88" s="270">
        <f>F88+I88</f>
        <v>3375381</v>
      </c>
      <c r="F88" s="270">
        <f>3363039-162000+174342</f>
        <v>3375381</v>
      </c>
      <c r="G88" s="270">
        <f>3283148-162000+174342</f>
        <v>3295490</v>
      </c>
      <c r="H88" s="270">
        <v>0</v>
      </c>
      <c r="I88" s="8">
        <v>0</v>
      </c>
      <c r="J88" s="8">
        <f>L88+O88</f>
        <v>0</v>
      </c>
      <c r="K88" s="8">
        <v>0</v>
      </c>
      <c r="L88" s="8">
        <v>0</v>
      </c>
      <c r="M88" s="8">
        <v>0</v>
      </c>
      <c r="N88" s="8">
        <v>0</v>
      </c>
      <c r="O88" s="8">
        <v>0</v>
      </c>
      <c r="P88" s="293">
        <f t="shared" si="23"/>
        <v>3375381</v>
      </c>
    </row>
    <row r="89" spans="1:16" ht="31.5" x14ac:dyDescent="0.25">
      <c r="A89" s="566" t="s">
        <v>84</v>
      </c>
      <c r="B89" s="567" t="s">
        <v>85</v>
      </c>
      <c r="C89" s="567" t="s">
        <v>54</v>
      </c>
      <c r="D89" s="176" t="s">
        <v>86</v>
      </c>
      <c r="E89" s="270">
        <f t="shared" ref="E89:E101" si="31">F89+I89</f>
        <v>15091091</v>
      </c>
      <c r="F89" s="270">
        <f>14162935+516380-201300+278750+334326</f>
        <v>15091091</v>
      </c>
      <c r="G89" s="270">
        <f>13456202+516380-165000-36300+278750+334326</f>
        <v>14384358</v>
      </c>
      <c r="H89" s="270">
        <v>447307</v>
      </c>
      <c r="I89" s="8">
        <v>0</v>
      </c>
      <c r="J89" s="8">
        <f t="shared" ref="J89:J101" si="32">L89+O89</f>
        <v>799155</v>
      </c>
      <c r="K89" s="8">
        <f>O89</f>
        <v>0</v>
      </c>
      <c r="L89" s="8">
        <v>799155</v>
      </c>
      <c r="M89" s="8">
        <v>799155</v>
      </c>
      <c r="N89" s="8">
        <v>0</v>
      </c>
      <c r="O89" s="8"/>
      <c r="P89" s="293">
        <f t="shared" si="23"/>
        <v>15890246</v>
      </c>
    </row>
    <row r="90" spans="1:16" ht="63" x14ac:dyDescent="0.25">
      <c r="A90" s="566" t="s">
        <v>87</v>
      </c>
      <c r="B90" s="567" t="s">
        <v>88</v>
      </c>
      <c r="C90" s="567" t="s">
        <v>66</v>
      </c>
      <c r="D90" s="176" t="s">
        <v>379</v>
      </c>
      <c r="E90" s="270">
        <f t="shared" si="31"/>
        <v>340763</v>
      </c>
      <c r="F90" s="270">
        <v>340763</v>
      </c>
      <c r="G90" s="270">
        <v>0</v>
      </c>
      <c r="H90" s="270">
        <v>0</v>
      </c>
      <c r="I90" s="8">
        <v>0</v>
      </c>
      <c r="J90" s="8">
        <f t="shared" si="32"/>
        <v>0</v>
      </c>
      <c r="K90" s="8">
        <v>0</v>
      </c>
      <c r="L90" s="8">
        <v>0</v>
      </c>
      <c r="M90" s="8">
        <v>0</v>
      </c>
      <c r="N90" s="8">
        <v>0</v>
      </c>
      <c r="O90" s="8">
        <v>0</v>
      </c>
      <c r="P90" s="293">
        <f t="shared" si="23"/>
        <v>340763</v>
      </c>
    </row>
    <row r="91" spans="1:16" ht="21.75" customHeight="1" x14ac:dyDescent="0.25">
      <c r="A91" s="566" t="s">
        <v>90</v>
      </c>
      <c r="B91" s="567" t="s">
        <v>91</v>
      </c>
      <c r="C91" s="567" t="s">
        <v>92</v>
      </c>
      <c r="D91" s="176" t="s">
        <v>93</v>
      </c>
      <c r="E91" s="270">
        <f t="shared" si="31"/>
        <v>4850477</v>
      </c>
      <c r="F91" s="270">
        <f>4600183-138500+388794</f>
        <v>4850477</v>
      </c>
      <c r="G91" s="270">
        <f>4087113-138500+388794</f>
        <v>4337407</v>
      </c>
      <c r="H91" s="270">
        <v>311360</v>
      </c>
      <c r="I91" s="8">
        <v>0</v>
      </c>
      <c r="J91" s="8">
        <f t="shared" si="32"/>
        <v>43262</v>
      </c>
      <c r="K91" s="8">
        <f t="shared" ref="K91:K92" si="33">O91</f>
        <v>43262</v>
      </c>
      <c r="L91" s="8">
        <v>0</v>
      </c>
      <c r="M91" s="8">
        <v>0</v>
      </c>
      <c r="N91" s="8">
        <v>0</v>
      </c>
      <c r="O91" s="8">
        <v>43262</v>
      </c>
      <c r="P91" s="293">
        <f t="shared" si="23"/>
        <v>4893739</v>
      </c>
    </row>
    <row r="92" spans="1:16" ht="28.9" customHeight="1" x14ac:dyDescent="0.25">
      <c r="A92" s="566" t="s">
        <v>94</v>
      </c>
      <c r="B92" s="567" t="s">
        <v>95</v>
      </c>
      <c r="C92" s="567" t="s">
        <v>92</v>
      </c>
      <c r="D92" s="176" t="s">
        <v>96</v>
      </c>
      <c r="E92" s="270">
        <f t="shared" si="31"/>
        <v>1333214</v>
      </c>
      <c r="F92" s="270">
        <f>1299784+33430</f>
        <v>1333214</v>
      </c>
      <c r="G92" s="270">
        <f>1044930+33430</f>
        <v>1078360</v>
      </c>
      <c r="H92" s="270">
        <v>109471</v>
      </c>
      <c r="I92" s="8">
        <v>0</v>
      </c>
      <c r="J92" s="8">
        <f t="shared" si="32"/>
        <v>23000</v>
      </c>
      <c r="K92" s="8">
        <f t="shared" si="33"/>
        <v>23000</v>
      </c>
      <c r="L92" s="8">
        <v>0</v>
      </c>
      <c r="M92" s="8">
        <v>0</v>
      </c>
      <c r="N92" s="8">
        <v>0</v>
      </c>
      <c r="O92" s="8">
        <v>23000</v>
      </c>
      <c r="P92" s="293">
        <f t="shared" si="23"/>
        <v>1356214</v>
      </c>
    </row>
    <row r="93" spans="1:16" ht="45.75" customHeight="1" x14ac:dyDescent="0.25">
      <c r="A93" s="566" t="s">
        <v>97</v>
      </c>
      <c r="B93" s="567" t="s">
        <v>98</v>
      </c>
      <c r="C93" s="567" t="s">
        <v>99</v>
      </c>
      <c r="D93" s="176" t="s">
        <v>100</v>
      </c>
      <c r="E93" s="270">
        <f t="shared" si="31"/>
        <v>25443526</v>
      </c>
      <c r="F93" s="270">
        <f>25025982-402600-93016-343050+314250+28800+913160</f>
        <v>25443526</v>
      </c>
      <c r="G93" s="270">
        <f>18214441-330000-72600-100000+913160</f>
        <v>18625001</v>
      </c>
      <c r="H93" s="270">
        <f>5134202-72016-343050</f>
        <v>4719136</v>
      </c>
      <c r="I93" s="8">
        <v>0</v>
      </c>
      <c r="J93" s="8">
        <f t="shared" si="32"/>
        <v>160010</v>
      </c>
      <c r="K93" s="8">
        <v>0</v>
      </c>
      <c r="L93" s="8">
        <v>160010</v>
      </c>
      <c r="M93" s="8">
        <v>0</v>
      </c>
      <c r="N93" s="8">
        <v>0</v>
      </c>
      <c r="O93" s="8">
        <v>0</v>
      </c>
      <c r="P93" s="293">
        <f t="shared" si="23"/>
        <v>25603536</v>
      </c>
    </row>
    <row r="94" spans="1:16" ht="31.5" x14ac:dyDescent="0.25">
      <c r="A94" s="566" t="s">
        <v>245</v>
      </c>
      <c r="B94" s="567" t="s">
        <v>246</v>
      </c>
      <c r="C94" s="567" t="s">
        <v>101</v>
      </c>
      <c r="D94" s="176" t="s">
        <v>247</v>
      </c>
      <c r="E94" s="270">
        <f t="shared" si="31"/>
        <v>2259191</v>
      </c>
      <c r="F94" s="270">
        <f>2114801+126720+17670</f>
        <v>2259191</v>
      </c>
      <c r="G94" s="270">
        <f>2006393+126720</f>
        <v>2133113</v>
      </c>
      <c r="H94" s="8">
        <v>0</v>
      </c>
      <c r="I94" s="8">
        <v>0</v>
      </c>
      <c r="J94" s="8">
        <f t="shared" si="32"/>
        <v>0</v>
      </c>
      <c r="K94" s="8">
        <f>O94</f>
        <v>0</v>
      </c>
      <c r="L94" s="8">
        <v>0</v>
      </c>
      <c r="M94" s="8">
        <v>0</v>
      </c>
      <c r="N94" s="8">
        <v>0</v>
      </c>
      <c r="O94" s="8"/>
      <c r="P94" s="293">
        <f t="shared" si="23"/>
        <v>2259191</v>
      </c>
    </row>
    <row r="95" spans="1:16" ht="31.5" x14ac:dyDescent="0.25">
      <c r="A95" s="566" t="s">
        <v>102</v>
      </c>
      <c r="B95" s="567" t="s">
        <v>103</v>
      </c>
      <c r="C95" s="567" t="s">
        <v>101</v>
      </c>
      <c r="D95" s="176" t="s">
        <v>104</v>
      </c>
      <c r="E95" s="270">
        <f t="shared" si="31"/>
        <v>316106</v>
      </c>
      <c r="F95" s="270">
        <v>316106</v>
      </c>
      <c r="G95" s="8">
        <v>0</v>
      </c>
      <c r="H95" s="8">
        <v>0</v>
      </c>
      <c r="I95" s="8">
        <v>0</v>
      </c>
      <c r="J95" s="8">
        <f t="shared" si="32"/>
        <v>0</v>
      </c>
      <c r="K95" s="8">
        <v>0</v>
      </c>
      <c r="L95" s="8">
        <v>0</v>
      </c>
      <c r="M95" s="8">
        <v>0</v>
      </c>
      <c r="N95" s="8">
        <v>0</v>
      </c>
      <c r="O95" s="8">
        <v>0</v>
      </c>
      <c r="P95" s="293">
        <f t="shared" si="23"/>
        <v>316106</v>
      </c>
    </row>
    <row r="96" spans="1:16" ht="47.25" x14ac:dyDescent="0.25">
      <c r="A96" s="566" t="s">
        <v>105</v>
      </c>
      <c r="B96" s="567" t="s">
        <v>106</v>
      </c>
      <c r="C96" s="567" t="s">
        <v>107</v>
      </c>
      <c r="D96" s="176" t="s">
        <v>108</v>
      </c>
      <c r="E96" s="270">
        <f t="shared" si="31"/>
        <v>90000</v>
      </c>
      <c r="F96" s="270">
        <v>90000</v>
      </c>
      <c r="G96" s="8">
        <v>0</v>
      </c>
      <c r="H96" s="8">
        <v>0</v>
      </c>
      <c r="I96" s="8">
        <v>0</v>
      </c>
      <c r="J96" s="8">
        <f t="shared" si="32"/>
        <v>0</v>
      </c>
      <c r="K96" s="8">
        <v>0</v>
      </c>
      <c r="L96" s="8">
        <v>0</v>
      </c>
      <c r="M96" s="8">
        <v>0</v>
      </c>
      <c r="N96" s="8">
        <v>0</v>
      </c>
      <c r="O96" s="8">
        <v>0</v>
      </c>
      <c r="P96" s="293">
        <f t="shared" si="23"/>
        <v>90000</v>
      </c>
    </row>
    <row r="97" spans="1:16" ht="63" x14ac:dyDescent="0.25">
      <c r="A97" s="566" t="s">
        <v>109</v>
      </c>
      <c r="B97" s="567" t="s">
        <v>110</v>
      </c>
      <c r="C97" s="567" t="s">
        <v>107</v>
      </c>
      <c r="D97" s="176" t="s">
        <v>377</v>
      </c>
      <c r="E97" s="270">
        <f t="shared" si="31"/>
        <v>10972796</v>
      </c>
      <c r="F97" s="270">
        <f>10570071+1431856-49680+49680+382880-1412011</f>
        <v>10972796</v>
      </c>
      <c r="G97" s="270">
        <f>5907423+382880</f>
        <v>6290303</v>
      </c>
      <c r="H97" s="270">
        <v>542849</v>
      </c>
      <c r="I97" s="8">
        <v>0</v>
      </c>
      <c r="J97" s="8">
        <f t="shared" si="32"/>
        <v>0</v>
      </c>
      <c r="K97" s="8">
        <v>0</v>
      </c>
      <c r="L97" s="8">
        <v>0</v>
      </c>
      <c r="M97" s="8">
        <v>0</v>
      </c>
      <c r="N97" s="8">
        <v>0</v>
      </c>
      <c r="O97" s="8">
        <v>0</v>
      </c>
      <c r="P97" s="293">
        <f t="shared" si="23"/>
        <v>10972796</v>
      </c>
    </row>
    <row r="98" spans="1:16" ht="31.5" x14ac:dyDescent="0.25">
      <c r="A98" s="566" t="s">
        <v>248</v>
      </c>
      <c r="B98" s="567" t="s">
        <v>249</v>
      </c>
      <c r="C98" s="567" t="s">
        <v>107</v>
      </c>
      <c r="D98" s="176" t="s">
        <v>378</v>
      </c>
      <c r="E98" s="270">
        <f t="shared" si="31"/>
        <v>34488249</v>
      </c>
      <c r="F98" s="270">
        <f>33652119+1306877-470747</f>
        <v>34488249</v>
      </c>
      <c r="G98" s="270">
        <v>0</v>
      </c>
      <c r="H98" s="270">
        <v>0</v>
      </c>
      <c r="I98" s="8">
        <v>0</v>
      </c>
      <c r="J98" s="8">
        <f t="shared" si="32"/>
        <v>470747</v>
      </c>
      <c r="K98" s="8">
        <f>O98</f>
        <v>470747</v>
      </c>
      <c r="L98" s="8">
        <v>0</v>
      </c>
      <c r="M98" s="8">
        <v>0</v>
      </c>
      <c r="N98" s="8">
        <v>0</v>
      </c>
      <c r="O98" s="8">
        <f>0+470747</f>
        <v>470747</v>
      </c>
      <c r="P98" s="293">
        <f>E98+J98</f>
        <v>34958996</v>
      </c>
    </row>
    <row r="99" spans="1:16" ht="47.25" x14ac:dyDescent="0.25">
      <c r="A99" s="566">
        <v>1015049</v>
      </c>
      <c r="B99" s="567">
        <v>5049</v>
      </c>
      <c r="C99" s="567" t="s">
        <v>107</v>
      </c>
      <c r="D99" s="176" t="s">
        <v>571</v>
      </c>
      <c r="E99" s="270">
        <f t="shared" si="31"/>
        <v>105408</v>
      </c>
      <c r="F99" s="270">
        <v>105408</v>
      </c>
      <c r="G99" s="270">
        <v>105408</v>
      </c>
      <c r="H99" s="270"/>
      <c r="I99" s="8"/>
      <c r="J99" s="8"/>
      <c r="K99" s="8"/>
      <c r="L99" s="8"/>
      <c r="M99" s="8"/>
      <c r="N99" s="8"/>
      <c r="O99" s="8"/>
      <c r="P99" s="293">
        <f>E99+J99</f>
        <v>105408</v>
      </c>
    </row>
    <row r="100" spans="1:16" ht="79.5" customHeight="1" x14ac:dyDescent="0.25">
      <c r="A100" s="566" t="s">
        <v>111</v>
      </c>
      <c r="B100" s="567" t="s">
        <v>112</v>
      </c>
      <c r="C100" s="567" t="s">
        <v>107</v>
      </c>
      <c r="D100" s="176" t="s">
        <v>113</v>
      </c>
      <c r="E100" s="270">
        <f t="shared" si="31"/>
        <v>5361858</v>
      </c>
      <c r="F100" s="270">
        <f>6016002+27333-91996+66525-278750+31780-409036</f>
        <v>5361858</v>
      </c>
      <c r="G100" s="270">
        <f>3633493+31780</f>
        <v>3665273</v>
      </c>
      <c r="H100" s="270">
        <v>119881</v>
      </c>
      <c r="I100" s="8">
        <v>0</v>
      </c>
      <c r="J100" s="8">
        <f t="shared" si="32"/>
        <v>0</v>
      </c>
      <c r="K100" s="8">
        <v>0</v>
      </c>
      <c r="L100" s="8">
        <v>0</v>
      </c>
      <c r="M100" s="8">
        <v>0</v>
      </c>
      <c r="N100" s="8">
        <v>0</v>
      </c>
      <c r="O100" s="8">
        <v>0</v>
      </c>
      <c r="P100" s="293">
        <f t="shared" si="23"/>
        <v>5361858</v>
      </c>
    </row>
    <row r="101" spans="1:16" ht="67.150000000000006" customHeight="1" thickBot="1" x14ac:dyDescent="0.3">
      <c r="A101" s="616" t="s">
        <v>114</v>
      </c>
      <c r="B101" s="617" t="s">
        <v>115</v>
      </c>
      <c r="C101" s="617" t="s">
        <v>107</v>
      </c>
      <c r="D101" s="269" t="s">
        <v>116</v>
      </c>
      <c r="E101" s="274">
        <f t="shared" si="31"/>
        <v>844000</v>
      </c>
      <c r="F101" s="274">
        <f>558000-30000+316000</f>
        <v>844000</v>
      </c>
      <c r="G101" s="274">
        <v>0</v>
      </c>
      <c r="H101" s="274">
        <v>0</v>
      </c>
      <c r="I101" s="243">
        <v>0</v>
      </c>
      <c r="J101" s="243">
        <f t="shared" si="32"/>
        <v>0</v>
      </c>
      <c r="K101" s="243">
        <v>0</v>
      </c>
      <c r="L101" s="243">
        <v>0</v>
      </c>
      <c r="M101" s="243">
        <v>0</v>
      </c>
      <c r="N101" s="243">
        <v>0</v>
      </c>
      <c r="O101" s="243">
        <v>0</v>
      </c>
      <c r="P101" s="295">
        <f t="shared" si="23"/>
        <v>844000</v>
      </c>
    </row>
    <row r="102" spans="1:16" s="234" customFormat="1" ht="63" customHeight="1" thickBot="1" x14ac:dyDescent="0.3">
      <c r="A102" s="262" t="s">
        <v>117</v>
      </c>
      <c r="B102" s="263" t="s">
        <v>16</v>
      </c>
      <c r="C102" s="263" t="s">
        <v>16</v>
      </c>
      <c r="D102" s="265" t="s">
        <v>624</v>
      </c>
      <c r="E102" s="290">
        <f>E103</f>
        <v>73478654</v>
      </c>
      <c r="F102" s="290">
        <f>F103</f>
        <v>73478654</v>
      </c>
      <c r="G102" s="290">
        <f t="shared" ref="G102:I102" si="34">G103</f>
        <v>4146980</v>
      </c>
      <c r="H102" s="290">
        <f t="shared" si="34"/>
        <v>58050</v>
      </c>
      <c r="I102" s="290">
        <f t="shared" si="34"/>
        <v>0</v>
      </c>
      <c r="J102" s="22">
        <f>J103</f>
        <v>2690526</v>
      </c>
      <c r="K102" s="290">
        <f t="shared" ref="K102:O102" si="35">K103</f>
        <v>2296426</v>
      </c>
      <c r="L102" s="290">
        <f t="shared" si="35"/>
        <v>322056</v>
      </c>
      <c r="M102" s="290">
        <f t="shared" si="35"/>
        <v>0</v>
      </c>
      <c r="N102" s="290">
        <f t="shared" si="35"/>
        <v>0</v>
      </c>
      <c r="O102" s="290">
        <f t="shared" si="35"/>
        <v>2368470</v>
      </c>
      <c r="P102" s="291">
        <f>E102+J102</f>
        <v>76169180</v>
      </c>
    </row>
    <row r="103" spans="1:16" s="233" customFormat="1" ht="60.75" customHeight="1" x14ac:dyDescent="0.25">
      <c r="A103" s="283" t="s">
        <v>118</v>
      </c>
      <c r="B103" s="284" t="s">
        <v>16</v>
      </c>
      <c r="C103" s="284" t="s">
        <v>16</v>
      </c>
      <c r="D103" s="285" t="s">
        <v>624</v>
      </c>
      <c r="E103" s="272">
        <f>E104+E105+E106+E107+E108+E109+E110+E111+E114+E112+E113</f>
        <v>73478654</v>
      </c>
      <c r="F103" s="272">
        <f>F104+F105+F106+F107+F108+F109+F110+F111+F114+F112+F113</f>
        <v>73478654</v>
      </c>
      <c r="G103" s="272">
        <f t="shared" ref="G103:O103" si="36">G104+G105+G107+G108+G109+G110+G111+G114</f>
        <v>4146980</v>
      </c>
      <c r="H103" s="272">
        <f>H104+H105+H107+H108+H109+H110+H111+H114+H112</f>
        <v>58050</v>
      </c>
      <c r="I103" s="272">
        <f t="shared" si="36"/>
        <v>0</v>
      </c>
      <c r="J103" s="272">
        <f t="shared" si="36"/>
        <v>2690526</v>
      </c>
      <c r="K103" s="272">
        <f t="shared" si="36"/>
        <v>2296426</v>
      </c>
      <c r="L103" s="272">
        <f t="shared" si="36"/>
        <v>322056</v>
      </c>
      <c r="M103" s="272">
        <f t="shared" si="36"/>
        <v>0</v>
      </c>
      <c r="N103" s="272">
        <f t="shared" si="36"/>
        <v>0</v>
      </c>
      <c r="O103" s="272">
        <f t="shared" si="36"/>
        <v>2368470</v>
      </c>
      <c r="P103" s="292">
        <f>P104+P105+P107+P108+P109+P110+P111+P114+P112+P113+P106</f>
        <v>76169180</v>
      </c>
    </row>
    <row r="104" spans="1:16" ht="47.25" x14ac:dyDescent="0.25">
      <c r="A104" s="566" t="s">
        <v>119</v>
      </c>
      <c r="B104" s="567" t="s">
        <v>43</v>
      </c>
      <c r="C104" s="567" t="s">
        <v>18</v>
      </c>
      <c r="D104" s="176" t="s">
        <v>228</v>
      </c>
      <c r="E104" s="270">
        <f>F104</f>
        <v>4265901</v>
      </c>
      <c r="F104" s="270">
        <f>4702083-436182</f>
        <v>4265901</v>
      </c>
      <c r="G104" s="270">
        <f>4583162-436182</f>
        <v>4146980</v>
      </c>
      <c r="H104" s="270">
        <v>0</v>
      </c>
      <c r="I104" s="8">
        <v>0</v>
      </c>
      <c r="J104" s="8"/>
      <c r="K104" s="8"/>
      <c r="L104" s="8">
        <v>0</v>
      </c>
      <c r="M104" s="8">
        <v>0</v>
      </c>
      <c r="N104" s="8">
        <v>0</v>
      </c>
      <c r="O104" s="8"/>
      <c r="P104" s="293">
        <f t="shared" si="23"/>
        <v>4265901</v>
      </c>
    </row>
    <row r="105" spans="1:16" ht="31.5" x14ac:dyDescent="0.25">
      <c r="A105" s="566" t="s">
        <v>120</v>
      </c>
      <c r="B105" s="567" t="s">
        <v>121</v>
      </c>
      <c r="C105" s="567" t="s">
        <v>122</v>
      </c>
      <c r="D105" s="176" t="s">
        <v>123</v>
      </c>
      <c r="E105" s="270">
        <f t="shared" ref="E105:E114" si="37">F105</f>
        <v>9760</v>
      </c>
      <c r="F105" s="270">
        <v>9760</v>
      </c>
      <c r="G105" s="270">
        <v>0</v>
      </c>
      <c r="H105" s="270">
        <v>0</v>
      </c>
      <c r="I105" s="8">
        <v>0</v>
      </c>
      <c r="J105" s="8">
        <f t="shared" ref="J105:J111" si="38">L105+O105</f>
        <v>0</v>
      </c>
      <c r="K105" s="8">
        <v>0</v>
      </c>
      <c r="L105" s="8">
        <v>0</v>
      </c>
      <c r="M105" s="8">
        <v>0</v>
      </c>
      <c r="N105" s="8">
        <v>0</v>
      </c>
      <c r="O105" s="8">
        <v>0</v>
      </c>
      <c r="P105" s="293">
        <f t="shared" si="23"/>
        <v>9760</v>
      </c>
    </row>
    <row r="106" spans="1:16" ht="47.25" x14ac:dyDescent="0.25">
      <c r="A106" s="566">
        <v>1216012</v>
      </c>
      <c r="B106" s="567">
        <v>6012</v>
      </c>
      <c r="C106" s="288" t="s">
        <v>28</v>
      </c>
      <c r="D106" s="176" t="s">
        <v>280</v>
      </c>
      <c r="E106" s="270">
        <f t="shared" si="37"/>
        <v>9431609</v>
      </c>
      <c r="F106" s="270">
        <f>1677959+4873386+1761624+1118640</f>
        <v>9431609</v>
      </c>
      <c r="G106" s="270"/>
      <c r="H106" s="270"/>
      <c r="I106" s="8"/>
      <c r="J106" s="8"/>
      <c r="K106" s="8"/>
      <c r="L106" s="8"/>
      <c r="M106" s="8"/>
      <c r="N106" s="8"/>
      <c r="O106" s="8"/>
      <c r="P106" s="293">
        <f t="shared" si="23"/>
        <v>9431609</v>
      </c>
    </row>
    <row r="107" spans="1:16" ht="31.5" x14ac:dyDescent="0.25">
      <c r="A107" s="566" t="s">
        <v>124</v>
      </c>
      <c r="B107" s="567" t="s">
        <v>125</v>
      </c>
      <c r="C107" s="567" t="s">
        <v>28</v>
      </c>
      <c r="D107" s="176" t="s">
        <v>126</v>
      </c>
      <c r="E107" s="270">
        <f t="shared" si="37"/>
        <v>576620</v>
      </c>
      <c r="F107" s="270">
        <f>1597918-29918-298500-692880</f>
        <v>576620</v>
      </c>
      <c r="G107" s="270">
        <v>0</v>
      </c>
      <c r="H107" s="270">
        <v>0</v>
      </c>
      <c r="I107" s="8">
        <v>0</v>
      </c>
      <c r="J107" s="8">
        <f t="shared" si="38"/>
        <v>0</v>
      </c>
      <c r="K107" s="8">
        <v>0</v>
      </c>
      <c r="L107" s="8">
        <v>0</v>
      </c>
      <c r="M107" s="8">
        <v>0</v>
      </c>
      <c r="N107" s="8">
        <v>0</v>
      </c>
      <c r="O107" s="8">
        <v>0</v>
      </c>
      <c r="P107" s="293">
        <f t="shared" si="23"/>
        <v>576620</v>
      </c>
    </row>
    <row r="108" spans="1:16" ht="31.5" x14ac:dyDescent="0.25">
      <c r="A108" s="566">
        <v>1216015</v>
      </c>
      <c r="B108" s="567">
        <v>6015</v>
      </c>
      <c r="C108" s="567" t="s">
        <v>28</v>
      </c>
      <c r="D108" s="176" t="s">
        <v>328</v>
      </c>
      <c r="E108" s="270">
        <f t="shared" si="37"/>
        <v>0</v>
      </c>
      <c r="F108" s="270"/>
      <c r="G108" s="270"/>
      <c r="H108" s="270"/>
      <c r="I108" s="8"/>
      <c r="J108" s="8">
        <f t="shared" si="38"/>
        <v>1835036</v>
      </c>
      <c r="K108" s="8">
        <v>1835036</v>
      </c>
      <c r="L108" s="8"/>
      <c r="M108" s="8"/>
      <c r="N108" s="8"/>
      <c r="O108" s="8">
        <v>1835036</v>
      </c>
      <c r="P108" s="293">
        <f t="shared" si="23"/>
        <v>1835036</v>
      </c>
    </row>
    <row r="109" spans="1:16" ht="31.5" x14ac:dyDescent="0.25">
      <c r="A109" s="566" t="s">
        <v>127</v>
      </c>
      <c r="B109" s="567" t="s">
        <v>27</v>
      </c>
      <c r="C109" s="567" t="s">
        <v>28</v>
      </c>
      <c r="D109" s="176" t="s">
        <v>29</v>
      </c>
      <c r="E109" s="270">
        <f t="shared" si="37"/>
        <v>46152938</v>
      </c>
      <c r="F109" s="270">
        <f>45852621-1037165-100770+831282+606970</f>
        <v>46152938</v>
      </c>
      <c r="G109" s="270">
        <v>0</v>
      </c>
      <c r="H109" s="270">
        <v>0</v>
      </c>
      <c r="I109" s="8">
        <v>0</v>
      </c>
      <c r="J109" s="8">
        <f t="shared" si="38"/>
        <v>461390</v>
      </c>
      <c r="K109" s="8">
        <v>461390</v>
      </c>
      <c r="L109" s="8">
        <v>0</v>
      </c>
      <c r="M109" s="8">
        <v>0</v>
      </c>
      <c r="N109" s="8">
        <v>0</v>
      </c>
      <c r="O109" s="8">
        <v>461390</v>
      </c>
      <c r="P109" s="293">
        <f t="shared" si="23"/>
        <v>46614328</v>
      </c>
    </row>
    <row r="110" spans="1:16" ht="173.25" x14ac:dyDescent="0.25">
      <c r="A110" s="566">
        <v>1216071</v>
      </c>
      <c r="B110" s="567">
        <v>6071</v>
      </c>
      <c r="C110" s="288" t="s">
        <v>319</v>
      </c>
      <c r="D110" s="176" t="s">
        <v>320</v>
      </c>
      <c r="E110" s="270">
        <f t="shared" si="37"/>
        <v>9531353</v>
      </c>
      <c r="F110" s="270">
        <f>4380000+4904334+247019</f>
        <v>9531353</v>
      </c>
      <c r="G110" s="270"/>
      <c r="H110" s="270"/>
      <c r="I110" s="8"/>
      <c r="J110" s="8"/>
      <c r="K110" s="8"/>
      <c r="L110" s="8"/>
      <c r="M110" s="8"/>
      <c r="N110" s="8"/>
      <c r="O110" s="8"/>
      <c r="P110" s="293">
        <f t="shared" si="23"/>
        <v>9531353</v>
      </c>
    </row>
    <row r="111" spans="1:16" ht="45.75" customHeight="1" x14ac:dyDescent="0.25">
      <c r="A111" s="566" t="s">
        <v>128</v>
      </c>
      <c r="B111" s="567" t="s">
        <v>129</v>
      </c>
      <c r="C111" s="567" t="s">
        <v>130</v>
      </c>
      <c r="D111" s="176" t="s">
        <v>131</v>
      </c>
      <c r="E111" s="270">
        <f t="shared" si="37"/>
        <v>3080153</v>
      </c>
      <c r="F111" s="270">
        <f>2968087+112066</f>
        <v>3080153</v>
      </c>
      <c r="G111" s="270">
        <v>0</v>
      </c>
      <c r="H111" s="270">
        <v>0</v>
      </c>
      <c r="I111" s="8">
        <v>0</v>
      </c>
      <c r="J111" s="8">
        <f t="shared" si="38"/>
        <v>0</v>
      </c>
      <c r="K111" s="8">
        <v>0</v>
      </c>
      <c r="L111" s="8">
        <v>0</v>
      </c>
      <c r="M111" s="8">
        <v>0</v>
      </c>
      <c r="N111" s="8">
        <v>0</v>
      </c>
      <c r="O111" s="8">
        <v>0</v>
      </c>
      <c r="P111" s="293">
        <f t="shared" si="23"/>
        <v>3080153</v>
      </c>
    </row>
    <row r="112" spans="1:16" ht="45.75" customHeight="1" x14ac:dyDescent="0.25">
      <c r="A112" s="267">
        <v>1218110</v>
      </c>
      <c r="B112" s="268">
        <v>8110</v>
      </c>
      <c r="C112" s="428" t="s">
        <v>277</v>
      </c>
      <c r="D112" s="176" t="s">
        <v>278</v>
      </c>
      <c r="E112" s="270">
        <f t="shared" si="37"/>
        <v>364320</v>
      </c>
      <c r="F112" s="271">
        <f>207555+58050+98715</f>
        <v>364320</v>
      </c>
      <c r="G112" s="271"/>
      <c r="H112" s="271">
        <f>0+58050</f>
        <v>58050</v>
      </c>
      <c r="I112" s="35"/>
      <c r="J112" s="8"/>
      <c r="K112" s="35"/>
      <c r="L112" s="35"/>
      <c r="M112" s="35"/>
      <c r="N112" s="35"/>
      <c r="O112" s="35"/>
      <c r="P112" s="293">
        <f t="shared" si="23"/>
        <v>364320</v>
      </c>
    </row>
    <row r="113" spans="1:16" ht="45.75" customHeight="1" x14ac:dyDescent="0.25">
      <c r="A113" s="267">
        <v>1218311</v>
      </c>
      <c r="B113" s="268">
        <v>8311</v>
      </c>
      <c r="C113" s="428" t="s">
        <v>322</v>
      </c>
      <c r="D113" s="176" t="s">
        <v>323</v>
      </c>
      <c r="E113" s="270">
        <f t="shared" si="37"/>
        <v>66000</v>
      </c>
      <c r="F113" s="271">
        <f>66000</f>
        <v>66000</v>
      </c>
      <c r="G113" s="271"/>
      <c r="H113" s="271"/>
      <c r="I113" s="35"/>
      <c r="J113" s="8"/>
      <c r="K113" s="35"/>
      <c r="L113" s="35"/>
      <c r="M113" s="35"/>
      <c r="N113" s="35"/>
      <c r="O113" s="35"/>
      <c r="P113" s="293">
        <f t="shared" si="23"/>
        <v>66000</v>
      </c>
    </row>
    <row r="114" spans="1:16" ht="38.25" customHeight="1" thickBot="1" x14ac:dyDescent="0.3">
      <c r="A114" s="267" t="s">
        <v>132</v>
      </c>
      <c r="B114" s="268" t="s">
        <v>133</v>
      </c>
      <c r="C114" s="268" t="s">
        <v>134</v>
      </c>
      <c r="D114" s="261" t="s">
        <v>135</v>
      </c>
      <c r="E114" s="271">
        <f t="shared" si="37"/>
        <v>0</v>
      </c>
      <c r="F114" s="271">
        <v>0</v>
      </c>
      <c r="G114" s="271">
        <v>0</v>
      </c>
      <c r="H114" s="271">
        <v>0</v>
      </c>
      <c r="I114" s="35">
        <v>0</v>
      </c>
      <c r="J114" s="8">
        <f>L114+O114</f>
        <v>394100</v>
      </c>
      <c r="K114" s="35">
        <v>0</v>
      </c>
      <c r="L114" s="35">
        <v>322056</v>
      </c>
      <c r="M114" s="35">
        <v>0</v>
      </c>
      <c r="N114" s="35">
        <v>0</v>
      </c>
      <c r="O114" s="35">
        <f>137244-65200</f>
        <v>72044</v>
      </c>
      <c r="P114" s="294">
        <f t="shared" si="23"/>
        <v>394100</v>
      </c>
    </row>
    <row r="115" spans="1:16" s="234" customFormat="1" ht="63.75" thickBot="1" x14ac:dyDescent="0.3">
      <c r="A115" s="262" t="s">
        <v>136</v>
      </c>
      <c r="B115" s="263" t="s">
        <v>16</v>
      </c>
      <c r="C115" s="263" t="s">
        <v>16</v>
      </c>
      <c r="D115" s="265" t="s">
        <v>406</v>
      </c>
      <c r="E115" s="290">
        <f>E116</f>
        <v>2932196</v>
      </c>
      <c r="F115" s="290">
        <f>E115</f>
        <v>2932196</v>
      </c>
      <c r="G115" s="290">
        <f>G116</f>
        <v>2693423</v>
      </c>
      <c r="H115" s="290">
        <f t="shared" ref="H115:I115" si="39">H116</f>
        <v>107058</v>
      </c>
      <c r="I115" s="290">
        <f t="shared" si="39"/>
        <v>0</v>
      </c>
      <c r="J115" s="290">
        <f>J116</f>
        <v>64405680</v>
      </c>
      <c r="K115" s="290">
        <f>K116</f>
        <v>64405680</v>
      </c>
      <c r="L115" s="290">
        <f t="shared" ref="L115:O115" si="40">L116</f>
        <v>0</v>
      </c>
      <c r="M115" s="290">
        <f t="shared" si="40"/>
        <v>0</v>
      </c>
      <c r="N115" s="290">
        <f t="shared" si="40"/>
        <v>0</v>
      </c>
      <c r="O115" s="290">
        <f t="shared" si="40"/>
        <v>64405680</v>
      </c>
      <c r="P115" s="291">
        <f>E115+J115</f>
        <v>67337876</v>
      </c>
    </row>
    <row r="116" spans="1:16" s="233" customFormat="1" ht="47.25" x14ac:dyDescent="0.25">
      <c r="A116" s="283" t="s">
        <v>137</v>
      </c>
      <c r="B116" s="284" t="s">
        <v>16</v>
      </c>
      <c r="C116" s="284" t="s">
        <v>16</v>
      </c>
      <c r="D116" s="285" t="s">
        <v>406</v>
      </c>
      <c r="E116" s="272">
        <f t="shared" ref="E116:N116" si="41">E118+E122+E125</f>
        <v>2932196</v>
      </c>
      <c r="F116" s="272">
        <f t="shared" si="41"/>
        <v>2932196</v>
      </c>
      <c r="G116" s="272">
        <f t="shared" si="41"/>
        <v>2693423</v>
      </c>
      <c r="H116" s="272">
        <f t="shared" si="41"/>
        <v>107058</v>
      </c>
      <c r="I116" s="272">
        <f t="shared" si="41"/>
        <v>0</v>
      </c>
      <c r="J116" s="272">
        <f>J118+J122+J125+J119+J120+J121+J123+J124+J117</f>
        <v>64405680</v>
      </c>
      <c r="K116" s="272">
        <f>K118+K122+K125+K119+K120+K121+K123+K124+K117</f>
        <v>64405680</v>
      </c>
      <c r="L116" s="272">
        <f t="shared" si="41"/>
        <v>0</v>
      </c>
      <c r="M116" s="272">
        <f t="shared" si="41"/>
        <v>0</v>
      </c>
      <c r="N116" s="272">
        <f t="shared" si="41"/>
        <v>0</v>
      </c>
      <c r="O116" s="272">
        <f>O118+O122+O125+O119+O120+O121+O123+O124+O117</f>
        <v>64405680</v>
      </c>
      <c r="P116" s="292">
        <f>E116+J116</f>
        <v>67337876</v>
      </c>
    </row>
    <row r="117" spans="1:16" s="233" customFormat="1" ht="94.5" x14ac:dyDescent="0.25">
      <c r="A117" s="566">
        <v>1510150</v>
      </c>
      <c r="B117" s="288" t="s">
        <v>220</v>
      </c>
      <c r="C117" s="567" t="s">
        <v>18</v>
      </c>
      <c r="D117" s="176" t="s">
        <v>221</v>
      </c>
      <c r="E117" s="272"/>
      <c r="F117" s="272"/>
      <c r="G117" s="272"/>
      <c r="H117" s="272"/>
      <c r="I117" s="272"/>
      <c r="J117" s="8">
        <f t="shared" ref="J117:J124" si="42">L117+O117</f>
        <v>599219</v>
      </c>
      <c r="K117" s="35">
        <f>250000+349219</f>
        <v>599219</v>
      </c>
      <c r="L117" s="272"/>
      <c r="M117" s="272"/>
      <c r="N117" s="272"/>
      <c r="O117" s="35">
        <f>250000+349219</f>
        <v>599219</v>
      </c>
      <c r="P117" s="292">
        <f>E117+J117</f>
        <v>599219</v>
      </c>
    </row>
    <row r="118" spans="1:16" ht="47.25" x14ac:dyDescent="0.25">
      <c r="A118" s="566" t="s">
        <v>250</v>
      </c>
      <c r="B118" s="567" t="s">
        <v>43</v>
      </c>
      <c r="C118" s="567" t="s">
        <v>18</v>
      </c>
      <c r="D118" s="176" t="s">
        <v>228</v>
      </c>
      <c r="E118" s="270">
        <f>F118+I118</f>
        <v>2932196</v>
      </c>
      <c r="F118" s="270">
        <f>3837314-1876-412+2288-505898+4500-5650+986+164-399220</f>
        <v>2932196</v>
      </c>
      <c r="G118" s="270">
        <f>3600829-1876-412-505898-399220</f>
        <v>2693423</v>
      </c>
      <c r="H118" s="270">
        <f>111558-5650+986+164</f>
        <v>107058</v>
      </c>
      <c r="I118" s="8">
        <v>0</v>
      </c>
      <c r="J118" s="8">
        <f t="shared" si="42"/>
        <v>0</v>
      </c>
      <c r="K118" s="8">
        <v>0</v>
      </c>
      <c r="L118" s="8">
        <v>0</v>
      </c>
      <c r="M118" s="8">
        <v>0</v>
      </c>
      <c r="N118" s="8">
        <v>0</v>
      </c>
      <c r="O118" s="8">
        <v>0</v>
      </c>
      <c r="P118" s="293">
        <f t="shared" si="23"/>
        <v>2932196</v>
      </c>
    </row>
    <row r="119" spans="1:16" ht="47.25" x14ac:dyDescent="0.25">
      <c r="A119" s="267">
        <v>1511021</v>
      </c>
      <c r="B119" s="268">
        <v>1021</v>
      </c>
      <c r="C119" s="428" t="s">
        <v>50</v>
      </c>
      <c r="D119" s="176" t="s">
        <v>407</v>
      </c>
      <c r="E119" s="270"/>
      <c r="F119" s="271"/>
      <c r="G119" s="271"/>
      <c r="H119" s="271"/>
      <c r="I119" s="35"/>
      <c r="J119" s="8">
        <f t="shared" si="42"/>
        <v>27623535</v>
      </c>
      <c r="K119" s="35">
        <f>O119</f>
        <v>27623535</v>
      </c>
      <c r="L119" s="35"/>
      <c r="M119" s="35"/>
      <c r="N119" s="35"/>
      <c r="O119" s="35">
        <f>2503555+15306015+248082+1486740+583500+6000000-174359-248082-4700000+6618084+515294-96829-418465</f>
        <v>27623535</v>
      </c>
      <c r="P119" s="293">
        <f t="shared" si="23"/>
        <v>27623535</v>
      </c>
    </row>
    <row r="120" spans="1:16" ht="49.5" customHeight="1" x14ac:dyDescent="0.25">
      <c r="A120" s="267">
        <v>1512010</v>
      </c>
      <c r="B120" s="268">
        <v>2010</v>
      </c>
      <c r="C120" s="428" t="s">
        <v>21</v>
      </c>
      <c r="D120" s="176" t="s">
        <v>22</v>
      </c>
      <c r="E120" s="270"/>
      <c r="F120" s="271"/>
      <c r="G120" s="271"/>
      <c r="H120" s="271"/>
      <c r="I120" s="35"/>
      <c r="J120" s="8">
        <f t="shared" si="42"/>
        <v>3000000</v>
      </c>
      <c r="K120" s="8">
        <f t="shared" ref="K120:K121" si="43">O120</f>
        <v>3000000</v>
      </c>
      <c r="L120" s="35"/>
      <c r="M120" s="35"/>
      <c r="N120" s="35"/>
      <c r="O120" s="35">
        <f>0+3000000</f>
        <v>3000000</v>
      </c>
      <c r="P120" s="293">
        <f t="shared" si="23"/>
        <v>3000000</v>
      </c>
    </row>
    <row r="121" spans="1:16" ht="27.6" customHeight="1" x14ac:dyDescent="0.25">
      <c r="A121" s="267">
        <v>1512170</v>
      </c>
      <c r="B121" s="268">
        <v>2170</v>
      </c>
      <c r="C121" s="428" t="s">
        <v>275</v>
      </c>
      <c r="D121" s="176" t="s">
        <v>408</v>
      </c>
      <c r="E121" s="270"/>
      <c r="F121" s="271"/>
      <c r="G121" s="271"/>
      <c r="H121" s="271"/>
      <c r="I121" s="35"/>
      <c r="J121" s="8">
        <f t="shared" si="42"/>
        <v>173444</v>
      </c>
      <c r="K121" s="8">
        <f t="shared" si="43"/>
        <v>173444</v>
      </c>
      <c r="L121" s="35"/>
      <c r="M121" s="35"/>
      <c r="N121" s="35"/>
      <c r="O121" s="35">
        <v>173444</v>
      </c>
      <c r="P121" s="293">
        <f t="shared" si="23"/>
        <v>173444</v>
      </c>
    </row>
    <row r="122" spans="1:16" ht="47.25" x14ac:dyDescent="0.25">
      <c r="A122" s="307">
        <v>1516012</v>
      </c>
      <c r="B122" s="308">
        <v>6012</v>
      </c>
      <c r="C122" s="309" t="s">
        <v>28</v>
      </c>
      <c r="D122" s="255" t="s">
        <v>280</v>
      </c>
      <c r="E122" s="270">
        <f t="shared" ref="E122:E125" si="44">F122+I122</f>
        <v>0</v>
      </c>
      <c r="F122" s="271"/>
      <c r="G122" s="271"/>
      <c r="H122" s="271"/>
      <c r="I122" s="35"/>
      <c r="J122" s="8">
        <f t="shared" si="42"/>
        <v>21076468</v>
      </c>
      <c r="K122" s="8">
        <f>O122</f>
        <v>21076468</v>
      </c>
      <c r="L122" s="35"/>
      <c r="M122" s="35"/>
      <c r="N122" s="35"/>
      <c r="O122" s="35">
        <f>3098317-1031901+7997976-60000+45000+381043+5865565+2580149-712+2201031</f>
        <v>21076468</v>
      </c>
      <c r="P122" s="293">
        <f t="shared" si="23"/>
        <v>21076468</v>
      </c>
    </row>
    <row r="123" spans="1:16" ht="31.5" x14ac:dyDescent="0.25">
      <c r="A123" s="307">
        <v>1516013</v>
      </c>
      <c r="B123" s="308">
        <v>6013</v>
      </c>
      <c r="C123" s="309" t="s">
        <v>28</v>
      </c>
      <c r="D123" s="255" t="s">
        <v>126</v>
      </c>
      <c r="E123" s="270"/>
      <c r="F123" s="271"/>
      <c r="G123" s="271"/>
      <c r="H123" s="271"/>
      <c r="I123" s="35"/>
      <c r="J123" s="8">
        <f t="shared" si="42"/>
        <v>1239640</v>
      </c>
      <c r="K123" s="8">
        <f>O123</f>
        <v>1239640</v>
      </c>
      <c r="L123" s="35"/>
      <c r="M123" s="35"/>
      <c r="N123" s="35"/>
      <c r="O123" s="35">
        <f>60000+198440-60000+1041200</f>
        <v>1239640</v>
      </c>
      <c r="P123" s="293">
        <f t="shared" si="23"/>
        <v>1239640</v>
      </c>
    </row>
    <row r="124" spans="1:16" ht="31.5" x14ac:dyDescent="0.25">
      <c r="A124" s="307">
        <v>1516030</v>
      </c>
      <c r="B124" s="308">
        <v>6030</v>
      </c>
      <c r="C124" s="309" t="s">
        <v>28</v>
      </c>
      <c r="D124" s="255" t="s">
        <v>29</v>
      </c>
      <c r="E124" s="270"/>
      <c r="F124" s="271"/>
      <c r="G124" s="271"/>
      <c r="H124" s="271"/>
      <c r="I124" s="35"/>
      <c r="J124" s="8">
        <f t="shared" si="42"/>
        <v>3166481</v>
      </c>
      <c r="K124" s="8">
        <f>O124</f>
        <v>3166481</v>
      </c>
      <c r="L124" s="35"/>
      <c r="M124" s="35"/>
      <c r="N124" s="35"/>
      <c r="O124" s="35">
        <f>251111+45000+49800+55031+100539+1000000+500000+15000+1150000</f>
        <v>3166481</v>
      </c>
      <c r="P124" s="293">
        <f t="shared" si="23"/>
        <v>3166481</v>
      </c>
    </row>
    <row r="125" spans="1:16" ht="48" thickBot="1" x14ac:dyDescent="0.3">
      <c r="A125" s="566">
        <v>1517461</v>
      </c>
      <c r="B125" s="567" t="s">
        <v>129</v>
      </c>
      <c r="C125" s="567" t="s">
        <v>130</v>
      </c>
      <c r="D125" s="176" t="s">
        <v>131</v>
      </c>
      <c r="E125" s="270">
        <f t="shared" si="44"/>
        <v>0</v>
      </c>
      <c r="F125" s="271"/>
      <c r="G125" s="271"/>
      <c r="H125" s="271"/>
      <c r="I125" s="35"/>
      <c r="J125" s="8">
        <f t="shared" ref="J125" si="45">L125+O125</f>
        <v>7526893</v>
      </c>
      <c r="K125" s="8">
        <f>O125</f>
        <v>7526893</v>
      </c>
      <c r="L125" s="35"/>
      <c r="M125" s="35"/>
      <c r="N125" s="35"/>
      <c r="O125" s="35">
        <f>2799508+2192418+490356+1007036+997461+40114</f>
        <v>7526893</v>
      </c>
      <c r="P125" s="293">
        <f t="shared" si="23"/>
        <v>7526893</v>
      </c>
    </row>
    <row r="126" spans="1:16" s="234" customFormat="1" ht="62.25" customHeight="1" thickBot="1" x14ac:dyDescent="0.3">
      <c r="A126" s="262" t="s">
        <v>251</v>
      </c>
      <c r="B126" s="263" t="s">
        <v>16</v>
      </c>
      <c r="C126" s="263" t="s">
        <v>16</v>
      </c>
      <c r="D126" s="265" t="s">
        <v>652</v>
      </c>
      <c r="E126" s="290">
        <f>E127</f>
        <v>4927720</v>
      </c>
      <c r="F126" s="290">
        <f t="shared" ref="F126:I126" si="46">F127</f>
        <v>4927720</v>
      </c>
      <c r="G126" s="290">
        <f t="shared" si="46"/>
        <v>4663558</v>
      </c>
      <c r="H126" s="290">
        <f t="shared" si="46"/>
        <v>0</v>
      </c>
      <c r="I126" s="290">
        <f t="shared" si="46"/>
        <v>0</v>
      </c>
      <c r="J126" s="22">
        <f>J127</f>
        <v>9670744</v>
      </c>
      <c r="K126" s="22">
        <f>K127</f>
        <v>9670744</v>
      </c>
      <c r="L126" s="22">
        <f t="shared" ref="L126:O126" si="47">L127</f>
        <v>0</v>
      </c>
      <c r="M126" s="22">
        <f t="shared" si="47"/>
        <v>0</v>
      </c>
      <c r="N126" s="22">
        <f t="shared" si="47"/>
        <v>0</v>
      </c>
      <c r="O126" s="22">
        <f t="shared" si="47"/>
        <v>9670744</v>
      </c>
      <c r="P126" s="291">
        <f>E126+J126</f>
        <v>14598464</v>
      </c>
    </row>
    <row r="127" spans="1:16" s="233" customFormat="1" ht="63" x14ac:dyDescent="0.25">
      <c r="A127" s="283" t="s">
        <v>252</v>
      </c>
      <c r="B127" s="284" t="s">
        <v>16</v>
      </c>
      <c r="C127" s="284" t="s">
        <v>16</v>
      </c>
      <c r="D127" s="285" t="s">
        <v>652</v>
      </c>
      <c r="E127" s="272">
        <f>E128</f>
        <v>4927720</v>
      </c>
      <c r="F127" s="272">
        <f>F128</f>
        <v>4927720</v>
      </c>
      <c r="G127" s="272">
        <f>G128</f>
        <v>4663558</v>
      </c>
      <c r="H127" s="272">
        <f>H128</f>
        <v>0</v>
      </c>
      <c r="I127" s="38">
        <f>I128</f>
        <v>0</v>
      </c>
      <c r="J127" s="38">
        <f>L127+O127</f>
        <v>9670744</v>
      </c>
      <c r="K127" s="38">
        <f>K128+K129</f>
        <v>9670744</v>
      </c>
      <c r="L127" s="38">
        <f>L128+L129</f>
        <v>0</v>
      </c>
      <c r="M127" s="38">
        <f>M128+M129</f>
        <v>0</v>
      </c>
      <c r="N127" s="38">
        <f>N128+N129</f>
        <v>0</v>
      </c>
      <c r="O127" s="38">
        <f>O128+O129</f>
        <v>9670744</v>
      </c>
      <c r="P127" s="292">
        <f>E127+J127</f>
        <v>14598464</v>
      </c>
    </row>
    <row r="128" spans="1:16" ht="54.6" customHeight="1" x14ac:dyDescent="0.25">
      <c r="A128" s="566" t="s">
        <v>253</v>
      </c>
      <c r="B128" s="567" t="s">
        <v>43</v>
      </c>
      <c r="C128" s="567" t="s">
        <v>18</v>
      </c>
      <c r="D128" s="176" t="s">
        <v>228</v>
      </c>
      <c r="E128" s="270">
        <f>F128+I128</f>
        <v>4927720</v>
      </c>
      <c r="F128" s="270">
        <f>4633794-100000+393926</f>
        <v>4927720</v>
      </c>
      <c r="G128" s="270">
        <f>4369632-100000+393926</f>
        <v>4663558</v>
      </c>
      <c r="H128" s="270">
        <v>0</v>
      </c>
      <c r="I128" s="8">
        <v>0</v>
      </c>
      <c r="J128" s="38">
        <f t="shared" ref="J128" si="48">L128+O128</f>
        <v>0</v>
      </c>
      <c r="K128" s="8">
        <v>0</v>
      </c>
      <c r="L128" s="8">
        <v>0</v>
      </c>
      <c r="M128" s="8">
        <v>0</v>
      </c>
      <c r="N128" s="8">
        <v>0</v>
      </c>
      <c r="O128" s="8">
        <v>0</v>
      </c>
      <c r="P128" s="293">
        <f>E128+J128</f>
        <v>4927720</v>
      </c>
    </row>
    <row r="129" spans="1:16" ht="54.6" customHeight="1" thickBot="1" x14ac:dyDescent="0.3">
      <c r="A129" s="267">
        <v>1617351</v>
      </c>
      <c r="B129" s="268">
        <v>7351</v>
      </c>
      <c r="C129" s="428" t="s">
        <v>348</v>
      </c>
      <c r="D129" s="261" t="s">
        <v>355</v>
      </c>
      <c r="E129" s="270">
        <f>F129+I129</f>
        <v>0</v>
      </c>
      <c r="F129" s="271"/>
      <c r="G129" s="271"/>
      <c r="H129" s="271"/>
      <c r="I129" s="35"/>
      <c r="J129" s="8">
        <f>L129+O129</f>
        <v>9670744</v>
      </c>
      <c r="K129" s="35">
        <f>O129</f>
        <v>9670744</v>
      </c>
      <c r="L129" s="35"/>
      <c r="M129" s="35"/>
      <c r="N129" s="35"/>
      <c r="O129" s="35">
        <f>1031901+206381+2798176+5062858+571428</f>
        <v>9670744</v>
      </c>
      <c r="P129" s="293">
        <f t="shared" si="23"/>
        <v>9670744</v>
      </c>
    </row>
    <row r="130" spans="1:16" s="234" customFormat="1" ht="48" thickBot="1" x14ac:dyDescent="0.3">
      <c r="A130" s="262" t="s">
        <v>254</v>
      </c>
      <c r="B130" s="263" t="s">
        <v>16</v>
      </c>
      <c r="C130" s="263" t="s">
        <v>16</v>
      </c>
      <c r="D130" s="265" t="s">
        <v>629</v>
      </c>
      <c r="E130" s="290">
        <f>E131</f>
        <v>10940789</v>
      </c>
      <c r="F130" s="290">
        <f>F131</f>
        <v>10940789</v>
      </c>
      <c r="G130" s="290">
        <f>G131</f>
        <v>5217120</v>
      </c>
      <c r="H130" s="290">
        <f t="shared" ref="H130:I131" si="49">H131</f>
        <v>0</v>
      </c>
      <c r="I130" s="290">
        <f t="shared" si="49"/>
        <v>0</v>
      </c>
      <c r="J130" s="22">
        <f>J131</f>
        <v>58780</v>
      </c>
      <c r="K130" s="22">
        <f>K131</f>
        <v>58780</v>
      </c>
      <c r="L130" s="22">
        <f t="shared" ref="L130:O131" si="50">L131</f>
        <v>0</v>
      </c>
      <c r="M130" s="22">
        <f t="shared" si="50"/>
        <v>0</v>
      </c>
      <c r="N130" s="22">
        <f t="shared" si="50"/>
        <v>0</v>
      </c>
      <c r="O130" s="22">
        <f t="shared" si="50"/>
        <v>58780</v>
      </c>
      <c r="P130" s="291">
        <f>E130+J130</f>
        <v>10999569</v>
      </c>
    </row>
    <row r="131" spans="1:16" s="233" customFormat="1" ht="44.25" customHeight="1" x14ac:dyDescent="0.25">
      <c r="A131" s="283" t="s">
        <v>255</v>
      </c>
      <c r="B131" s="284" t="s">
        <v>16</v>
      </c>
      <c r="C131" s="284" t="s">
        <v>16</v>
      </c>
      <c r="D131" s="285" t="s">
        <v>629</v>
      </c>
      <c r="E131" s="272">
        <f>E132+E133+E134</f>
        <v>10940789</v>
      </c>
      <c r="F131" s="272">
        <f>F132+F133+F134</f>
        <v>10940789</v>
      </c>
      <c r="G131" s="272">
        <f t="shared" ref="G131" si="51">G132+G133</f>
        <v>5217120</v>
      </c>
      <c r="H131" s="272">
        <f t="shared" si="49"/>
        <v>0</v>
      </c>
      <c r="I131" s="272">
        <f t="shared" si="49"/>
        <v>0</v>
      </c>
      <c r="J131" s="38">
        <f>J132</f>
        <v>58780</v>
      </c>
      <c r="K131" s="38">
        <f>K132</f>
        <v>58780</v>
      </c>
      <c r="L131" s="38">
        <f t="shared" si="50"/>
        <v>0</v>
      </c>
      <c r="M131" s="38">
        <f t="shared" si="50"/>
        <v>0</v>
      </c>
      <c r="N131" s="38">
        <f t="shared" si="50"/>
        <v>0</v>
      </c>
      <c r="O131" s="38">
        <f t="shared" si="50"/>
        <v>58780</v>
      </c>
      <c r="P131" s="292">
        <f t="shared" si="23"/>
        <v>10999569</v>
      </c>
    </row>
    <row r="132" spans="1:16" ht="47.25" x14ac:dyDescent="0.25">
      <c r="A132" s="267" t="s">
        <v>256</v>
      </c>
      <c r="B132" s="268" t="s">
        <v>43</v>
      </c>
      <c r="C132" s="268" t="s">
        <v>18</v>
      </c>
      <c r="D132" s="261" t="s">
        <v>228</v>
      </c>
      <c r="E132" s="271">
        <f>F132+I132</f>
        <v>5396971</v>
      </c>
      <c r="F132" s="271">
        <f>4686270+18000+43791+648910</f>
        <v>5396971</v>
      </c>
      <c r="G132" s="271">
        <f>4568210+648910</f>
        <v>5217120</v>
      </c>
      <c r="H132" s="271">
        <v>0</v>
      </c>
      <c r="I132" s="35">
        <v>0</v>
      </c>
      <c r="J132" s="35">
        <f>L132+O132</f>
        <v>58780</v>
      </c>
      <c r="K132" s="35">
        <f>0+58780</f>
        <v>58780</v>
      </c>
      <c r="L132" s="35">
        <v>0</v>
      </c>
      <c r="M132" s="35">
        <v>0</v>
      </c>
      <c r="N132" s="35">
        <v>0</v>
      </c>
      <c r="O132" s="35">
        <f>58780</f>
        <v>58780</v>
      </c>
      <c r="P132" s="294">
        <f>E132+J132</f>
        <v>5455751</v>
      </c>
    </row>
    <row r="133" spans="1:16" ht="26.25" customHeight="1" x14ac:dyDescent="0.25">
      <c r="A133" s="566">
        <v>2717413</v>
      </c>
      <c r="B133" s="567">
        <v>7413</v>
      </c>
      <c r="C133" s="288" t="s">
        <v>283</v>
      </c>
      <c r="D133" s="176" t="s">
        <v>282</v>
      </c>
      <c r="E133" s="270">
        <f>F133+I133</f>
        <v>5362968</v>
      </c>
      <c r="F133" s="270">
        <f>5387040-24072</f>
        <v>5362968</v>
      </c>
      <c r="G133" s="270">
        <v>0</v>
      </c>
      <c r="H133" s="270"/>
      <c r="I133" s="8"/>
      <c r="J133" s="8"/>
      <c r="K133" s="8"/>
      <c r="L133" s="8"/>
      <c r="M133" s="8"/>
      <c r="N133" s="8"/>
      <c r="O133" s="8"/>
      <c r="P133" s="293">
        <f>E133+J133</f>
        <v>5362968</v>
      </c>
    </row>
    <row r="134" spans="1:16" ht="32.25" thickBot="1" x14ac:dyDescent="0.3">
      <c r="A134" s="254">
        <v>2717693</v>
      </c>
      <c r="B134" s="16">
        <v>7693</v>
      </c>
      <c r="C134" s="356" t="s">
        <v>224</v>
      </c>
      <c r="D134" s="455" t="s">
        <v>321</v>
      </c>
      <c r="E134" s="270">
        <f>F134+I134</f>
        <v>180850</v>
      </c>
      <c r="F134" s="353">
        <f>148850+32000</f>
        <v>180850</v>
      </c>
      <c r="G134" s="353"/>
      <c r="H134" s="353"/>
      <c r="I134" s="354"/>
      <c r="J134" s="354"/>
      <c r="K134" s="354"/>
      <c r="L134" s="354"/>
      <c r="M134" s="354"/>
      <c r="N134" s="354"/>
      <c r="O134" s="354"/>
      <c r="P134" s="293">
        <f>E134+J134</f>
        <v>180850</v>
      </c>
    </row>
    <row r="135" spans="1:16" s="234" customFormat="1" ht="48" thickBot="1" x14ac:dyDescent="0.3">
      <c r="A135" s="262" t="s">
        <v>257</v>
      </c>
      <c r="B135" s="263" t="s">
        <v>16</v>
      </c>
      <c r="C135" s="263" t="s">
        <v>16</v>
      </c>
      <c r="D135" s="265" t="s">
        <v>456</v>
      </c>
      <c r="E135" s="290">
        <f>E136</f>
        <v>4795114</v>
      </c>
      <c r="F135" s="290">
        <f>F136</f>
        <v>4795114</v>
      </c>
      <c r="G135" s="290">
        <f t="shared" ref="G135:I135" si="52">G136</f>
        <v>3732612</v>
      </c>
      <c r="H135" s="290">
        <f t="shared" si="52"/>
        <v>279692</v>
      </c>
      <c r="I135" s="290">
        <f t="shared" si="52"/>
        <v>0</v>
      </c>
      <c r="J135" s="22">
        <f>J136</f>
        <v>38000</v>
      </c>
      <c r="K135" s="290">
        <f>K136</f>
        <v>38000</v>
      </c>
      <c r="L135" s="290">
        <f t="shared" ref="L135:O135" si="53">L136</f>
        <v>0</v>
      </c>
      <c r="M135" s="290">
        <f t="shared" si="53"/>
        <v>0</v>
      </c>
      <c r="N135" s="290">
        <f t="shared" si="53"/>
        <v>0</v>
      </c>
      <c r="O135" s="290">
        <f t="shared" si="53"/>
        <v>38000</v>
      </c>
      <c r="P135" s="291">
        <f t="shared" si="23"/>
        <v>4833114</v>
      </c>
    </row>
    <row r="136" spans="1:16" s="233" customFormat="1" ht="47.25" x14ac:dyDescent="0.25">
      <c r="A136" s="283" t="s">
        <v>258</v>
      </c>
      <c r="B136" s="284" t="s">
        <v>16</v>
      </c>
      <c r="C136" s="284" t="s">
        <v>16</v>
      </c>
      <c r="D136" s="285" t="s">
        <v>456</v>
      </c>
      <c r="E136" s="272">
        <f>E137+E139+E140+E141</f>
        <v>4795114</v>
      </c>
      <c r="F136" s="272">
        <f>F137+F139+F140+F141</f>
        <v>4795114</v>
      </c>
      <c r="G136" s="272">
        <f>G137+G139+G140+G141</f>
        <v>3732612</v>
      </c>
      <c r="H136" s="272">
        <f>H137+H139+H140+H141</f>
        <v>279692</v>
      </c>
      <c r="I136" s="272">
        <f t="shared" ref="I136:N136" si="54">I137+I144</f>
        <v>0</v>
      </c>
      <c r="J136" s="38">
        <f>J137+J138</f>
        <v>38000</v>
      </c>
      <c r="K136" s="272">
        <f>K137+K138</f>
        <v>38000</v>
      </c>
      <c r="L136" s="272">
        <f t="shared" si="54"/>
        <v>0</v>
      </c>
      <c r="M136" s="272">
        <f t="shared" si="54"/>
        <v>0</v>
      </c>
      <c r="N136" s="272">
        <f t="shared" si="54"/>
        <v>0</v>
      </c>
      <c r="O136" s="272">
        <f>O137+O138</f>
        <v>38000</v>
      </c>
      <c r="P136" s="292">
        <f>P137+P139+P140+P141+P138</f>
        <v>4833114</v>
      </c>
    </row>
    <row r="137" spans="1:16" ht="47.25" x14ac:dyDescent="0.25">
      <c r="A137" s="566" t="s">
        <v>259</v>
      </c>
      <c r="B137" s="567" t="s">
        <v>43</v>
      </c>
      <c r="C137" s="567" t="s">
        <v>18</v>
      </c>
      <c r="D137" s="176" t="s">
        <v>228</v>
      </c>
      <c r="E137" s="270">
        <f>F137+I137</f>
        <v>3876142</v>
      </c>
      <c r="F137" s="270">
        <f>3652005-90000+314137</f>
        <v>3876142</v>
      </c>
      <c r="G137" s="270">
        <f>3508475-90000+314137</f>
        <v>3732612</v>
      </c>
      <c r="H137" s="270">
        <v>0</v>
      </c>
      <c r="I137" s="8">
        <v>0</v>
      </c>
      <c r="J137" s="8">
        <f>L137+O137</f>
        <v>0</v>
      </c>
      <c r="K137" s="8"/>
      <c r="L137" s="8">
        <v>0</v>
      </c>
      <c r="M137" s="8">
        <v>0</v>
      </c>
      <c r="N137" s="8">
        <v>0</v>
      </c>
      <c r="O137" s="8"/>
      <c r="P137" s="293">
        <f>E137+J137</f>
        <v>3876142</v>
      </c>
    </row>
    <row r="138" spans="1:16" ht="78.75" x14ac:dyDescent="0.25">
      <c r="A138" s="566">
        <v>3117660</v>
      </c>
      <c r="B138" s="567">
        <v>7660</v>
      </c>
      <c r="C138" s="288" t="s">
        <v>224</v>
      </c>
      <c r="D138" s="176" t="s">
        <v>292</v>
      </c>
      <c r="E138" s="270"/>
      <c r="F138" s="270"/>
      <c r="G138" s="270"/>
      <c r="H138" s="270"/>
      <c r="I138" s="8"/>
      <c r="J138" s="8">
        <f t="shared" ref="J138:J140" si="55">L138+O138</f>
        <v>38000</v>
      </c>
      <c r="K138" s="8">
        <v>38000</v>
      </c>
      <c r="L138" s="8"/>
      <c r="M138" s="8"/>
      <c r="N138" s="8"/>
      <c r="O138" s="8">
        <f>38000</f>
        <v>38000</v>
      </c>
      <c r="P138" s="293">
        <f>E138+J138</f>
        <v>38000</v>
      </c>
    </row>
    <row r="139" spans="1:16" ht="31.5" x14ac:dyDescent="0.25">
      <c r="A139" s="254">
        <v>3117693</v>
      </c>
      <c r="B139" s="16">
        <v>7693</v>
      </c>
      <c r="C139" s="356" t="s">
        <v>224</v>
      </c>
      <c r="D139" s="256" t="s">
        <v>321</v>
      </c>
      <c r="E139" s="273">
        <f t="shared" ref="E139:E141" si="56">F139+I139</f>
        <v>772500</v>
      </c>
      <c r="F139" s="273">
        <f>177000+500000+5300+24586-24586+90200</f>
        <v>772500</v>
      </c>
      <c r="G139" s="273"/>
      <c r="H139" s="273">
        <f>279692+24586-24586</f>
        <v>279692</v>
      </c>
      <c r="I139" s="28"/>
      <c r="J139" s="8">
        <f t="shared" si="55"/>
        <v>0</v>
      </c>
      <c r="K139" s="28"/>
      <c r="L139" s="28"/>
      <c r="M139" s="28"/>
      <c r="N139" s="28"/>
      <c r="O139" s="28"/>
      <c r="P139" s="620">
        <f t="shared" si="23"/>
        <v>772500</v>
      </c>
    </row>
    <row r="140" spans="1:16" ht="47.25" x14ac:dyDescent="0.25">
      <c r="A140" s="566">
        <v>3118110</v>
      </c>
      <c r="B140" s="567">
        <v>8110</v>
      </c>
      <c r="C140" s="288" t="s">
        <v>277</v>
      </c>
      <c r="D140" s="176" t="s">
        <v>278</v>
      </c>
      <c r="E140" s="270">
        <f t="shared" si="56"/>
        <v>121472</v>
      </c>
      <c r="F140" s="270">
        <v>121472</v>
      </c>
      <c r="G140" s="270"/>
      <c r="H140" s="270"/>
      <c r="I140" s="8"/>
      <c r="J140" s="8">
        <f t="shared" si="55"/>
        <v>0</v>
      </c>
      <c r="K140" s="8"/>
      <c r="L140" s="8"/>
      <c r="M140" s="8"/>
      <c r="N140" s="8"/>
      <c r="O140" s="8"/>
      <c r="P140" s="293">
        <f t="shared" si="23"/>
        <v>121472</v>
      </c>
    </row>
    <row r="141" spans="1:16" ht="32.25" thickBot="1" x14ac:dyDescent="0.3">
      <c r="A141" s="254">
        <v>3118311</v>
      </c>
      <c r="B141" s="16">
        <v>8311</v>
      </c>
      <c r="C141" s="356" t="s">
        <v>322</v>
      </c>
      <c r="D141" s="256" t="s">
        <v>323</v>
      </c>
      <c r="E141" s="270">
        <f t="shared" si="56"/>
        <v>25000</v>
      </c>
      <c r="F141" s="353">
        <v>25000</v>
      </c>
      <c r="G141" s="353"/>
      <c r="H141" s="353"/>
      <c r="I141" s="354"/>
      <c r="J141" s="354"/>
      <c r="K141" s="354"/>
      <c r="L141" s="354"/>
      <c r="M141" s="354"/>
      <c r="N141" s="354"/>
      <c r="O141" s="354"/>
      <c r="P141" s="293">
        <f t="shared" si="23"/>
        <v>25000</v>
      </c>
    </row>
    <row r="142" spans="1:16" s="234" customFormat="1" ht="49.5" customHeight="1" thickBot="1" x14ac:dyDescent="0.3">
      <c r="A142" s="262" t="s">
        <v>260</v>
      </c>
      <c r="B142" s="263" t="s">
        <v>16</v>
      </c>
      <c r="C142" s="263" t="s">
        <v>16</v>
      </c>
      <c r="D142" s="265" t="s">
        <v>633</v>
      </c>
      <c r="E142" s="290">
        <f>E143</f>
        <v>67809123</v>
      </c>
      <c r="F142" s="290">
        <f>F143</f>
        <v>67809123</v>
      </c>
      <c r="G142" s="290">
        <f t="shared" ref="G142:I142" si="57">G143</f>
        <v>7548202</v>
      </c>
      <c r="H142" s="290">
        <f t="shared" si="57"/>
        <v>0</v>
      </c>
      <c r="I142" s="290">
        <f t="shared" si="57"/>
        <v>0</v>
      </c>
      <c r="J142" s="22">
        <f>J143</f>
        <v>45530</v>
      </c>
      <c r="K142" s="22">
        <f>K143</f>
        <v>45530</v>
      </c>
      <c r="L142" s="22"/>
      <c r="M142" s="22"/>
      <c r="N142" s="22"/>
      <c r="O142" s="22">
        <f>O143</f>
        <v>45530</v>
      </c>
      <c r="P142" s="291">
        <f>E142+J142</f>
        <v>67854653</v>
      </c>
    </row>
    <row r="143" spans="1:16" s="233" customFormat="1" ht="47.25" x14ac:dyDescent="0.25">
      <c r="A143" s="283" t="s">
        <v>261</v>
      </c>
      <c r="B143" s="284" t="s">
        <v>16</v>
      </c>
      <c r="C143" s="284" t="s">
        <v>16</v>
      </c>
      <c r="D143" s="285" t="s">
        <v>633</v>
      </c>
      <c r="E143" s="272">
        <f>E144+E145+E146</f>
        <v>67809123</v>
      </c>
      <c r="F143" s="272">
        <f>F144+F145+F146</f>
        <v>67809123</v>
      </c>
      <c r="G143" s="272">
        <f>G144+G145+G146</f>
        <v>7548202</v>
      </c>
      <c r="H143" s="272">
        <f>H144+H145</f>
        <v>0</v>
      </c>
      <c r="I143" s="272">
        <f t="shared" ref="I143:O143" si="58">I144+I145</f>
        <v>0</v>
      </c>
      <c r="J143" s="272">
        <f t="shared" si="58"/>
        <v>45530</v>
      </c>
      <c r="K143" s="272">
        <f t="shared" si="58"/>
        <v>45530</v>
      </c>
      <c r="L143" s="272">
        <f t="shared" si="58"/>
        <v>0</v>
      </c>
      <c r="M143" s="272">
        <f t="shared" si="58"/>
        <v>0</v>
      </c>
      <c r="N143" s="272">
        <f t="shared" si="58"/>
        <v>0</v>
      </c>
      <c r="O143" s="272">
        <f t="shared" si="58"/>
        <v>45530</v>
      </c>
      <c r="P143" s="292">
        <f>P144+P145+P146</f>
        <v>67854653</v>
      </c>
    </row>
    <row r="144" spans="1:16" ht="47.25" x14ac:dyDescent="0.25">
      <c r="A144" s="566" t="s">
        <v>262</v>
      </c>
      <c r="B144" s="567" t="s">
        <v>43</v>
      </c>
      <c r="C144" s="567" t="s">
        <v>18</v>
      </c>
      <c r="D144" s="176" t="s">
        <v>228</v>
      </c>
      <c r="E144" s="270">
        <f>F144+I144</f>
        <v>7789823</v>
      </c>
      <c r="F144" s="270">
        <f>6744663+1045160</f>
        <v>7789823</v>
      </c>
      <c r="G144" s="270">
        <f>6503042+1045160</f>
        <v>7548202</v>
      </c>
      <c r="H144" s="270">
        <v>0</v>
      </c>
      <c r="I144" s="8">
        <v>0</v>
      </c>
      <c r="J144" s="35">
        <f>L144+O144</f>
        <v>45530</v>
      </c>
      <c r="K144" s="8">
        <f>45530</f>
        <v>45530</v>
      </c>
      <c r="L144" s="8">
        <v>0</v>
      </c>
      <c r="M144" s="8">
        <v>0</v>
      </c>
      <c r="N144" s="8">
        <v>0</v>
      </c>
      <c r="O144" s="8">
        <v>45530</v>
      </c>
      <c r="P144" s="293">
        <f t="shared" si="23"/>
        <v>7835353</v>
      </c>
    </row>
    <row r="145" spans="1:16" x14ac:dyDescent="0.25">
      <c r="A145" s="566" t="s">
        <v>263</v>
      </c>
      <c r="B145" s="567" t="s">
        <v>264</v>
      </c>
      <c r="C145" s="567" t="s">
        <v>265</v>
      </c>
      <c r="D145" s="176" t="s">
        <v>266</v>
      </c>
      <c r="E145" s="270">
        <f>F145</f>
        <v>4000000</v>
      </c>
      <c r="F145" s="296">
        <v>4000000</v>
      </c>
      <c r="G145" s="270">
        <v>0</v>
      </c>
      <c r="H145" s="270">
        <v>0</v>
      </c>
      <c r="I145" s="270">
        <v>0</v>
      </c>
      <c r="J145" s="8">
        <f t="shared" ref="J145" si="59">K145+O145</f>
        <v>0</v>
      </c>
      <c r="K145" s="8">
        <v>0</v>
      </c>
      <c r="L145" s="8">
        <v>0</v>
      </c>
      <c r="M145" s="8">
        <v>0</v>
      </c>
      <c r="N145" s="8">
        <v>0</v>
      </c>
      <c r="O145" s="8">
        <v>0</v>
      </c>
      <c r="P145" s="293">
        <f t="shared" si="23"/>
        <v>4000000</v>
      </c>
    </row>
    <row r="146" spans="1:16" ht="16.5" thickBot="1" x14ac:dyDescent="0.3">
      <c r="A146" s="358" t="s">
        <v>324</v>
      </c>
      <c r="B146" s="359" t="s">
        <v>325</v>
      </c>
      <c r="C146" s="359" t="s">
        <v>267</v>
      </c>
      <c r="D146" s="360" t="s">
        <v>326</v>
      </c>
      <c r="E146" s="270">
        <f>F146</f>
        <v>56019300</v>
      </c>
      <c r="F146" s="357">
        <v>56019300</v>
      </c>
      <c r="G146" s="353"/>
      <c r="H146" s="353"/>
      <c r="I146" s="353"/>
      <c r="J146" s="354"/>
      <c r="K146" s="354"/>
      <c r="L146" s="354"/>
      <c r="M146" s="354"/>
      <c r="N146" s="354"/>
      <c r="O146" s="354"/>
      <c r="P146" s="293">
        <f t="shared" si="23"/>
        <v>56019300</v>
      </c>
    </row>
    <row r="147" spans="1:16" ht="16.5" thickBot="1" x14ac:dyDescent="0.3">
      <c r="A147" s="262" t="s">
        <v>7</v>
      </c>
      <c r="B147" s="263" t="s">
        <v>7</v>
      </c>
      <c r="C147" s="263" t="s">
        <v>7</v>
      </c>
      <c r="D147" s="297" t="s">
        <v>138</v>
      </c>
      <c r="E147" s="290">
        <f>E23+E41+E67+E82+E86+E102+E115+E126+E130+E135+E142</f>
        <v>738647666</v>
      </c>
      <c r="F147" s="290">
        <f t="shared" ref="F147:N147" si="60">F23+F41+F67+F82+F86+F102+F115+F126+F130+F135+F142</f>
        <v>738647666</v>
      </c>
      <c r="G147" s="290">
        <f t="shared" si="60"/>
        <v>346057733</v>
      </c>
      <c r="H147" s="290">
        <f>H23+H41+H67+H82+H86+H102+H115+H126+H130+H135+H142</f>
        <v>38756604</v>
      </c>
      <c r="I147" s="290">
        <f t="shared" si="60"/>
        <v>0</v>
      </c>
      <c r="J147" s="290">
        <f>J23+J41+J67+J82+J86+J102+J115+J126+J130+J135+J142</f>
        <v>125670235</v>
      </c>
      <c r="K147" s="290">
        <f>K23+K41+K67+K82+K86+K102+K115+K126+K130+K135+K142</f>
        <v>105961935</v>
      </c>
      <c r="L147" s="290">
        <f t="shared" si="60"/>
        <v>19636256</v>
      </c>
      <c r="M147" s="290">
        <f>M23+M41+M67+M82+M86+M102+M115+M126+M130+M135+M142</f>
        <v>2986097</v>
      </c>
      <c r="N147" s="290">
        <f t="shared" si="60"/>
        <v>60976</v>
      </c>
      <c r="O147" s="290">
        <f>O23+O41+O67+O82+O86+O102+O115+O126+O130+O135+O142</f>
        <v>106033979</v>
      </c>
      <c r="P147" s="291">
        <f>E147+J147</f>
        <v>864317901</v>
      </c>
    </row>
    <row r="148" spans="1:16" x14ac:dyDescent="0.25">
      <c r="A148" s="51"/>
      <c r="B148" s="51"/>
      <c r="C148" s="51"/>
      <c r="D148" s="52"/>
      <c r="E148" s="298"/>
      <c r="F148" s="298"/>
      <c r="G148" s="298"/>
      <c r="H148" s="298"/>
      <c r="I148" s="298"/>
      <c r="J148" s="298"/>
      <c r="K148" s="298"/>
      <c r="L148" s="298"/>
      <c r="M148" s="298"/>
      <c r="N148" s="298"/>
      <c r="O148" s="298"/>
      <c r="P148" s="298"/>
    </row>
    <row r="149" spans="1:16" ht="16.899999999999999" customHeight="1" x14ac:dyDescent="0.25">
      <c r="E149" s="304"/>
      <c r="G149" s="304"/>
      <c r="H149" s="304"/>
    </row>
    <row r="150" spans="1:16" s="125" customFormat="1" ht="28.9" customHeight="1" x14ac:dyDescent="0.2">
      <c r="A150" s="734" t="s">
        <v>363</v>
      </c>
      <c r="B150" s="734"/>
      <c r="C150" s="734"/>
      <c r="D150" s="734"/>
      <c r="E150" s="299"/>
      <c r="F150" s="299"/>
      <c r="G150" s="299"/>
      <c r="H150" s="299"/>
      <c r="I150" s="299"/>
      <c r="J150" s="299" t="s">
        <v>311</v>
      </c>
      <c r="K150" s="299"/>
      <c r="L150" s="300"/>
      <c r="M150" s="299"/>
      <c r="N150" s="299"/>
      <c r="O150" s="301"/>
      <c r="P150" s="302"/>
    </row>
    <row r="151" spans="1:16" ht="16.899999999999999" customHeight="1" x14ac:dyDescent="0.25">
      <c r="E151" s="303"/>
      <c r="J151" s="303"/>
    </row>
    <row r="152" spans="1:16" ht="16.5" thickBot="1" x14ac:dyDescent="0.3">
      <c r="G152" s="304"/>
      <c r="P152" s="589">
        <f>55544679+1761624+799261171</f>
        <v>856567474</v>
      </c>
    </row>
    <row r="153" spans="1:16" ht="16.5" thickBot="1" x14ac:dyDescent="0.3">
      <c r="J153" s="589">
        <v>107675428</v>
      </c>
      <c r="K153" s="589">
        <v>92000128</v>
      </c>
      <c r="M153" s="290">
        <f>2780397+205700</f>
        <v>2986097</v>
      </c>
    </row>
    <row r="154" spans="1:16" x14ac:dyDescent="0.25">
      <c r="F154" s="589">
        <f>1026434+25772800+5404600+567460-44541+278750</f>
        <v>33005503</v>
      </c>
      <c r="G154" s="589">
        <f>144563-395641+48880-99819-48880-343050-5650+986+164</f>
        <v>-698447</v>
      </c>
      <c r="H154" s="589"/>
      <c r="J154" s="589">
        <f>J147-J153</f>
        <v>17994807</v>
      </c>
      <c r="K154" s="589">
        <f>92000128+10078881</f>
        <v>102079009</v>
      </c>
      <c r="M154" s="310">
        <f>M147-M153</f>
        <v>0</v>
      </c>
    </row>
    <row r="155" spans="1:16" x14ac:dyDescent="0.25">
      <c r="F155" s="589">
        <f>G147-F154</f>
        <v>313052230</v>
      </c>
      <c r="G155" s="589">
        <f>H147-G154</f>
        <v>39455051</v>
      </c>
      <c r="H155" s="589"/>
      <c r="J155" s="589">
        <v>14177081</v>
      </c>
      <c r="K155" s="589">
        <f>K147-K154</f>
        <v>3882926</v>
      </c>
    </row>
    <row r="156" spans="1:16" x14ac:dyDescent="0.25">
      <c r="J156" s="599">
        <f>J154-J155</f>
        <v>3817726</v>
      </c>
    </row>
    <row r="157" spans="1:16" x14ac:dyDescent="0.25">
      <c r="G157" s="304"/>
    </row>
    <row r="160" spans="1:16" x14ac:dyDescent="0.25">
      <c r="E160" s="304"/>
    </row>
  </sheetData>
  <mergeCells count="31">
    <mergeCell ref="N6:O6"/>
    <mergeCell ref="J19:J21"/>
    <mergeCell ref="K19:K21"/>
    <mergeCell ref="N7:P7"/>
    <mergeCell ref="N8:P8"/>
    <mergeCell ref="N9:P9"/>
    <mergeCell ref="N10:P10"/>
    <mergeCell ref="N11:P11"/>
    <mergeCell ref="N12:P12"/>
    <mergeCell ref="N13:P13"/>
    <mergeCell ref="L19:L21"/>
    <mergeCell ref="M19:N19"/>
    <mergeCell ref="O19:O21"/>
    <mergeCell ref="M20:M21"/>
    <mergeCell ref="N20:N21"/>
    <mergeCell ref="A150:D150"/>
    <mergeCell ref="A14:P14"/>
    <mergeCell ref="A15:P15"/>
    <mergeCell ref="A18:A21"/>
    <mergeCell ref="B18:B21"/>
    <mergeCell ref="C18:C21"/>
    <mergeCell ref="D18:D21"/>
    <mergeCell ref="E18:I18"/>
    <mergeCell ref="J18:O18"/>
    <mergeCell ref="P18:P21"/>
    <mergeCell ref="G20:G21"/>
    <mergeCell ref="H20:H21"/>
    <mergeCell ref="E19:E21"/>
    <mergeCell ref="F19:F21"/>
    <mergeCell ref="G19:H19"/>
    <mergeCell ref="I19:I21"/>
  </mergeCells>
  <hyperlinks>
    <hyperlink ref="D58" r:id="rId1" location="n8" display="https://zakon.rada.gov.ua/rada/show/988-2016-%D1%80 - n8" xr:uid="{00000000-0004-0000-0200-000000000000}"/>
    <hyperlink ref="D59" r:id="rId2" location="n8" display="https://zakon.rada.gov.ua/rada/show/988-2016-%D1%80 - n8" xr:uid="{00000000-0004-0000-0200-000001000000}"/>
  </hyperlinks>
  <pageMargins left="0.78740157480314965" right="0.78740157480314965" top="1.1811023622047245" bottom="0.39370078740157483" header="0.31496062992125984" footer="0.31496062992125984"/>
  <pageSetup paperSize="9" scale="54" fitToHeight="0"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A1:P86"/>
  <sheetViews>
    <sheetView view="pageBreakPreview" zoomScale="90" zoomScaleNormal="100" zoomScaleSheetLayoutView="90" workbookViewId="0">
      <selection activeCell="D77" sqref="D77"/>
    </sheetView>
  </sheetViews>
  <sheetFormatPr defaultRowHeight="12.75" x14ac:dyDescent="0.2"/>
  <cols>
    <col min="1" max="1" width="21.140625" customWidth="1"/>
    <col min="2" max="2" width="20.7109375" customWidth="1"/>
    <col min="3" max="3" width="67.85546875" customWidth="1"/>
    <col min="4" max="4" width="38" customWidth="1"/>
  </cols>
  <sheetData>
    <row r="1" spans="1:5" ht="15.75" x14ac:dyDescent="0.2">
      <c r="D1" s="3" t="s">
        <v>464</v>
      </c>
    </row>
    <row r="2" spans="1:5" ht="15.75" x14ac:dyDescent="0.2">
      <c r="D2" s="5" t="s">
        <v>359</v>
      </c>
    </row>
    <row r="3" spans="1:5" ht="15.75" x14ac:dyDescent="0.2">
      <c r="D3" s="5" t="s">
        <v>609</v>
      </c>
    </row>
    <row r="4" spans="1:5" ht="15.75" x14ac:dyDescent="0.25">
      <c r="D4" s="367" t="s">
        <v>681</v>
      </c>
    </row>
    <row r="5" spans="1:5" ht="15.75" x14ac:dyDescent="0.25">
      <c r="D5" s="564" t="s">
        <v>682</v>
      </c>
    </row>
    <row r="6" spans="1:5" ht="15.75" x14ac:dyDescent="0.2">
      <c r="D6" s="5" t="s">
        <v>384</v>
      </c>
    </row>
    <row r="8" spans="1:5" ht="15.75" x14ac:dyDescent="0.2">
      <c r="D8" s="5" t="s">
        <v>465</v>
      </c>
      <c r="E8" s="5"/>
    </row>
    <row r="9" spans="1:5" ht="15.75" x14ac:dyDescent="0.2">
      <c r="D9" s="5" t="s">
        <v>359</v>
      </c>
      <c r="E9" s="5"/>
    </row>
    <row r="10" spans="1:5" ht="15.75" x14ac:dyDescent="0.2">
      <c r="D10" s="5" t="s">
        <v>8</v>
      </c>
      <c r="E10" s="5"/>
    </row>
    <row r="11" spans="1:5" ht="15.75" x14ac:dyDescent="0.2">
      <c r="D11" s="5" t="s">
        <v>315</v>
      </c>
      <c r="E11" s="5"/>
    </row>
    <row r="12" spans="1:5" ht="15.75" x14ac:dyDescent="0.25">
      <c r="D12" s="518" t="s">
        <v>371</v>
      </c>
      <c r="E12" s="5"/>
    </row>
    <row r="13" spans="1:5" ht="19.149999999999999" customHeight="1" x14ac:dyDescent="0.25">
      <c r="D13" s="518" t="s">
        <v>375</v>
      </c>
      <c r="E13" s="5"/>
    </row>
    <row r="14" spans="1:5" ht="15.6" customHeight="1" x14ac:dyDescent="0.2">
      <c r="D14" s="5" t="s">
        <v>466</v>
      </c>
      <c r="E14" s="5"/>
    </row>
    <row r="15" spans="1:5" ht="20.25" x14ac:dyDescent="0.3">
      <c r="A15" s="721" t="s">
        <v>327</v>
      </c>
      <c r="B15" s="722"/>
      <c r="C15" s="722"/>
      <c r="D15" s="722"/>
    </row>
    <row r="16" spans="1:5" ht="15.75" x14ac:dyDescent="0.25">
      <c r="A16" s="708" t="s">
        <v>211</v>
      </c>
      <c r="B16" s="770"/>
      <c r="C16" s="770"/>
      <c r="D16" s="770"/>
    </row>
    <row r="17" spans="1:4" ht="15.75" x14ac:dyDescent="0.25">
      <c r="A17" s="770" t="s">
        <v>0</v>
      </c>
      <c r="B17" s="770"/>
      <c r="C17" s="770"/>
      <c r="D17" s="770"/>
    </row>
    <row r="18" spans="1:4" ht="21.95" customHeight="1" x14ac:dyDescent="0.25">
      <c r="A18" s="134" t="s">
        <v>183</v>
      </c>
      <c r="B18" s="1"/>
      <c r="C18" s="1"/>
      <c r="D18" s="1"/>
    </row>
    <row r="19" spans="1:4" ht="16.5" thickBot="1" x14ac:dyDescent="0.3">
      <c r="A19" s="1"/>
      <c r="B19" s="1"/>
      <c r="C19" s="1"/>
      <c r="D19" s="2" t="s">
        <v>1</v>
      </c>
    </row>
    <row r="20" spans="1:4" ht="27.6" customHeight="1" x14ac:dyDescent="0.2">
      <c r="A20" s="135" t="s">
        <v>184</v>
      </c>
      <c r="B20" s="771" t="s">
        <v>185</v>
      </c>
      <c r="C20" s="772"/>
      <c r="D20" s="136" t="s">
        <v>2</v>
      </c>
    </row>
    <row r="21" spans="1:4" ht="15.75" x14ac:dyDescent="0.2">
      <c r="A21" s="137">
        <v>1</v>
      </c>
      <c r="B21" s="773">
        <v>2</v>
      </c>
      <c r="C21" s="774"/>
      <c r="D21" s="138">
        <v>3</v>
      </c>
    </row>
    <row r="22" spans="1:4" ht="15.75" x14ac:dyDescent="0.25">
      <c r="A22" s="761" t="s">
        <v>186</v>
      </c>
      <c r="B22" s="762"/>
      <c r="C22" s="762"/>
      <c r="D22" s="763"/>
    </row>
    <row r="23" spans="1:4" ht="65.25" customHeight="1" x14ac:dyDescent="0.25">
      <c r="A23" s="257">
        <v>41021400</v>
      </c>
      <c r="B23" s="775" t="s">
        <v>284</v>
      </c>
      <c r="C23" s="776"/>
      <c r="D23" s="260">
        <f>D24</f>
        <v>1041200</v>
      </c>
    </row>
    <row r="24" spans="1:4" ht="18.75" x14ac:dyDescent="0.25">
      <c r="A24" s="258" t="s">
        <v>189</v>
      </c>
      <c r="B24" s="759" t="s">
        <v>190</v>
      </c>
      <c r="C24" s="760"/>
      <c r="D24" s="259">
        <f>1041200</f>
        <v>1041200</v>
      </c>
    </row>
    <row r="25" spans="1:4" ht="24" customHeight="1" x14ac:dyDescent="0.2">
      <c r="A25" s="139" t="s">
        <v>187</v>
      </c>
      <c r="B25" s="750" t="s">
        <v>188</v>
      </c>
      <c r="C25" s="751"/>
      <c r="D25" s="245">
        <f>D26</f>
        <v>77435200</v>
      </c>
    </row>
    <row r="26" spans="1:4" ht="15.75" x14ac:dyDescent="0.2">
      <c r="A26" s="141" t="s">
        <v>189</v>
      </c>
      <c r="B26" s="748" t="s">
        <v>190</v>
      </c>
      <c r="C26" s="749"/>
      <c r="D26" s="246">
        <f>51662400+25772800</f>
        <v>77435200</v>
      </c>
    </row>
    <row r="27" spans="1:4" ht="38.25" customHeight="1" x14ac:dyDescent="0.2">
      <c r="A27" s="139">
        <v>41031100</v>
      </c>
      <c r="B27" s="750" t="s">
        <v>614</v>
      </c>
      <c r="C27" s="751"/>
      <c r="D27" s="245">
        <f>D28</f>
        <v>8230500</v>
      </c>
    </row>
    <row r="28" spans="1:4" ht="15.75" x14ac:dyDescent="0.2">
      <c r="A28" s="141" t="s">
        <v>189</v>
      </c>
      <c r="B28" s="748" t="s">
        <v>190</v>
      </c>
      <c r="C28" s="749"/>
      <c r="D28" s="246">
        <f>8230500</f>
        <v>8230500</v>
      </c>
    </row>
    <row r="29" spans="1:4" ht="41.45" customHeight="1" x14ac:dyDescent="0.2">
      <c r="A29" s="139">
        <v>41035400</v>
      </c>
      <c r="B29" s="750" t="s">
        <v>387</v>
      </c>
      <c r="C29" s="751"/>
      <c r="D29" s="245">
        <f>D30</f>
        <v>480600</v>
      </c>
    </row>
    <row r="30" spans="1:4" ht="15.75" x14ac:dyDescent="0.2">
      <c r="A30" s="141" t="s">
        <v>189</v>
      </c>
      <c r="B30" s="748" t="s">
        <v>190</v>
      </c>
      <c r="C30" s="749"/>
      <c r="D30" s="246">
        <v>480600</v>
      </c>
    </row>
    <row r="31" spans="1:4" ht="52.15" customHeight="1" x14ac:dyDescent="0.2">
      <c r="A31" s="139">
        <v>41036000</v>
      </c>
      <c r="B31" s="750" t="s">
        <v>385</v>
      </c>
      <c r="C31" s="751"/>
      <c r="D31" s="245">
        <f>D32</f>
        <v>1352500</v>
      </c>
    </row>
    <row r="32" spans="1:4" ht="15" customHeight="1" x14ac:dyDescent="0.2">
      <c r="A32" s="141" t="s">
        <v>189</v>
      </c>
      <c r="B32" s="748" t="s">
        <v>190</v>
      </c>
      <c r="C32" s="749"/>
      <c r="D32" s="246">
        <v>1352500</v>
      </c>
    </row>
    <row r="33" spans="1:4" ht="43.15" customHeight="1" x14ac:dyDescent="0.2">
      <c r="A33" s="139">
        <v>41036300</v>
      </c>
      <c r="B33" s="750" t="s">
        <v>386</v>
      </c>
      <c r="C33" s="751"/>
      <c r="D33" s="245">
        <f>D34</f>
        <v>9379900</v>
      </c>
    </row>
    <row r="34" spans="1:4" ht="21.75" customHeight="1" x14ac:dyDescent="0.2">
      <c r="A34" s="141" t="s">
        <v>189</v>
      </c>
      <c r="B34" s="748" t="s">
        <v>190</v>
      </c>
      <c r="C34" s="749"/>
      <c r="D34" s="246">
        <f>3975300+5404600</f>
        <v>9379900</v>
      </c>
    </row>
    <row r="35" spans="1:4" ht="15" customHeight="1" x14ac:dyDescent="0.2">
      <c r="A35" s="139">
        <v>41040400</v>
      </c>
      <c r="B35" s="750" t="s">
        <v>569</v>
      </c>
      <c r="C35" s="751"/>
      <c r="D35" s="245">
        <f>D36</f>
        <v>0</v>
      </c>
    </row>
    <row r="36" spans="1:4" ht="21.75" customHeight="1" x14ac:dyDescent="0.2">
      <c r="A36" s="545">
        <v>15100000000</v>
      </c>
      <c r="B36" s="756" t="s">
        <v>192</v>
      </c>
      <c r="C36" s="757"/>
      <c r="D36" s="246">
        <f>24586-24586</f>
        <v>0</v>
      </c>
    </row>
    <row r="37" spans="1:4" ht="37.15" customHeight="1" x14ac:dyDescent="0.2">
      <c r="A37" s="142">
        <v>41051000</v>
      </c>
      <c r="B37" s="750" t="s">
        <v>191</v>
      </c>
      <c r="C37" s="751"/>
      <c r="D37" s="245">
        <f>D38</f>
        <v>1773410</v>
      </c>
    </row>
    <row r="38" spans="1:4" ht="15" customHeight="1" x14ac:dyDescent="0.25">
      <c r="A38" s="145" t="s">
        <v>194</v>
      </c>
      <c r="B38" s="754" t="s">
        <v>192</v>
      </c>
      <c r="C38" s="755"/>
      <c r="D38" s="246">
        <f>883100+322850+567460</f>
        <v>1773410</v>
      </c>
    </row>
    <row r="39" spans="1:4" s="144" customFormat="1" ht="38.450000000000003" customHeight="1" x14ac:dyDescent="0.2">
      <c r="A39" s="142">
        <v>41053900</v>
      </c>
      <c r="B39" s="752" t="s">
        <v>193</v>
      </c>
      <c r="C39" s="753"/>
      <c r="D39" s="143">
        <f>D40</f>
        <v>136573</v>
      </c>
    </row>
    <row r="40" spans="1:4" s="144" customFormat="1" ht="15.75" x14ac:dyDescent="0.25">
      <c r="A40" s="145" t="s">
        <v>194</v>
      </c>
      <c r="B40" s="754" t="s">
        <v>192</v>
      </c>
      <c r="C40" s="755"/>
      <c r="D40" s="146">
        <f>57773+78800</f>
        <v>136573</v>
      </c>
    </row>
    <row r="41" spans="1:4" s="144" customFormat="1" ht="35.450000000000003" customHeight="1" x14ac:dyDescent="0.2">
      <c r="A41" s="142">
        <v>41053900</v>
      </c>
      <c r="B41" s="752" t="s">
        <v>195</v>
      </c>
      <c r="C41" s="753"/>
      <c r="D41" s="147">
        <f>D42</f>
        <v>164690</v>
      </c>
    </row>
    <row r="42" spans="1:4" s="144" customFormat="1" ht="15.75" x14ac:dyDescent="0.2">
      <c r="A42" s="145" t="s">
        <v>194</v>
      </c>
      <c r="B42" s="756" t="s">
        <v>192</v>
      </c>
      <c r="C42" s="757"/>
      <c r="D42" s="146">
        <v>164690</v>
      </c>
    </row>
    <row r="43" spans="1:4" s="144" customFormat="1" ht="52.9" customHeight="1" x14ac:dyDescent="0.2">
      <c r="A43" s="142">
        <v>41053900</v>
      </c>
      <c r="B43" s="752" t="s">
        <v>196</v>
      </c>
      <c r="C43" s="753"/>
      <c r="D43" s="147">
        <f>D44</f>
        <v>17623</v>
      </c>
    </row>
    <row r="44" spans="1:4" s="144" customFormat="1" ht="22.5" customHeight="1" x14ac:dyDescent="0.25">
      <c r="A44" s="145" t="s">
        <v>194</v>
      </c>
      <c r="B44" s="754" t="s">
        <v>192</v>
      </c>
      <c r="C44" s="755"/>
      <c r="D44" s="146">
        <v>17623</v>
      </c>
    </row>
    <row r="45" spans="1:4" s="144" customFormat="1" ht="49.5" customHeight="1" x14ac:dyDescent="0.2">
      <c r="A45" s="142">
        <v>41053900</v>
      </c>
      <c r="B45" s="752" t="s">
        <v>639</v>
      </c>
      <c r="C45" s="753"/>
      <c r="D45" s="547">
        <f>D46</f>
        <v>241072</v>
      </c>
    </row>
    <row r="46" spans="1:4" s="144" customFormat="1" ht="20.25" customHeight="1" x14ac:dyDescent="0.25">
      <c r="A46" s="145" t="s">
        <v>194</v>
      </c>
      <c r="B46" s="754" t="s">
        <v>192</v>
      </c>
      <c r="C46" s="755"/>
      <c r="D46" s="665">
        <f>0+241072</f>
        <v>241072</v>
      </c>
    </row>
    <row r="47" spans="1:4" s="144" customFormat="1" ht="15.75" customHeight="1" x14ac:dyDescent="0.2">
      <c r="A47" s="546" t="s">
        <v>574</v>
      </c>
      <c r="B47" s="752" t="s">
        <v>570</v>
      </c>
      <c r="C47" s="753"/>
      <c r="D47" s="547">
        <f>D48</f>
        <v>79056</v>
      </c>
    </row>
    <row r="48" spans="1:4" s="144" customFormat="1" ht="15.75" customHeight="1" x14ac:dyDescent="0.2">
      <c r="A48" s="545">
        <v>15100000000</v>
      </c>
      <c r="B48" s="756" t="s">
        <v>192</v>
      </c>
      <c r="C48" s="757"/>
      <c r="D48" s="548">
        <v>79056</v>
      </c>
    </row>
    <row r="49" spans="1:4" s="144" customFormat="1" ht="80.25" customHeight="1" x14ac:dyDescent="0.2">
      <c r="A49" s="622">
        <v>41057900</v>
      </c>
      <c r="B49" s="752" t="s">
        <v>582</v>
      </c>
      <c r="C49" s="753"/>
      <c r="D49" s="623">
        <f>D50</f>
        <v>1250000</v>
      </c>
    </row>
    <row r="50" spans="1:4" s="144" customFormat="1" ht="15.75" customHeight="1" x14ac:dyDescent="0.2">
      <c r="A50" s="545">
        <v>15100000000</v>
      </c>
      <c r="B50" s="756" t="s">
        <v>192</v>
      </c>
      <c r="C50" s="757"/>
      <c r="D50" s="548">
        <f>1250000</f>
        <v>1250000</v>
      </c>
    </row>
    <row r="51" spans="1:4" ht="66.599999999999994" customHeight="1" x14ac:dyDescent="0.2">
      <c r="A51" s="459">
        <v>41059300</v>
      </c>
      <c r="B51" s="752" t="s">
        <v>388</v>
      </c>
      <c r="C51" s="753"/>
      <c r="D51" s="460">
        <f>D52</f>
        <v>295047</v>
      </c>
    </row>
    <row r="52" spans="1:4" ht="15.75" x14ac:dyDescent="0.25">
      <c r="A52" s="145" t="s">
        <v>194</v>
      </c>
      <c r="B52" s="754" t="s">
        <v>192</v>
      </c>
      <c r="C52" s="755"/>
      <c r="D52" s="148">
        <f>339588-44541</f>
        <v>295047</v>
      </c>
    </row>
    <row r="53" spans="1:4" ht="15.75" x14ac:dyDescent="0.25">
      <c r="A53" s="761" t="s">
        <v>197</v>
      </c>
      <c r="B53" s="762"/>
      <c r="C53" s="762"/>
      <c r="D53" s="763"/>
    </row>
    <row r="54" spans="1:4" ht="23.25" customHeight="1" x14ac:dyDescent="0.2">
      <c r="A54" s="139" t="s">
        <v>187</v>
      </c>
      <c r="B54" s="750" t="s">
        <v>188</v>
      </c>
      <c r="C54" s="751"/>
      <c r="D54" s="143">
        <f>D55</f>
        <v>2511700</v>
      </c>
    </row>
    <row r="55" spans="1:4" ht="20.25" customHeight="1" x14ac:dyDescent="0.2">
      <c r="A55" s="141" t="s">
        <v>189</v>
      </c>
      <c r="B55" s="748" t="s">
        <v>190</v>
      </c>
      <c r="C55" s="749"/>
      <c r="D55" s="621">
        <f>2511700</f>
        <v>2511700</v>
      </c>
    </row>
    <row r="56" spans="1:4" ht="52.5" customHeight="1" x14ac:dyDescent="0.25">
      <c r="A56" s="600">
        <v>41037400</v>
      </c>
      <c r="B56" s="750" t="s">
        <v>615</v>
      </c>
      <c r="C56" s="751"/>
      <c r="D56" s="143">
        <f>D57</f>
        <v>1380800</v>
      </c>
    </row>
    <row r="57" spans="1:4" ht="20.25" customHeight="1" x14ac:dyDescent="0.2">
      <c r="A57" s="141" t="s">
        <v>189</v>
      </c>
      <c r="B57" s="748" t="s">
        <v>190</v>
      </c>
      <c r="C57" s="749"/>
      <c r="D57" s="621">
        <f>1380800</f>
        <v>1380800</v>
      </c>
    </row>
    <row r="58" spans="1:4" ht="36.75" customHeight="1" x14ac:dyDescent="0.25">
      <c r="A58" s="600">
        <v>41035400</v>
      </c>
      <c r="B58" s="750" t="s">
        <v>387</v>
      </c>
      <c r="C58" s="751"/>
      <c r="D58" s="143">
        <f>D59</f>
        <v>205700</v>
      </c>
    </row>
    <row r="59" spans="1:4" s="149" customFormat="1" ht="15.75" x14ac:dyDescent="0.2">
      <c r="A59" s="141" t="s">
        <v>189</v>
      </c>
      <c r="B59" s="748" t="s">
        <v>190</v>
      </c>
      <c r="C59" s="749"/>
      <c r="D59" s="148">
        <f>205700</f>
        <v>205700</v>
      </c>
    </row>
    <row r="60" spans="1:4" ht="15.75" x14ac:dyDescent="0.25">
      <c r="A60" s="618" t="s">
        <v>7</v>
      </c>
      <c r="B60" s="150" t="s">
        <v>198</v>
      </c>
      <c r="C60" s="140"/>
      <c r="D60" s="247">
        <f>D61+D62</f>
        <v>105975571</v>
      </c>
    </row>
    <row r="61" spans="1:4" ht="15.75" x14ac:dyDescent="0.25">
      <c r="A61" s="618" t="s">
        <v>7</v>
      </c>
      <c r="B61" s="150" t="s">
        <v>199</v>
      </c>
      <c r="C61" s="140"/>
      <c r="D61" s="247">
        <f>D23+D25+D31+D39+D41+D43+D29+D33+D37+D51+D35+D47+D27+D49+D45</f>
        <v>101877371</v>
      </c>
    </row>
    <row r="62" spans="1:4" ht="15.75" x14ac:dyDescent="0.25">
      <c r="A62" s="618" t="s">
        <v>7</v>
      </c>
      <c r="B62" s="150" t="s">
        <v>200</v>
      </c>
      <c r="C62" s="140"/>
      <c r="D62" s="247">
        <f>D54+D56+D58</f>
        <v>4098200</v>
      </c>
    </row>
    <row r="63" spans="1:4" ht="21.95" customHeight="1" x14ac:dyDescent="0.25">
      <c r="A63" s="151" t="s">
        <v>201</v>
      </c>
      <c r="B63" s="1"/>
      <c r="C63" s="1"/>
      <c r="D63" s="152" t="s">
        <v>1</v>
      </c>
    </row>
    <row r="64" spans="1:4" ht="51" x14ac:dyDescent="0.2">
      <c r="A64" s="153" t="s">
        <v>202</v>
      </c>
      <c r="B64" s="154" t="s">
        <v>203</v>
      </c>
      <c r="C64" s="155" t="s">
        <v>204</v>
      </c>
      <c r="D64" s="156" t="s">
        <v>2</v>
      </c>
    </row>
    <row r="65" spans="1:4" ht="15.75" x14ac:dyDescent="0.2">
      <c r="A65" s="157">
        <v>1</v>
      </c>
      <c r="B65" s="158">
        <v>2</v>
      </c>
      <c r="C65" s="158">
        <v>3</v>
      </c>
      <c r="D65" s="159">
        <v>4</v>
      </c>
    </row>
    <row r="66" spans="1:4" ht="15.75" customHeight="1" x14ac:dyDescent="0.25">
      <c r="A66" s="765" t="s">
        <v>205</v>
      </c>
      <c r="B66" s="766"/>
      <c r="C66" s="767"/>
      <c r="D66" s="160"/>
    </row>
    <row r="67" spans="1:4" s="162" customFormat="1" ht="37.9" customHeight="1" x14ac:dyDescent="0.25">
      <c r="A67" s="463" t="s">
        <v>389</v>
      </c>
      <c r="B67" s="619">
        <v>9770</v>
      </c>
      <c r="C67" s="161" t="s">
        <v>206</v>
      </c>
      <c r="D67" s="160">
        <f>D68</f>
        <v>30000000</v>
      </c>
    </row>
    <row r="68" spans="1:4" ht="24" customHeight="1" x14ac:dyDescent="0.25">
      <c r="A68" s="145" t="s">
        <v>194</v>
      </c>
      <c r="B68" s="163">
        <v>9770</v>
      </c>
      <c r="C68" s="464" t="s">
        <v>192</v>
      </c>
      <c r="D68" s="165">
        <f>0+30000000</f>
        <v>30000000</v>
      </c>
    </row>
    <row r="69" spans="1:4" ht="24" customHeight="1" x14ac:dyDescent="0.25">
      <c r="A69" s="463" t="s">
        <v>460</v>
      </c>
      <c r="B69" s="619">
        <v>9770</v>
      </c>
      <c r="C69" s="161" t="s">
        <v>206</v>
      </c>
      <c r="D69" s="160">
        <f>D70</f>
        <v>21363</v>
      </c>
    </row>
    <row r="70" spans="1:4" ht="24" customHeight="1" x14ac:dyDescent="0.25">
      <c r="A70" s="145" t="s">
        <v>194</v>
      </c>
      <c r="B70" s="163">
        <v>9770</v>
      </c>
      <c r="C70" s="464" t="s">
        <v>192</v>
      </c>
      <c r="D70" s="165">
        <v>21363</v>
      </c>
    </row>
    <row r="71" spans="1:4" ht="21" customHeight="1" x14ac:dyDescent="0.2">
      <c r="A71" s="578" t="s">
        <v>324</v>
      </c>
      <c r="B71" s="361" t="s">
        <v>325</v>
      </c>
      <c r="C71" s="461" t="s">
        <v>326</v>
      </c>
      <c r="D71" s="164">
        <f>D72</f>
        <v>56019300</v>
      </c>
    </row>
    <row r="72" spans="1:4" ht="23.45" customHeight="1" x14ac:dyDescent="0.2">
      <c r="A72" s="579" t="s">
        <v>189</v>
      </c>
      <c r="B72" s="362" t="s">
        <v>325</v>
      </c>
      <c r="C72" s="462" t="s">
        <v>190</v>
      </c>
      <c r="D72" s="165">
        <v>56019300</v>
      </c>
    </row>
    <row r="73" spans="1:4" ht="37.5" customHeight="1" x14ac:dyDescent="0.2">
      <c r="A73" s="580" t="s">
        <v>462</v>
      </c>
      <c r="B73" s="526">
        <v>9800</v>
      </c>
      <c r="C73" s="527" t="s">
        <v>463</v>
      </c>
      <c r="D73" s="528">
        <f>D74</f>
        <v>12216839</v>
      </c>
    </row>
    <row r="74" spans="1:4" ht="23.45" customHeight="1" x14ac:dyDescent="0.2">
      <c r="A74" s="581">
        <v>99000000000</v>
      </c>
      <c r="B74" s="525">
        <v>9800</v>
      </c>
      <c r="C74" s="462" t="s">
        <v>190</v>
      </c>
      <c r="D74" s="165">
        <f>3000000+2199000+1000000+318739+117100+2332000+3250000</f>
        <v>12216839</v>
      </c>
    </row>
    <row r="75" spans="1:4" ht="20.100000000000001" customHeight="1" x14ac:dyDescent="0.25">
      <c r="A75" s="768" t="s">
        <v>207</v>
      </c>
      <c r="B75" s="769"/>
      <c r="C75" s="769"/>
      <c r="D75" s="763"/>
    </row>
    <row r="76" spans="1:4" ht="35.450000000000003" customHeight="1" x14ac:dyDescent="0.2">
      <c r="A76" s="580" t="s">
        <v>462</v>
      </c>
      <c r="B76" s="526">
        <v>9800</v>
      </c>
      <c r="C76" s="527" t="s">
        <v>463</v>
      </c>
      <c r="D76" s="528">
        <f>D77</f>
        <v>22143025</v>
      </c>
    </row>
    <row r="77" spans="1:4" ht="20.100000000000001" customHeight="1" x14ac:dyDescent="0.2">
      <c r="A77" s="581">
        <v>99000000000</v>
      </c>
      <c r="B77" s="525">
        <v>9800</v>
      </c>
      <c r="C77" s="462" t="s">
        <v>190</v>
      </c>
      <c r="D77" s="165">
        <f>4560280+3000000+3000000+3000000+2000000+182400+1345600+668000+4636745-250000</f>
        <v>22143025</v>
      </c>
    </row>
    <row r="78" spans="1:4" ht="35.25" customHeight="1" x14ac:dyDescent="0.2">
      <c r="A78" s="580" t="s">
        <v>572</v>
      </c>
      <c r="B78" s="526">
        <v>9750</v>
      </c>
      <c r="C78" s="549" t="s">
        <v>573</v>
      </c>
      <c r="D78" s="528">
        <f>D79</f>
        <v>2000000</v>
      </c>
    </row>
    <row r="79" spans="1:4" ht="20.100000000000001" customHeight="1" x14ac:dyDescent="0.25">
      <c r="A79" s="145" t="s">
        <v>194</v>
      </c>
      <c r="B79" s="163">
        <v>9750</v>
      </c>
      <c r="C79" s="464" t="s">
        <v>192</v>
      </c>
      <c r="D79" s="165">
        <v>2000000</v>
      </c>
    </row>
    <row r="80" spans="1:4" ht="15.75" x14ac:dyDescent="0.25">
      <c r="A80" s="166" t="s">
        <v>7</v>
      </c>
      <c r="B80" s="167" t="s">
        <v>7</v>
      </c>
      <c r="C80" s="150" t="s">
        <v>198</v>
      </c>
      <c r="D80" s="160">
        <f>D81+D82</f>
        <v>122400527</v>
      </c>
    </row>
    <row r="81" spans="1:16" ht="15.75" x14ac:dyDescent="0.25">
      <c r="A81" s="166" t="s">
        <v>7</v>
      </c>
      <c r="B81" s="167" t="s">
        <v>7</v>
      </c>
      <c r="C81" s="150" t="s">
        <v>199</v>
      </c>
      <c r="D81" s="168">
        <f>D71+D67+D69+D73</f>
        <v>98257502</v>
      </c>
    </row>
    <row r="82" spans="1:16" ht="16.5" thickBot="1" x14ac:dyDescent="0.3">
      <c r="A82" s="169" t="s">
        <v>7</v>
      </c>
      <c r="B82" s="170" t="s">
        <v>7</v>
      </c>
      <c r="C82" s="171" t="s">
        <v>200</v>
      </c>
      <c r="D82" s="172">
        <f>D76+D78</f>
        <v>24143025</v>
      </c>
    </row>
    <row r="83" spans="1:16" ht="15.75" x14ac:dyDescent="0.25">
      <c r="A83" s="1"/>
      <c r="B83" s="1"/>
      <c r="C83" s="1"/>
      <c r="D83" s="1"/>
    </row>
    <row r="84" spans="1:16" s="193" customFormat="1" ht="42.6" customHeight="1" x14ac:dyDescent="0.25">
      <c r="A84" s="764" t="s">
        <v>364</v>
      </c>
      <c r="B84" s="764"/>
      <c r="C84" s="764"/>
      <c r="D84" s="764"/>
      <c r="E84" s="758"/>
      <c r="F84" s="758"/>
      <c r="G84" s="226"/>
      <c r="H84" s="226"/>
      <c r="I84" s="226"/>
      <c r="K84" s="226"/>
      <c r="L84" s="227"/>
      <c r="M84" s="226"/>
      <c r="N84" s="228"/>
      <c r="O84" s="229"/>
      <c r="P84" s="230"/>
    </row>
    <row r="85" spans="1:16" s="175" customFormat="1" ht="20.45" customHeight="1" x14ac:dyDescent="0.3">
      <c r="A85" s="173"/>
      <c r="B85" s="174"/>
      <c r="C85" s="1"/>
      <c r="D85" s="174"/>
    </row>
    <row r="86" spans="1:16" ht="15.75" x14ac:dyDescent="0.25">
      <c r="A86" s="1"/>
      <c r="B86" s="1"/>
      <c r="D86" s="1"/>
    </row>
  </sheetData>
  <mergeCells count="47">
    <mergeCell ref="A22:D22"/>
    <mergeCell ref="B23:C23"/>
    <mergeCell ref="B33:C33"/>
    <mergeCell ref="B34:C34"/>
    <mergeCell ref="B30:C30"/>
    <mergeCell ref="A15:D15"/>
    <mergeCell ref="A16:D16"/>
    <mergeCell ref="A17:D17"/>
    <mergeCell ref="B20:C20"/>
    <mergeCell ref="B21:C21"/>
    <mergeCell ref="E84:F84"/>
    <mergeCell ref="B43:C43"/>
    <mergeCell ref="B44:C44"/>
    <mergeCell ref="B24:C24"/>
    <mergeCell ref="A53:D53"/>
    <mergeCell ref="B32:C32"/>
    <mergeCell ref="A84:D84"/>
    <mergeCell ref="B39:C39"/>
    <mergeCell ref="B40:C40"/>
    <mergeCell ref="B41:C41"/>
    <mergeCell ref="B29:C29"/>
    <mergeCell ref="B42:C42"/>
    <mergeCell ref="A66:C66"/>
    <mergeCell ref="A75:D75"/>
    <mergeCell ref="B25:C25"/>
    <mergeCell ref="B31:C31"/>
    <mergeCell ref="B51:C51"/>
    <mergeCell ref="B52:C52"/>
    <mergeCell ref="B37:C37"/>
    <mergeCell ref="B26:C26"/>
    <mergeCell ref="B35:C35"/>
    <mergeCell ref="B36:C36"/>
    <mergeCell ref="B47:C47"/>
    <mergeCell ref="B48:C48"/>
    <mergeCell ref="B38:C38"/>
    <mergeCell ref="B28:C28"/>
    <mergeCell ref="B27:C27"/>
    <mergeCell ref="B49:C49"/>
    <mergeCell ref="B50:C50"/>
    <mergeCell ref="B45:C45"/>
    <mergeCell ref="B46:C46"/>
    <mergeCell ref="B59:C59"/>
    <mergeCell ref="B54:C54"/>
    <mergeCell ref="B55:C55"/>
    <mergeCell ref="B57:C57"/>
    <mergeCell ref="B56:C56"/>
    <mergeCell ref="B58:C58"/>
  </mergeCells>
  <pageMargins left="1.1811023622047245" right="0.39370078740157483" top="0.78740157480314965" bottom="0.78740157480314965" header="0.31496062992125984" footer="0.31496062992125984"/>
  <pageSetup paperSize="9" scale="59" orientation="portrait" r:id="rId1"/>
  <rowBreaks count="1" manualBreakCount="1">
    <brk id="49"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36"/>
  <sheetViews>
    <sheetView view="pageBreakPreview" topLeftCell="A123" zoomScale="86" zoomScaleNormal="80" zoomScaleSheetLayoutView="86" workbookViewId="0">
      <selection activeCell="E10" sqref="E10"/>
    </sheetView>
  </sheetViews>
  <sheetFormatPr defaultColWidth="9.140625" defaultRowHeight="15" x14ac:dyDescent="0.25"/>
  <cols>
    <col min="1" max="1" width="13" style="10" customWidth="1"/>
    <col min="2" max="2" width="12.5703125" style="10" customWidth="1"/>
    <col min="3" max="3" width="13.42578125" style="10" customWidth="1"/>
    <col min="4" max="4" width="38.5703125" style="10" customWidth="1"/>
    <col min="5" max="5" width="43.85546875" style="10" customWidth="1"/>
    <col min="6" max="6" width="42.140625" style="10" customWidth="1"/>
    <col min="7" max="7" width="15.28515625" style="10" customWidth="1"/>
    <col min="8" max="8" width="14.7109375" style="10" customWidth="1"/>
    <col min="9" max="9" width="14.5703125" style="10" customWidth="1"/>
    <col min="10" max="10" width="14.85546875" style="10" customWidth="1"/>
    <col min="11" max="16384" width="9.140625" style="10"/>
  </cols>
  <sheetData>
    <row r="1" spans="8:10" ht="15.75" x14ac:dyDescent="0.25">
      <c r="H1" s="3" t="s">
        <v>414</v>
      </c>
      <c r="I1" s="4"/>
    </row>
    <row r="2" spans="8:10" ht="15.75" x14ac:dyDescent="0.25">
      <c r="H2" s="3" t="s">
        <v>359</v>
      </c>
      <c r="I2" s="4"/>
    </row>
    <row r="3" spans="8:10" ht="15.75" x14ac:dyDescent="0.25">
      <c r="H3" s="3" t="s">
        <v>609</v>
      </c>
      <c r="I3" s="4"/>
    </row>
    <row r="4" spans="8:10" ht="15.75" x14ac:dyDescent="0.25">
      <c r="H4" s="367" t="s">
        <v>684</v>
      </c>
      <c r="I4" s="7"/>
    </row>
    <row r="5" spans="8:10" ht="15.75" x14ac:dyDescent="0.25">
      <c r="H5" s="6" t="s">
        <v>685</v>
      </c>
      <c r="I5" s="368"/>
    </row>
    <row r="6" spans="8:10" ht="15.75" x14ac:dyDescent="0.25">
      <c r="H6" s="698" t="s">
        <v>415</v>
      </c>
      <c r="I6" s="698"/>
    </row>
    <row r="8" spans="8:10" ht="15.75" x14ac:dyDescent="0.25">
      <c r="H8" s="3" t="s">
        <v>416</v>
      </c>
      <c r="I8" s="4"/>
      <c r="J8" s="5"/>
    </row>
    <row r="9" spans="8:10" ht="15.75" x14ac:dyDescent="0.25">
      <c r="H9" s="3" t="s">
        <v>362</v>
      </c>
      <c r="I9" s="4"/>
      <c r="J9" s="5"/>
    </row>
    <row r="10" spans="8:10" ht="15.75" x14ac:dyDescent="0.25">
      <c r="H10" s="3" t="s">
        <v>8</v>
      </c>
      <c r="I10" s="4"/>
      <c r="J10" s="5"/>
    </row>
    <row r="11" spans="8:10" ht="15.75" x14ac:dyDescent="0.25">
      <c r="H11" s="3" t="s">
        <v>315</v>
      </c>
      <c r="I11" s="4"/>
      <c r="J11" s="5"/>
    </row>
    <row r="12" spans="8:10" ht="15.75" x14ac:dyDescent="0.25">
      <c r="H12" s="6" t="s">
        <v>374</v>
      </c>
      <c r="I12" s="7"/>
      <c r="J12" s="5"/>
    </row>
    <row r="13" spans="8:10" ht="15.75" x14ac:dyDescent="0.25">
      <c r="H13" s="6" t="s">
        <v>375</v>
      </c>
      <c r="I13" s="4"/>
      <c r="J13" s="5"/>
    </row>
    <row r="14" spans="8:10" ht="15.75" x14ac:dyDescent="0.25">
      <c r="H14" s="5" t="s">
        <v>417</v>
      </c>
      <c r="I14" s="3"/>
      <c r="J14" s="5"/>
    </row>
    <row r="15" spans="8:10" ht="15.75" x14ac:dyDescent="0.25">
      <c r="I15" s="5"/>
      <c r="J15" s="11"/>
    </row>
    <row r="16" spans="8:10" ht="15.75" x14ac:dyDescent="0.25">
      <c r="H16" s="5"/>
      <c r="I16" s="5"/>
      <c r="J16" s="11"/>
    </row>
    <row r="17" spans="1:10" ht="20.25" x14ac:dyDescent="0.3">
      <c r="A17" s="721" t="s">
        <v>314</v>
      </c>
      <c r="B17" s="722"/>
      <c r="C17" s="722"/>
      <c r="D17" s="722"/>
      <c r="E17" s="722"/>
      <c r="F17" s="722"/>
      <c r="G17" s="722"/>
      <c r="H17" s="722"/>
      <c r="I17" s="722"/>
      <c r="J17" s="722"/>
    </row>
    <row r="19" spans="1:10" ht="15.75" x14ac:dyDescent="0.25">
      <c r="A19" s="779">
        <v>1559100000</v>
      </c>
      <c r="B19" s="779"/>
    </row>
    <row r="20" spans="1:10" ht="16.5" thickBot="1" x14ac:dyDescent="0.3">
      <c r="A20" s="1" t="s">
        <v>0</v>
      </c>
      <c r="B20" s="1"/>
      <c r="J20" s="12" t="s">
        <v>9</v>
      </c>
    </row>
    <row r="21" spans="1:10" ht="15.75" x14ac:dyDescent="0.25">
      <c r="A21" s="780" t="s">
        <v>10</v>
      </c>
      <c r="B21" s="782" t="s">
        <v>11</v>
      </c>
      <c r="C21" s="782" t="s">
        <v>12</v>
      </c>
      <c r="D21" s="784" t="s">
        <v>13</v>
      </c>
      <c r="E21" s="711" t="s">
        <v>139</v>
      </c>
      <c r="F21" s="711" t="s">
        <v>140</v>
      </c>
      <c r="G21" s="726" t="s">
        <v>2</v>
      </c>
      <c r="H21" s="711" t="s">
        <v>3</v>
      </c>
      <c r="I21" s="711" t="s">
        <v>4</v>
      </c>
      <c r="J21" s="712"/>
    </row>
    <row r="22" spans="1:10" ht="106.5" customHeight="1" thickBot="1" x14ac:dyDescent="0.3">
      <c r="A22" s="781"/>
      <c r="B22" s="783"/>
      <c r="C22" s="783"/>
      <c r="D22" s="785"/>
      <c r="E22" s="778"/>
      <c r="F22" s="778"/>
      <c r="G22" s="728"/>
      <c r="H22" s="778"/>
      <c r="I22" s="568" t="s">
        <v>5</v>
      </c>
      <c r="J22" s="13" t="s">
        <v>6</v>
      </c>
    </row>
    <row r="23" spans="1:10" ht="16.5" thickBot="1" x14ac:dyDescent="0.3">
      <c r="A23" s="14">
        <v>1</v>
      </c>
      <c r="B23" s="15">
        <v>2</v>
      </c>
      <c r="C23" s="15">
        <v>3</v>
      </c>
      <c r="D23" s="129">
        <v>4</v>
      </c>
      <c r="E23" s="15">
        <v>5</v>
      </c>
      <c r="F23" s="15">
        <v>6</v>
      </c>
      <c r="G23" s="16">
        <v>7</v>
      </c>
      <c r="H23" s="15">
        <v>8</v>
      </c>
      <c r="I23" s="17">
        <v>9</v>
      </c>
      <c r="J23" s="18">
        <v>10</v>
      </c>
    </row>
    <row r="24" spans="1:10" ht="48" customHeight="1" thickBot="1" x14ac:dyDescent="0.3">
      <c r="A24" s="262" t="s">
        <v>15</v>
      </c>
      <c r="B24" s="263" t="s">
        <v>16</v>
      </c>
      <c r="C24" s="263" t="s">
        <v>16</v>
      </c>
      <c r="D24" s="264" t="s">
        <v>367</v>
      </c>
      <c r="E24" s="265" t="s">
        <v>16</v>
      </c>
      <c r="F24" s="265" t="s">
        <v>16</v>
      </c>
      <c r="G24" s="22">
        <f t="shared" ref="G24:G31" si="0">H24+I24</f>
        <v>117517024</v>
      </c>
      <c r="H24" s="22">
        <f>H25</f>
        <v>94166811</v>
      </c>
      <c r="I24" s="23">
        <f>I25</f>
        <v>23350213</v>
      </c>
      <c r="J24" s="24">
        <f>J25</f>
        <v>23350213</v>
      </c>
    </row>
    <row r="25" spans="1:10" ht="48" customHeight="1" x14ac:dyDescent="0.25">
      <c r="A25" s="41" t="s">
        <v>17</v>
      </c>
      <c r="B25" s="42" t="s">
        <v>16</v>
      </c>
      <c r="C25" s="42" t="s">
        <v>16</v>
      </c>
      <c r="D25" s="55" t="s">
        <v>367</v>
      </c>
      <c r="E25" s="27" t="s">
        <v>16</v>
      </c>
      <c r="F25" s="27" t="s">
        <v>16</v>
      </c>
      <c r="G25" s="38">
        <f>H25+I25</f>
        <v>117517024</v>
      </c>
      <c r="H25" s="39">
        <f>H26+H28+H29+H30+H32+H33+H34+H35+H36+H39+H37+H31+H27+H40+H41+H42+H43+H44+H45+H38</f>
        <v>94166811</v>
      </c>
      <c r="I25" s="39">
        <f>I26+I28+I29+I30+I32+I33+I34+I35+I36+I39+I37+I31+I38+I41+I42+I43+I44+I45</f>
        <v>23350213</v>
      </c>
      <c r="J25" s="40">
        <f>J26+J28+J29+J30+J32+J33+J34+J35+J36+J39+J37+J31+J38+J41+J42+J43+J44+J45</f>
        <v>23350213</v>
      </c>
    </row>
    <row r="26" spans="1:10" ht="99.75" customHeight="1" x14ac:dyDescent="0.25">
      <c r="A26" s="566" t="s">
        <v>219</v>
      </c>
      <c r="B26" s="565" t="s">
        <v>220</v>
      </c>
      <c r="C26" s="565" t="s">
        <v>18</v>
      </c>
      <c r="D26" s="31" t="s">
        <v>221</v>
      </c>
      <c r="E26" s="31" t="s">
        <v>298</v>
      </c>
      <c r="F26" s="31" t="s">
        <v>611</v>
      </c>
      <c r="G26" s="32">
        <f t="shared" si="0"/>
        <v>234240</v>
      </c>
      <c r="H26" s="8">
        <f>234240</f>
        <v>234240</v>
      </c>
      <c r="I26" s="466"/>
      <c r="J26" s="624"/>
    </row>
    <row r="27" spans="1:10" ht="123.75" customHeight="1" x14ac:dyDescent="0.25">
      <c r="A27" s="289" t="s">
        <v>316</v>
      </c>
      <c r="B27" s="249" t="s">
        <v>267</v>
      </c>
      <c r="C27" s="249" t="s">
        <v>265</v>
      </c>
      <c r="D27" s="250" t="s">
        <v>269</v>
      </c>
      <c r="E27" s="31" t="s">
        <v>418</v>
      </c>
      <c r="F27" s="31" t="s">
        <v>683</v>
      </c>
      <c r="G27" s="32">
        <f>H27</f>
        <v>89400</v>
      </c>
      <c r="H27" s="8">
        <v>89400</v>
      </c>
      <c r="I27" s="466"/>
      <c r="J27" s="624"/>
    </row>
    <row r="28" spans="1:10" ht="139.15" customHeight="1" x14ac:dyDescent="0.25">
      <c r="A28" s="289" t="s">
        <v>316</v>
      </c>
      <c r="B28" s="249" t="s">
        <v>267</v>
      </c>
      <c r="C28" s="249" t="s">
        <v>265</v>
      </c>
      <c r="D28" s="250" t="s">
        <v>269</v>
      </c>
      <c r="E28" s="256" t="s">
        <v>420</v>
      </c>
      <c r="F28" s="31" t="s">
        <v>610</v>
      </c>
      <c r="G28" s="28">
        <f t="shared" si="0"/>
        <v>76500</v>
      </c>
      <c r="H28" s="29">
        <f>18000+58500</f>
        <v>76500</v>
      </c>
      <c r="I28" s="39"/>
      <c r="J28" s="40"/>
    </row>
    <row r="29" spans="1:10" ht="66.75" customHeight="1" x14ac:dyDescent="0.25">
      <c r="A29" s="90" t="s">
        <v>19</v>
      </c>
      <c r="B29" s="565" t="s">
        <v>20</v>
      </c>
      <c r="C29" s="565" t="s">
        <v>21</v>
      </c>
      <c r="D29" s="56" t="s">
        <v>22</v>
      </c>
      <c r="E29" s="176" t="s">
        <v>209</v>
      </c>
      <c r="F29" s="176" t="s">
        <v>369</v>
      </c>
      <c r="G29" s="8">
        <f t="shared" si="0"/>
        <v>10429723</v>
      </c>
      <c r="H29" s="32">
        <f>10094100+335623</f>
        <v>10429723</v>
      </c>
      <c r="I29" s="32">
        <v>0</v>
      </c>
      <c r="J29" s="33">
        <v>0</v>
      </c>
    </row>
    <row r="30" spans="1:10" ht="78" customHeight="1" x14ac:dyDescent="0.25">
      <c r="A30" s="90" t="s">
        <v>19</v>
      </c>
      <c r="B30" s="565" t="s">
        <v>20</v>
      </c>
      <c r="C30" s="565" t="s">
        <v>21</v>
      </c>
      <c r="D30" s="56" t="s">
        <v>22</v>
      </c>
      <c r="E30" s="176" t="s">
        <v>459</v>
      </c>
      <c r="F30" s="176" t="s">
        <v>458</v>
      </c>
      <c r="G30" s="8">
        <f t="shared" si="0"/>
        <v>14362702</v>
      </c>
      <c r="H30" s="32">
        <f>14362702</f>
        <v>14362702</v>
      </c>
      <c r="I30" s="32">
        <v>0</v>
      </c>
      <c r="J30" s="33">
        <f>I30</f>
        <v>0</v>
      </c>
    </row>
    <row r="31" spans="1:10" ht="65.25" customHeight="1" x14ac:dyDescent="0.25">
      <c r="A31" s="90" t="s">
        <v>19</v>
      </c>
      <c r="B31" s="565" t="s">
        <v>20</v>
      </c>
      <c r="C31" s="565" t="s">
        <v>21</v>
      </c>
      <c r="D31" s="56" t="s">
        <v>22</v>
      </c>
      <c r="E31" s="31" t="s">
        <v>671</v>
      </c>
      <c r="F31" s="31" t="s">
        <v>672</v>
      </c>
      <c r="G31" s="8">
        <f t="shared" si="0"/>
        <v>79894</v>
      </c>
      <c r="H31" s="32"/>
      <c r="I31" s="32">
        <f>1548687-1468793</f>
        <v>79894</v>
      </c>
      <c r="J31" s="33">
        <f>I31</f>
        <v>79894</v>
      </c>
    </row>
    <row r="32" spans="1:10" ht="66" customHeight="1" x14ac:dyDescent="0.25">
      <c r="A32" s="90" t="s">
        <v>23</v>
      </c>
      <c r="B32" s="565" t="s">
        <v>24</v>
      </c>
      <c r="C32" s="565" t="s">
        <v>25</v>
      </c>
      <c r="D32" s="56" t="s">
        <v>26</v>
      </c>
      <c r="E32" s="31" t="s">
        <v>271</v>
      </c>
      <c r="F32" s="176" t="s">
        <v>635</v>
      </c>
      <c r="G32" s="8">
        <f t="shared" ref="G32:G45" si="1">H32+I32</f>
        <v>1139992</v>
      </c>
      <c r="H32" s="32">
        <f>829404+50690</f>
        <v>880094</v>
      </c>
      <c r="I32" s="32">
        <f>J32</f>
        <v>259898</v>
      </c>
      <c r="J32" s="33">
        <f>173298+86600</f>
        <v>259898</v>
      </c>
    </row>
    <row r="33" spans="1:10" ht="63" customHeight="1" x14ac:dyDescent="0.25">
      <c r="A33" s="251" t="s">
        <v>274</v>
      </c>
      <c r="B33" s="9">
        <v>2152</v>
      </c>
      <c r="C33" s="252" t="s">
        <v>275</v>
      </c>
      <c r="D33" s="131" t="s">
        <v>26</v>
      </c>
      <c r="E33" s="235" t="s">
        <v>272</v>
      </c>
      <c r="F33" s="261" t="s">
        <v>636</v>
      </c>
      <c r="G33" s="35">
        <f t="shared" si="1"/>
        <v>3047512</v>
      </c>
      <c r="H33" s="36">
        <f>2932512-117000+232000</f>
        <v>3047512</v>
      </c>
      <c r="I33" s="36">
        <v>0</v>
      </c>
      <c r="J33" s="37">
        <v>0</v>
      </c>
    </row>
    <row r="34" spans="1:10" ht="61.5" customHeight="1" x14ac:dyDescent="0.25">
      <c r="A34" s="90" t="s">
        <v>30</v>
      </c>
      <c r="B34" s="565" t="s">
        <v>31</v>
      </c>
      <c r="C34" s="565" t="s">
        <v>32</v>
      </c>
      <c r="D34" s="31" t="s">
        <v>33</v>
      </c>
      <c r="E34" s="31" t="s">
        <v>419</v>
      </c>
      <c r="F34" s="176" t="s">
        <v>657</v>
      </c>
      <c r="G34" s="8">
        <f>H34+I34</f>
        <v>861314</v>
      </c>
      <c r="H34" s="32">
        <f>155496+23379-1359</f>
        <v>177516</v>
      </c>
      <c r="I34" s="32">
        <f>J34</f>
        <v>683798</v>
      </c>
      <c r="J34" s="33">
        <f>0+657194+26604</f>
        <v>683798</v>
      </c>
    </row>
    <row r="35" spans="1:10" ht="78" customHeight="1" x14ac:dyDescent="0.25">
      <c r="A35" s="47">
        <v>218110</v>
      </c>
      <c r="B35" s="48">
        <v>8110</v>
      </c>
      <c r="C35" s="288" t="s">
        <v>277</v>
      </c>
      <c r="D35" s="176" t="s">
        <v>278</v>
      </c>
      <c r="E35" s="31" t="s">
        <v>668</v>
      </c>
      <c r="F35" s="31" t="s">
        <v>679</v>
      </c>
      <c r="G35" s="28">
        <f t="shared" si="1"/>
        <v>714150</v>
      </c>
      <c r="H35" s="29">
        <f>676200-20100+58050</f>
        <v>714150</v>
      </c>
      <c r="I35" s="29">
        <v>0</v>
      </c>
      <c r="J35" s="30">
        <v>0</v>
      </c>
    </row>
    <row r="36" spans="1:10" ht="63.75" customHeight="1" x14ac:dyDescent="0.25">
      <c r="A36" s="90" t="s">
        <v>34</v>
      </c>
      <c r="B36" s="565" t="s">
        <v>35</v>
      </c>
      <c r="C36" s="565" t="s">
        <v>36</v>
      </c>
      <c r="D36" s="56" t="s">
        <v>37</v>
      </c>
      <c r="E36" s="176" t="s">
        <v>336</v>
      </c>
      <c r="F36" s="176" t="s">
        <v>335</v>
      </c>
      <c r="G36" s="8">
        <f t="shared" si="1"/>
        <v>9500</v>
      </c>
      <c r="H36" s="32">
        <f>406200-58500-338200</f>
        <v>9500</v>
      </c>
      <c r="I36" s="32">
        <v>0</v>
      </c>
      <c r="J36" s="33">
        <v>0</v>
      </c>
    </row>
    <row r="37" spans="1:10" ht="64.5" customHeight="1" x14ac:dyDescent="0.25">
      <c r="A37" s="676" t="s">
        <v>141</v>
      </c>
      <c r="B37" s="567">
        <v>8230</v>
      </c>
      <c r="C37" s="565" t="s">
        <v>36</v>
      </c>
      <c r="D37" s="57" t="s">
        <v>142</v>
      </c>
      <c r="E37" s="423" t="s">
        <v>670</v>
      </c>
      <c r="F37" s="176" t="s">
        <v>669</v>
      </c>
      <c r="G37" s="8">
        <f t="shared" si="1"/>
        <v>18043353</v>
      </c>
      <c r="H37" s="32">
        <f>20158706-303595-800140-1011618</f>
        <v>18043353</v>
      </c>
      <c r="I37" s="32">
        <v>0</v>
      </c>
      <c r="J37" s="33">
        <v>0</v>
      </c>
    </row>
    <row r="38" spans="1:10" ht="116.25" customHeight="1" x14ac:dyDescent="0.25">
      <c r="A38" s="676" t="s">
        <v>400</v>
      </c>
      <c r="B38" s="567">
        <v>8240</v>
      </c>
      <c r="C38" s="565" t="s">
        <v>36</v>
      </c>
      <c r="D38" s="57" t="s">
        <v>401</v>
      </c>
      <c r="E38" s="31" t="s">
        <v>666</v>
      </c>
      <c r="F38" s="176" t="s">
        <v>667</v>
      </c>
      <c r="G38" s="8">
        <f t="shared" si="1"/>
        <v>424670</v>
      </c>
      <c r="H38" s="32">
        <f>0+241072</f>
        <v>241072</v>
      </c>
      <c r="I38" s="32">
        <f>400444-216846</f>
        <v>183598</v>
      </c>
      <c r="J38" s="33">
        <f>400444-216846</f>
        <v>183598</v>
      </c>
    </row>
    <row r="39" spans="1:10" ht="104.25" customHeight="1" x14ac:dyDescent="0.25">
      <c r="A39" s="90" t="s">
        <v>38</v>
      </c>
      <c r="B39" s="565" t="s">
        <v>39</v>
      </c>
      <c r="C39" s="565" t="s">
        <v>40</v>
      </c>
      <c r="D39" s="31" t="s">
        <v>381</v>
      </c>
      <c r="E39" s="31" t="s">
        <v>421</v>
      </c>
      <c r="F39" s="176" t="s">
        <v>608</v>
      </c>
      <c r="G39" s="8">
        <f t="shared" si="1"/>
        <v>3644210</v>
      </c>
      <c r="H39" s="32">
        <f>3582707+490356-490356+61503</f>
        <v>3644210</v>
      </c>
      <c r="I39" s="32">
        <v>0</v>
      </c>
      <c r="J39" s="33">
        <v>0</v>
      </c>
    </row>
    <row r="40" spans="1:10" ht="108.75" customHeight="1" x14ac:dyDescent="0.25">
      <c r="A40" s="351" t="s">
        <v>389</v>
      </c>
      <c r="B40" s="565">
        <v>9770</v>
      </c>
      <c r="C40" s="288" t="s">
        <v>267</v>
      </c>
      <c r="D40" s="176" t="s">
        <v>383</v>
      </c>
      <c r="E40" s="31" t="s">
        <v>666</v>
      </c>
      <c r="F40" s="176" t="s">
        <v>667</v>
      </c>
      <c r="G40" s="8">
        <f t="shared" si="1"/>
        <v>30000000</v>
      </c>
      <c r="H40" s="8">
        <v>30000000</v>
      </c>
      <c r="I40" s="519">
        <f>J40</f>
        <v>0</v>
      </c>
      <c r="J40" s="33">
        <v>0</v>
      </c>
    </row>
    <row r="41" spans="1:10" ht="111.75" customHeight="1" x14ac:dyDescent="0.25">
      <c r="A41" s="251" t="s">
        <v>462</v>
      </c>
      <c r="B41" s="15">
        <v>9800</v>
      </c>
      <c r="C41" s="356" t="s">
        <v>267</v>
      </c>
      <c r="D41" s="256" t="s">
        <v>463</v>
      </c>
      <c r="E41" s="34" t="s">
        <v>666</v>
      </c>
      <c r="F41" s="176" t="s">
        <v>667</v>
      </c>
      <c r="G41" s="35">
        <f t="shared" si="1"/>
        <v>19197025</v>
      </c>
      <c r="H41" s="354">
        <f>0+4000000</f>
        <v>4000000</v>
      </c>
      <c r="I41" s="560">
        <f>J41</f>
        <v>15197025</v>
      </c>
      <c r="J41" s="520">
        <f>4560280+6000000+4636745</f>
        <v>15197025</v>
      </c>
    </row>
    <row r="42" spans="1:10" ht="83.25" customHeight="1" x14ac:dyDescent="0.25">
      <c r="A42" s="351" t="s">
        <v>462</v>
      </c>
      <c r="B42" s="565">
        <v>9800</v>
      </c>
      <c r="C42" s="288" t="s">
        <v>267</v>
      </c>
      <c r="D42" s="256" t="s">
        <v>463</v>
      </c>
      <c r="E42" s="34" t="s">
        <v>596</v>
      </c>
      <c r="F42" s="176" t="s">
        <v>663</v>
      </c>
      <c r="G42" s="35">
        <f t="shared" si="1"/>
        <v>10199000</v>
      </c>
      <c r="H42" s="8">
        <f>0+2199000+3250000</f>
        <v>5449000</v>
      </c>
      <c r="I42" s="560">
        <f t="shared" ref="I42:I45" si="2">J42</f>
        <v>4750000</v>
      </c>
      <c r="J42" s="33">
        <f>0+5000000-250000</f>
        <v>4750000</v>
      </c>
    </row>
    <row r="43" spans="1:10" ht="63" customHeight="1" x14ac:dyDescent="0.25">
      <c r="A43" s="351" t="s">
        <v>462</v>
      </c>
      <c r="B43" s="565">
        <v>9800</v>
      </c>
      <c r="C43" s="288" t="s">
        <v>267</v>
      </c>
      <c r="D43" s="256" t="s">
        <v>463</v>
      </c>
      <c r="E43" s="34" t="s">
        <v>665</v>
      </c>
      <c r="F43" s="176" t="s">
        <v>664</v>
      </c>
      <c r="G43" s="35">
        <f t="shared" si="1"/>
        <v>3000000</v>
      </c>
      <c r="H43" s="8">
        <f>0+2332000</f>
        <v>2332000</v>
      </c>
      <c r="I43" s="560">
        <f t="shared" si="2"/>
        <v>668000</v>
      </c>
      <c r="J43" s="33">
        <f>0+668000</f>
        <v>668000</v>
      </c>
    </row>
    <row r="44" spans="1:10" ht="76.5" customHeight="1" x14ac:dyDescent="0.25">
      <c r="A44" s="351" t="s">
        <v>462</v>
      </c>
      <c r="B44" s="565">
        <v>9800</v>
      </c>
      <c r="C44" s="288" t="s">
        <v>267</v>
      </c>
      <c r="D44" s="176" t="s">
        <v>463</v>
      </c>
      <c r="E44" s="31" t="s">
        <v>597</v>
      </c>
      <c r="F44" s="261" t="s">
        <v>598</v>
      </c>
      <c r="G44" s="35">
        <f t="shared" si="1"/>
        <v>501139</v>
      </c>
      <c r="H44" s="8">
        <f>0+318739</f>
        <v>318739</v>
      </c>
      <c r="I44" s="560">
        <f t="shared" si="2"/>
        <v>182400</v>
      </c>
      <c r="J44" s="33">
        <f>0+182400</f>
        <v>182400</v>
      </c>
    </row>
    <row r="45" spans="1:10" ht="65.25" customHeight="1" thickBot="1" x14ac:dyDescent="0.3">
      <c r="A45" s="251" t="s">
        <v>462</v>
      </c>
      <c r="B45" s="15">
        <v>9800</v>
      </c>
      <c r="C45" s="356" t="s">
        <v>267</v>
      </c>
      <c r="D45" s="455" t="s">
        <v>463</v>
      </c>
      <c r="E45" s="34" t="s">
        <v>595</v>
      </c>
      <c r="F45" s="261" t="s">
        <v>602</v>
      </c>
      <c r="G45" s="35">
        <f t="shared" si="1"/>
        <v>1462700</v>
      </c>
      <c r="H45" s="354">
        <f>0+117100</f>
        <v>117100</v>
      </c>
      <c r="I45" s="560">
        <f t="shared" si="2"/>
        <v>1345600</v>
      </c>
      <c r="J45" s="520">
        <f>0+1345600</f>
        <v>1345600</v>
      </c>
    </row>
    <row r="46" spans="1:10" ht="50.25" customHeight="1" thickBot="1" x14ac:dyDescent="0.3">
      <c r="A46" s="262" t="s">
        <v>41</v>
      </c>
      <c r="B46" s="263" t="s">
        <v>16</v>
      </c>
      <c r="C46" s="263" t="s">
        <v>16</v>
      </c>
      <c r="D46" s="264" t="s">
        <v>390</v>
      </c>
      <c r="E46" s="265" t="s">
        <v>16</v>
      </c>
      <c r="F46" s="265" t="s">
        <v>16</v>
      </c>
      <c r="G46" s="22">
        <f>H46+I46</f>
        <v>28544227</v>
      </c>
      <c r="H46" s="22">
        <f>H47</f>
        <v>17218984</v>
      </c>
      <c r="I46" s="22">
        <f>I47</f>
        <v>11325243</v>
      </c>
      <c r="J46" s="266">
        <f>J47</f>
        <v>3932143</v>
      </c>
    </row>
    <row r="47" spans="1:10" ht="47.25" x14ac:dyDescent="0.25">
      <c r="A47" s="25" t="s">
        <v>42</v>
      </c>
      <c r="B47" s="26" t="s">
        <v>16</v>
      </c>
      <c r="C47" s="26" t="s">
        <v>16</v>
      </c>
      <c r="D47" s="55" t="s">
        <v>390</v>
      </c>
      <c r="E47" s="27" t="s">
        <v>16</v>
      </c>
      <c r="F47" s="27" t="s">
        <v>16</v>
      </c>
      <c r="G47" s="38">
        <f>H47+I47</f>
        <v>28544227</v>
      </c>
      <c r="H47" s="39">
        <f>H48+H49+H51+H52+H53+H54+H55+H63+H58+H59+H62</f>
        <v>17218984</v>
      </c>
      <c r="I47" s="39">
        <f>I48+I49+I51+I52+I53+I54+I50+I56+I57+I64+I60+I61</f>
        <v>11325243</v>
      </c>
      <c r="J47" s="40">
        <f>J48+J49+J51+J52+J53+J54+J50+J56+J57+J64</f>
        <v>3932143</v>
      </c>
    </row>
    <row r="48" spans="1:10" ht="64.5" customHeight="1" x14ac:dyDescent="0.25">
      <c r="A48" s="90" t="s">
        <v>44</v>
      </c>
      <c r="B48" s="565">
        <v>1010</v>
      </c>
      <c r="C48" s="565" t="s">
        <v>46</v>
      </c>
      <c r="D48" s="56" t="s">
        <v>47</v>
      </c>
      <c r="E48" s="31" t="s">
        <v>659</v>
      </c>
      <c r="F48" s="31" t="s">
        <v>658</v>
      </c>
      <c r="G48" s="8">
        <f t="shared" ref="G48:G64" si="3">H48+I48</f>
        <v>810638</v>
      </c>
      <c r="H48" s="8">
        <f>750111+408412-347885</f>
        <v>810638</v>
      </c>
      <c r="I48" s="32">
        <v>0</v>
      </c>
      <c r="J48" s="33">
        <v>0</v>
      </c>
    </row>
    <row r="49" spans="1:10" ht="61.5" customHeight="1" x14ac:dyDescent="0.25">
      <c r="A49" s="90" t="s">
        <v>48</v>
      </c>
      <c r="B49" s="565" t="s">
        <v>49</v>
      </c>
      <c r="C49" s="565" t="s">
        <v>50</v>
      </c>
      <c r="D49" s="56" t="s">
        <v>51</v>
      </c>
      <c r="E49" s="31" t="s">
        <v>660</v>
      </c>
      <c r="F49" s="31" t="s">
        <v>658</v>
      </c>
      <c r="G49" s="8">
        <f t="shared" si="3"/>
        <v>4439601</v>
      </c>
      <c r="H49" s="8">
        <f>8619633+314896-3500600-222289-49726-49725-484263-188325</f>
        <v>4439601</v>
      </c>
      <c r="I49" s="32">
        <v>0</v>
      </c>
      <c r="J49" s="33">
        <v>0</v>
      </c>
    </row>
    <row r="50" spans="1:10" ht="71.25" customHeight="1" x14ac:dyDescent="0.25">
      <c r="A50" s="351" t="s">
        <v>391</v>
      </c>
      <c r="B50" s="565">
        <v>1403</v>
      </c>
      <c r="C50" s="565" t="s">
        <v>56</v>
      </c>
      <c r="D50" s="176" t="s">
        <v>392</v>
      </c>
      <c r="E50" s="31" t="s">
        <v>660</v>
      </c>
      <c r="F50" s="31" t="s">
        <v>658</v>
      </c>
      <c r="G50" s="8">
        <f t="shared" si="3"/>
        <v>3500600</v>
      </c>
      <c r="H50" s="8"/>
      <c r="I50" s="32">
        <v>3500600</v>
      </c>
      <c r="J50" s="33">
        <v>0</v>
      </c>
    </row>
    <row r="51" spans="1:10" ht="72" customHeight="1" x14ac:dyDescent="0.25">
      <c r="A51" s="90" t="s">
        <v>52</v>
      </c>
      <c r="B51" s="565" t="s">
        <v>53</v>
      </c>
      <c r="C51" s="565" t="s">
        <v>54</v>
      </c>
      <c r="D51" s="56" t="s">
        <v>55</v>
      </c>
      <c r="E51" s="31" t="s">
        <v>660</v>
      </c>
      <c r="F51" s="31" t="s">
        <v>658</v>
      </c>
      <c r="G51" s="8">
        <f t="shared" si="3"/>
        <v>18526</v>
      </c>
      <c r="H51" s="32">
        <f>40159-17167-4466</f>
        <v>18526</v>
      </c>
      <c r="I51" s="32">
        <v>0</v>
      </c>
      <c r="J51" s="33">
        <v>0</v>
      </c>
    </row>
    <row r="52" spans="1:10" ht="61.5" customHeight="1" x14ac:dyDescent="0.25">
      <c r="A52" s="90" t="s">
        <v>57</v>
      </c>
      <c r="B52" s="565" t="s">
        <v>58</v>
      </c>
      <c r="C52" s="565" t="s">
        <v>56</v>
      </c>
      <c r="D52" s="56" t="s">
        <v>59</v>
      </c>
      <c r="E52" s="31" t="s">
        <v>660</v>
      </c>
      <c r="F52" s="31" t="s">
        <v>658</v>
      </c>
      <c r="G52" s="8">
        <f t="shared" si="3"/>
        <v>99030</v>
      </c>
      <c r="H52" s="32">
        <f>113122+70000-84092</f>
        <v>99030</v>
      </c>
      <c r="I52" s="32">
        <v>0</v>
      </c>
      <c r="J52" s="33">
        <v>0</v>
      </c>
    </row>
    <row r="53" spans="1:10" ht="68.25" customHeight="1" x14ac:dyDescent="0.25">
      <c r="A53" s="90" t="s">
        <v>60</v>
      </c>
      <c r="B53" s="565" t="s">
        <v>61</v>
      </c>
      <c r="C53" s="565" t="s">
        <v>56</v>
      </c>
      <c r="D53" s="56" t="s">
        <v>62</v>
      </c>
      <c r="E53" s="31" t="s">
        <v>660</v>
      </c>
      <c r="F53" s="31" t="s">
        <v>658</v>
      </c>
      <c r="G53" s="8">
        <f t="shared" si="3"/>
        <v>3279</v>
      </c>
      <c r="H53" s="32">
        <f>11754-6974-1501</f>
        <v>3279</v>
      </c>
      <c r="I53" s="32">
        <v>0</v>
      </c>
      <c r="J53" s="33">
        <v>0</v>
      </c>
    </row>
    <row r="54" spans="1:10" ht="69" customHeight="1" x14ac:dyDescent="0.25">
      <c r="A54" s="90" t="s">
        <v>63</v>
      </c>
      <c r="B54" s="565" t="s">
        <v>64</v>
      </c>
      <c r="C54" s="565" t="s">
        <v>56</v>
      </c>
      <c r="D54" s="56" t="s">
        <v>65</v>
      </c>
      <c r="E54" s="31" t="s">
        <v>660</v>
      </c>
      <c r="F54" s="31" t="s">
        <v>658</v>
      </c>
      <c r="G54" s="8">
        <f t="shared" si="3"/>
        <v>5919</v>
      </c>
      <c r="H54" s="32">
        <v>5919</v>
      </c>
      <c r="I54" s="32">
        <v>0</v>
      </c>
      <c r="J54" s="33">
        <v>0</v>
      </c>
    </row>
    <row r="55" spans="1:10" ht="67.900000000000006" customHeight="1" x14ac:dyDescent="0.25">
      <c r="A55" s="90" t="s">
        <v>63</v>
      </c>
      <c r="B55" s="565" t="s">
        <v>64</v>
      </c>
      <c r="C55" s="565" t="s">
        <v>56</v>
      </c>
      <c r="D55" s="56" t="s">
        <v>65</v>
      </c>
      <c r="E55" s="31" t="s">
        <v>424</v>
      </c>
      <c r="F55" s="31" t="s">
        <v>422</v>
      </c>
      <c r="G55" s="8">
        <f t="shared" si="3"/>
        <v>33491</v>
      </c>
      <c r="H55" s="32">
        <v>33491</v>
      </c>
      <c r="I55" s="32">
        <v>0</v>
      </c>
      <c r="J55" s="33">
        <v>0</v>
      </c>
    </row>
    <row r="56" spans="1:10" ht="125.25" customHeight="1" x14ac:dyDescent="0.25">
      <c r="A56" s="289" t="s">
        <v>402</v>
      </c>
      <c r="B56" s="565">
        <v>1183</v>
      </c>
      <c r="C56" s="567" t="s">
        <v>56</v>
      </c>
      <c r="D56" s="31" t="s">
        <v>404</v>
      </c>
      <c r="E56" s="31" t="s">
        <v>659</v>
      </c>
      <c r="F56" s="31" t="s">
        <v>658</v>
      </c>
      <c r="G56" s="8">
        <f t="shared" si="3"/>
        <v>579643</v>
      </c>
      <c r="H56" s="32"/>
      <c r="I56" s="32">
        <v>579643</v>
      </c>
      <c r="J56" s="33">
        <v>579643</v>
      </c>
    </row>
    <row r="57" spans="1:10" ht="127.15" customHeight="1" x14ac:dyDescent="0.25">
      <c r="A57" s="289" t="s">
        <v>403</v>
      </c>
      <c r="B57" s="565">
        <v>1184</v>
      </c>
      <c r="C57" s="567" t="s">
        <v>56</v>
      </c>
      <c r="D57" s="31" t="s">
        <v>405</v>
      </c>
      <c r="E57" s="31" t="s">
        <v>659</v>
      </c>
      <c r="F57" s="31" t="s">
        <v>658</v>
      </c>
      <c r="G57" s="8">
        <f t="shared" si="3"/>
        <v>1352500</v>
      </c>
      <c r="H57" s="32"/>
      <c r="I57" s="32">
        <v>1352500</v>
      </c>
      <c r="J57" s="33">
        <v>1352500</v>
      </c>
    </row>
    <row r="58" spans="1:10" ht="208.5" customHeight="1" x14ac:dyDescent="0.25">
      <c r="A58" s="289" t="s">
        <v>584</v>
      </c>
      <c r="B58" s="567">
        <v>1231</v>
      </c>
      <c r="C58" s="567" t="s">
        <v>56</v>
      </c>
      <c r="D58" s="176" t="s">
        <v>586</v>
      </c>
      <c r="E58" s="31" t="s">
        <v>659</v>
      </c>
      <c r="F58" s="31" t="s">
        <v>658</v>
      </c>
      <c r="G58" s="8">
        <f t="shared" si="3"/>
        <v>1250000</v>
      </c>
      <c r="H58" s="32">
        <f>0+1001903+248097</f>
        <v>1250000</v>
      </c>
      <c r="I58" s="32"/>
      <c r="J58" s="33"/>
    </row>
    <row r="59" spans="1:10" ht="192" customHeight="1" x14ac:dyDescent="0.25">
      <c r="A59" s="289" t="s">
        <v>585</v>
      </c>
      <c r="B59" s="567">
        <v>1232</v>
      </c>
      <c r="C59" s="567" t="s">
        <v>56</v>
      </c>
      <c r="D59" s="176" t="s">
        <v>587</v>
      </c>
      <c r="E59" s="31" t="s">
        <v>659</v>
      </c>
      <c r="F59" s="31" t="s">
        <v>658</v>
      </c>
      <c r="G59" s="8">
        <f t="shared" si="3"/>
        <v>1250000</v>
      </c>
      <c r="H59" s="32">
        <f>1001903+248097</f>
        <v>1250000</v>
      </c>
      <c r="I59" s="32"/>
      <c r="J59" s="33"/>
    </row>
    <row r="60" spans="1:10" ht="104.25" customHeight="1" x14ac:dyDescent="0.25">
      <c r="A60" s="289" t="s">
        <v>618</v>
      </c>
      <c r="B60" s="567">
        <v>1279</v>
      </c>
      <c r="C60" s="567" t="s">
        <v>56</v>
      </c>
      <c r="D60" s="176" t="s">
        <v>619</v>
      </c>
      <c r="E60" s="31" t="s">
        <v>659</v>
      </c>
      <c r="F60" s="31" t="s">
        <v>658</v>
      </c>
      <c r="G60" s="8">
        <f t="shared" si="3"/>
        <v>2511700</v>
      </c>
      <c r="H60" s="32"/>
      <c r="I60" s="32">
        <f>2511700</f>
        <v>2511700</v>
      </c>
      <c r="J60" s="33"/>
    </row>
    <row r="61" spans="1:10" ht="116.25" customHeight="1" x14ac:dyDescent="0.25">
      <c r="A61" s="289" t="s">
        <v>620</v>
      </c>
      <c r="B61" s="567">
        <v>1700</v>
      </c>
      <c r="C61" s="567" t="s">
        <v>56</v>
      </c>
      <c r="D61" s="176" t="s">
        <v>621</v>
      </c>
      <c r="E61" s="31" t="s">
        <v>659</v>
      </c>
      <c r="F61" s="31" t="s">
        <v>658</v>
      </c>
      <c r="G61" s="8">
        <f t="shared" si="3"/>
        <v>1380800</v>
      </c>
      <c r="H61" s="32"/>
      <c r="I61" s="32">
        <f>1380800</f>
        <v>1380800</v>
      </c>
      <c r="J61" s="33"/>
    </row>
    <row r="62" spans="1:10" ht="65.25" customHeight="1" x14ac:dyDescent="0.25">
      <c r="A62" s="289" t="s">
        <v>616</v>
      </c>
      <c r="B62" s="567">
        <v>1702</v>
      </c>
      <c r="C62" s="567" t="s">
        <v>56</v>
      </c>
      <c r="D62" s="176" t="s">
        <v>617</v>
      </c>
      <c r="E62" s="31" t="s">
        <v>659</v>
      </c>
      <c r="F62" s="31" t="s">
        <v>658</v>
      </c>
      <c r="G62" s="8">
        <f t="shared" si="3"/>
        <v>8230500</v>
      </c>
      <c r="H62" s="32">
        <f>8230500</f>
        <v>8230500</v>
      </c>
      <c r="I62" s="32"/>
      <c r="J62" s="33"/>
    </row>
    <row r="63" spans="1:10" ht="95.25" customHeight="1" x14ac:dyDescent="0.25">
      <c r="A63" s="351" t="s">
        <v>317</v>
      </c>
      <c r="B63" s="565">
        <v>3140</v>
      </c>
      <c r="C63" s="565">
        <v>1040</v>
      </c>
      <c r="D63" s="56" t="s">
        <v>318</v>
      </c>
      <c r="E63" s="31" t="s">
        <v>329</v>
      </c>
      <c r="F63" s="31" t="s">
        <v>423</v>
      </c>
      <c r="G63" s="8">
        <f t="shared" si="3"/>
        <v>1078000</v>
      </c>
      <c r="H63" s="32">
        <f>1001000+77000</f>
        <v>1078000</v>
      </c>
      <c r="I63" s="32">
        <v>0</v>
      </c>
      <c r="J63" s="33">
        <v>0</v>
      </c>
    </row>
    <row r="64" spans="1:10" ht="66.75" customHeight="1" thickBot="1" x14ac:dyDescent="0.3">
      <c r="A64" s="251" t="s">
        <v>572</v>
      </c>
      <c r="B64" s="15">
        <v>9750</v>
      </c>
      <c r="C64" s="249" t="s">
        <v>267</v>
      </c>
      <c r="D64" s="550" t="s">
        <v>573</v>
      </c>
      <c r="E64" s="31" t="s">
        <v>659</v>
      </c>
      <c r="F64" s="31" t="s">
        <v>658</v>
      </c>
      <c r="G64" s="8">
        <f t="shared" si="3"/>
        <v>2000000</v>
      </c>
      <c r="H64" s="253"/>
      <c r="I64" s="253">
        <v>2000000</v>
      </c>
      <c r="J64" s="520">
        <v>2000000</v>
      </c>
    </row>
    <row r="65" spans="1:10" ht="48" customHeight="1" thickBot="1" x14ac:dyDescent="0.3">
      <c r="A65" s="262" t="s">
        <v>67</v>
      </c>
      <c r="B65" s="263" t="s">
        <v>16</v>
      </c>
      <c r="C65" s="263" t="s">
        <v>16</v>
      </c>
      <c r="D65" s="264" t="s">
        <v>340</v>
      </c>
      <c r="E65" s="265" t="s">
        <v>16</v>
      </c>
      <c r="F65" s="265" t="s">
        <v>16</v>
      </c>
      <c r="G65" s="22">
        <f t="shared" ref="G65:G105" si="4">H65+I65</f>
        <v>35294910</v>
      </c>
      <c r="H65" s="22">
        <f>H66</f>
        <v>35294910</v>
      </c>
      <c r="I65" s="22">
        <f>I66</f>
        <v>0</v>
      </c>
      <c r="J65" s="266">
        <f>J66</f>
        <v>0</v>
      </c>
    </row>
    <row r="66" spans="1:10" ht="47.25" x14ac:dyDescent="0.25">
      <c r="A66" s="25" t="s">
        <v>68</v>
      </c>
      <c r="B66" s="26" t="s">
        <v>16</v>
      </c>
      <c r="C66" s="26" t="s">
        <v>16</v>
      </c>
      <c r="D66" s="55" t="s">
        <v>340</v>
      </c>
      <c r="E66" s="27" t="s">
        <v>16</v>
      </c>
      <c r="F66" s="27" t="s">
        <v>16</v>
      </c>
      <c r="G66" s="38">
        <f>H66+I66</f>
        <v>35294910</v>
      </c>
      <c r="H66" s="39">
        <f>H67+H68+H73+H69+H72+H71+H74+H70</f>
        <v>35294910</v>
      </c>
      <c r="I66" s="39">
        <f>I67+I73+I69+I72</f>
        <v>0</v>
      </c>
      <c r="J66" s="40">
        <f>J67+J73+J69+J72</f>
        <v>0</v>
      </c>
    </row>
    <row r="67" spans="1:10" ht="100.5" customHeight="1" x14ac:dyDescent="0.25">
      <c r="A67" s="90" t="s">
        <v>70</v>
      </c>
      <c r="B67" s="565" t="s">
        <v>71</v>
      </c>
      <c r="C67" s="565" t="s">
        <v>53</v>
      </c>
      <c r="D67" s="56" t="s">
        <v>72</v>
      </c>
      <c r="E67" s="176" t="s">
        <v>333</v>
      </c>
      <c r="F67" s="176" t="s">
        <v>457</v>
      </c>
      <c r="G67" s="8">
        <f t="shared" si="4"/>
        <v>3619</v>
      </c>
      <c r="H67" s="32">
        <f>9420-5801</f>
        <v>3619</v>
      </c>
      <c r="I67" s="32">
        <v>0</v>
      </c>
      <c r="J67" s="33">
        <v>0</v>
      </c>
    </row>
    <row r="68" spans="1:10" ht="97.5" customHeight="1" x14ac:dyDescent="0.25">
      <c r="A68" s="351" t="s">
        <v>235</v>
      </c>
      <c r="B68" s="565">
        <v>3105</v>
      </c>
      <c r="C68" s="565">
        <v>1010</v>
      </c>
      <c r="D68" s="56" t="s">
        <v>237</v>
      </c>
      <c r="E68" s="31" t="s">
        <v>331</v>
      </c>
      <c r="F68" s="31" t="s">
        <v>332</v>
      </c>
      <c r="G68" s="8">
        <f t="shared" si="4"/>
        <v>14952</v>
      </c>
      <c r="H68" s="32">
        <v>14952</v>
      </c>
      <c r="I68" s="32"/>
      <c r="J68" s="33"/>
    </row>
    <row r="69" spans="1:10" ht="82.5" customHeight="1" x14ac:dyDescent="0.25">
      <c r="A69" s="90">
        <v>813241</v>
      </c>
      <c r="B69" s="565">
        <v>3241</v>
      </c>
      <c r="C69" s="565">
        <v>1090</v>
      </c>
      <c r="D69" s="56" t="s">
        <v>380</v>
      </c>
      <c r="E69" s="176" t="s">
        <v>661</v>
      </c>
      <c r="F69" s="176" t="s">
        <v>662</v>
      </c>
      <c r="G69" s="8">
        <f t="shared" si="4"/>
        <v>58300</v>
      </c>
      <c r="H69" s="32">
        <v>58300</v>
      </c>
      <c r="I69" s="32"/>
      <c r="J69" s="33"/>
    </row>
    <row r="70" spans="1:10" ht="61.5" customHeight="1" x14ac:dyDescent="0.25">
      <c r="A70" s="566" t="s">
        <v>74</v>
      </c>
      <c r="B70" s="565" t="s">
        <v>75</v>
      </c>
      <c r="C70" s="565" t="s">
        <v>73</v>
      </c>
      <c r="D70" s="56" t="s">
        <v>76</v>
      </c>
      <c r="E70" s="176" t="s">
        <v>612</v>
      </c>
      <c r="F70" s="176" t="s">
        <v>607</v>
      </c>
      <c r="G70" s="8">
        <f t="shared" si="4"/>
        <v>36000</v>
      </c>
      <c r="H70" s="36">
        <f>0+36000</f>
        <v>36000</v>
      </c>
      <c r="I70" s="36"/>
      <c r="J70" s="37"/>
    </row>
    <row r="71" spans="1:10" ht="102" customHeight="1" x14ac:dyDescent="0.25">
      <c r="A71" s="566" t="s">
        <v>74</v>
      </c>
      <c r="B71" s="565" t="s">
        <v>75</v>
      </c>
      <c r="C71" s="565" t="s">
        <v>73</v>
      </c>
      <c r="D71" s="56" t="s">
        <v>76</v>
      </c>
      <c r="E71" s="176" t="s">
        <v>467</v>
      </c>
      <c r="F71" s="176" t="s">
        <v>468</v>
      </c>
      <c r="G71" s="8">
        <f t="shared" si="4"/>
        <v>83862</v>
      </c>
      <c r="H71" s="36">
        <f>83862</f>
        <v>83862</v>
      </c>
      <c r="I71" s="36"/>
      <c r="J71" s="37"/>
    </row>
    <row r="72" spans="1:10" ht="67.5" customHeight="1" x14ac:dyDescent="0.25">
      <c r="A72" s="566" t="s">
        <v>74</v>
      </c>
      <c r="B72" s="565" t="s">
        <v>75</v>
      </c>
      <c r="C72" s="565" t="s">
        <v>73</v>
      </c>
      <c r="D72" s="56" t="s">
        <v>76</v>
      </c>
      <c r="E72" s="176" t="s">
        <v>285</v>
      </c>
      <c r="F72" s="176" t="s">
        <v>634</v>
      </c>
      <c r="G72" s="8">
        <f t="shared" si="4"/>
        <v>31976814</v>
      </c>
      <c r="H72" s="36">
        <f>26169400-500000+17383862-83862-674200-39386-10279000</f>
        <v>31976814</v>
      </c>
      <c r="I72" s="36"/>
      <c r="J72" s="37"/>
    </row>
    <row r="73" spans="1:10" ht="138" customHeight="1" x14ac:dyDescent="0.25">
      <c r="A73" s="90" t="s">
        <v>74</v>
      </c>
      <c r="B73" s="565" t="s">
        <v>75</v>
      </c>
      <c r="C73" s="565" t="s">
        <v>73</v>
      </c>
      <c r="D73" s="31" t="s">
        <v>76</v>
      </c>
      <c r="E73" s="31" t="s">
        <v>270</v>
      </c>
      <c r="F73" s="31" t="s">
        <v>603</v>
      </c>
      <c r="G73" s="32">
        <f t="shared" si="4"/>
        <v>3100000</v>
      </c>
      <c r="H73" s="32">
        <f>3000000+335000-235000</f>
        <v>3100000</v>
      </c>
      <c r="I73" s="32">
        <v>0</v>
      </c>
      <c r="J73" s="33">
        <v>0</v>
      </c>
    </row>
    <row r="74" spans="1:10" ht="68.25" customHeight="1" thickBot="1" x14ac:dyDescent="0.3">
      <c r="A74" s="355" t="s">
        <v>460</v>
      </c>
      <c r="B74" s="15">
        <v>9770</v>
      </c>
      <c r="C74" s="431" t="s">
        <v>267</v>
      </c>
      <c r="D74" s="176" t="s">
        <v>383</v>
      </c>
      <c r="E74" s="176" t="s">
        <v>285</v>
      </c>
      <c r="F74" s="176" t="s">
        <v>634</v>
      </c>
      <c r="G74" s="8">
        <f t="shared" si="4"/>
        <v>21363</v>
      </c>
      <c r="H74" s="253">
        <v>21363</v>
      </c>
      <c r="I74" s="253"/>
      <c r="J74" s="520"/>
    </row>
    <row r="75" spans="1:10" ht="48" customHeight="1" thickBot="1" x14ac:dyDescent="0.3">
      <c r="A75" s="262" t="s">
        <v>77</v>
      </c>
      <c r="B75" s="263" t="s">
        <v>16</v>
      </c>
      <c r="C75" s="263" t="s">
        <v>16</v>
      </c>
      <c r="D75" s="264" t="s">
        <v>455</v>
      </c>
      <c r="E75" s="265" t="s">
        <v>16</v>
      </c>
      <c r="F75" s="265" t="s">
        <v>16</v>
      </c>
      <c r="G75" s="22">
        <f t="shared" si="4"/>
        <v>95000</v>
      </c>
      <c r="H75" s="22">
        <f t="shared" ref="H75:J76" si="5">H76</f>
        <v>95000</v>
      </c>
      <c r="I75" s="22">
        <f t="shared" si="5"/>
        <v>0</v>
      </c>
      <c r="J75" s="266">
        <f t="shared" si="5"/>
        <v>0</v>
      </c>
    </row>
    <row r="76" spans="1:10" ht="47.25" x14ac:dyDescent="0.25">
      <c r="A76" s="41" t="s">
        <v>78</v>
      </c>
      <c r="B76" s="42" t="s">
        <v>16</v>
      </c>
      <c r="C76" s="42" t="s">
        <v>16</v>
      </c>
      <c r="D76" s="132" t="s">
        <v>455</v>
      </c>
      <c r="E76" s="43" t="s">
        <v>16</v>
      </c>
      <c r="F76" s="43" t="s">
        <v>16</v>
      </c>
      <c r="G76" s="44">
        <f>H76+I76</f>
        <v>95000</v>
      </c>
      <c r="H76" s="45">
        <f t="shared" si="5"/>
        <v>95000</v>
      </c>
      <c r="I76" s="45">
        <f t="shared" si="5"/>
        <v>0</v>
      </c>
      <c r="J76" s="46">
        <f t="shared" si="5"/>
        <v>0</v>
      </c>
    </row>
    <row r="77" spans="1:10" ht="69" customHeight="1" thickBot="1" x14ac:dyDescent="0.3">
      <c r="A77" s="237" t="s">
        <v>79</v>
      </c>
      <c r="B77" s="568" t="s">
        <v>80</v>
      </c>
      <c r="C77" s="568" t="s">
        <v>66</v>
      </c>
      <c r="D77" s="242" t="s">
        <v>81</v>
      </c>
      <c r="E77" s="238" t="s">
        <v>273</v>
      </c>
      <c r="F77" s="238" t="s">
        <v>580</v>
      </c>
      <c r="G77" s="243">
        <f>H77</f>
        <v>95000</v>
      </c>
      <c r="H77" s="239">
        <f>34000+61000</f>
        <v>95000</v>
      </c>
      <c r="I77" s="239">
        <v>0</v>
      </c>
      <c r="J77" s="244">
        <v>0</v>
      </c>
    </row>
    <row r="78" spans="1:10" ht="66" customHeight="1" thickBot="1" x14ac:dyDescent="0.3">
      <c r="A78" s="262" t="s">
        <v>82</v>
      </c>
      <c r="B78" s="263" t="s">
        <v>16</v>
      </c>
      <c r="C78" s="263" t="s">
        <v>16</v>
      </c>
      <c r="D78" s="264" t="s">
        <v>469</v>
      </c>
      <c r="E78" s="265" t="s">
        <v>16</v>
      </c>
      <c r="F78" s="265" t="s">
        <v>16</v>
      </c>
      <c r="G78" s="22">
        <f t="shared" si="4"/>
        <v>40770190</v>
      </c>
      <c r="H78" s="22">
        <f>H79</f>
        <v>40299443</v>
      </c>
      <c r="I78" s="22">
        <f>I79</f>
        <v>470747</v>
      </c>
      <c r="J78" s="266">
        <f>J79</f>
        <v>470747</v>
      </c>
    </row>
    <row r="79" spans="1:10" ht="71.25" customHeight="1" x14ac:dyDescent="0.25">
      <c r="A79" s="25" t="s">
        <v>83</v>
      </c>
      <c r="B79" s="26" t="s">
        <v>16</v>
      </c>
      <c r="C79" s="26" t="s">
        <v>16</v>
      </c>
      <c r="D79" s="55" t="s">
        <v>461</v>
      </c>
      <c r="E79" s="27" t="s">
        <v>16</v>
      </c>
      <c r="F79" s="27" t="s">
        <v>16</v>
      </c>
      <c r="G79" s="38">
        <f>H79+I79</f>
        <v>40770190</v>
      </c>
      <c r="H79" s="39">
        <f>H80+H82+H83+H84+H85+H86+H87+H88+H90+H91+H89+H81</f>
        <v>40299443</v>
      </c>
      <c r="I79" s="39">
        <f>I80+I82+I83+I84+I85+I86+I87+I88+I90+I91+I89</f>
        <v>470747</v>
      </c>
      <c r="J79" s="40">
        <f>J80+J82+J83+J84+J85+J86+J87+J88+J90+J91+J89</f>
        <v>470747</v>
      </c>
    </row>
    <row r="80" spans="1:10" ht="63" x14ac:dyDescent="0.25">
      <c r="A80" s="90" t="s">
        <v>84</v>
      </c>
      <c r="B80" s="565" t="s">
        <v>85</v>
      </c>
      <c r="C80" s="565" t="s">
        <v>54</v>
      </c>
      <c r="D80" s="56" t="s">
        <v>86</v>
      </c>
      <c r="E80" s="176" t="s">
        <v>330</v>
      </c>
      <c r="F80" s="176" t="s">
        <v>370</v>
      </c>
      <c r="G80" s="8">
        <f t="shared" si="4"/>
        <v>27060</v>
      </c>
      <c r="H80" s="32">
        <v>27060</v>
      </c>
      <c r="I80" s="32">
        <v>0</v>
      </c>
      <c r="J80" s="33">
        <v>0</v>
      </c>
    </row>
    <row r="81" spans="1:10" ht="63" x14ac:dyDescent="0.25">
      <c r="A81" s="90" t="s">
        <v>87</v>
      </c>
      <c r="B81" s="565" t="s">
        <v>88</v>
      </c>
      <c r="C81" s="565" t="s">
        <v>66</v>
      </c>
      <c r="D81" s="56" t="s">
        <v>379</v>
      </c>
      <c r="E81" s="31" t="s">
        <v>297</v>
      </c>
      <c r="F81" s="31" t="s">
        <v>279</v>
      </c>
      <c r="G81" s="8">
        <f t="shared" si="4"/>
        <v>41035</v>
      </c>
      <c r="H81" s="32">
        <v>41035</v>
      </c>
      <c r="I81" s="32"/>
      <c r="J81" s="33"/>
    </row>
    <row r="82" spans="1:10" ht="63" x14ac:dyDescent="0.25">
      <c r="A82" s="90" t="s">
        <v>87</v>
      </c>
      <c r="B82" s="565" t="s">
        <v>88</v>
      </c>
      <c r="C82" s="565" t="s">
        <v>66</v>
      </c>
      <c r="D82" s="56" t="s">
        <v>89</v>
      </c>
      <c r="E82" s="176" t="s">
        <v>661</v>
      </c>
      <c r="F82" s="176" t="s">
        <v>662</v>
      </c>
      <c r="G82" s="8">
        <f t="shared" si="4"/>
        <v>299728</v>
      </c>
      <c r="H82" s="32">
        <v>299728</v>
      </c>
      <c r="I82" s="32">
        <v>0</v>
      </c>
      <c r="J82" s="33">
        <v>0</v>
      </c>
    </row>
    <row r="83" spans="1:10" ht="61.15" customHeight="1" x14ac:dyDescent="0.25">
      <c r="A83" s="90" t="s">
        <v>90</v>
      </c>
      <c r="B83" s="565" t="s">
        <v>91</v>
      </c>
      <c r="C83" s="565" t="s">
        <v>92</v>
      </c>
      <c r="D83" s="56" t="s">
        <v>93</v>
      </c>
      <c r="E83" s="176" t="s">
        <v>330</v>
      </c>
      <c r="F83" s="176" t="s">
        <v>370</v>
      </c>
      <c r="G83" s="8">
        <f t="shared" si="4"/>
        <v>5760</v>
      </c>
      <c r="H83" s="32">
        <v>5760</v>
      </c>
      <c r="I83" s="32">
        <v>0</v>
      </c>
      <c r="J83" s="33">
        <v>0</v>
      </c>
    </row>
    <row r="84" spans="1:10" ht="66" customHeight="1" x14ac:dyDescent="0.25">
      <c r="A84" s="90" t="s">
        <v>94</v>
      </c>
      <c r="B84" s="565" t="s">
        <v>95</v>
      </c>
      <c r="C84" s="565" t="s">
        <v>92</v>
      </c>
      <c r="D84" s="56" t="s">
        <v>96</v>
      </c>
      <c r="E84" s="176" t="s">
        <v>330</v>
      </c>
      <c r="F84" s="176" t="s">
        <v>370</v>
      </c>
      <c r="G84" s="8">
        <f t="shared" si="4"/>
        <v>1920</v>
      </c>
      <c r="H84" s="32">
        <v>1920</v>
      </c>
      <c r="I84" s="32">
        <v>0</v>
      </c>
      <c r="J84" s="33">
        <v>0</v>
      </c>
    </row>
    <row r="85" spans="1:10" ht="66" customHeight="1" x14ac:dyDescent="0.25">
      <c r="A85" s="90" t="s">
        <v>97</v>
      </c>
      <c r="B85" s="565" t="s">
        <v>98</v>
      </c>
      <c r="C85" s="565" t="s">
        <v>99</v>
      </c>
      <c r="D85" s="56" t="s">
        <v>100</v>
      </c>
      <c r="E85" s="176" t="s">
        <v>330</v>
      </c>
      <c r="F85" s="176" t="s">
        <v>370</v>
      </c>
      <c r="G85" s="8">
        <f t="shared" si="4"/>
        <v>25600</v>
      </c>
      <c r="H85" s="32">
        <v>25600</v>
      </c>
      <c r="I85" s="32">
        <v>0</v>
      </c>
      <c r="J85" s="33">
        <v>0</v>
      </c>
    </row>
    <row r="86" spans="1:10" ht="64.900000000000006" customHeight="1" x14ac:dyDescent="0.25">
      <c r="A86" s="90" t="s">
        <v>102</v>
      </c>
      <c r="B86" s="565" t="s">
        <v>103</v>
      </c>
      <c r="C86" s="565" t="s">
        <v>101</v>
      </c>
      <c r="D86" s="56" t="s">
        <v>104</v>
      </c>
      <c r="E86" s="176" t="s">
        <v>330</v>
      </c>
      <c r="F86" s="176" t="s">
        <v>370</v>
      </c>
      <c r="G86" s="8">
        <f t="shared" si="4"/>
        <v>316106</v>
      </c>
      <c r="H86" s="32">
        <v>316106</v>
      </c>
      <c r="I86" s="32">
        <v>0</v>
      </c>
      <c r="J86" s="33">
        <v>0</v>
      </c>
    </row>
    <row r="87" spans="1:10" ht="62.25" customHeight="1" x14ac:dyDescent="0.25">
      <c r="A87" s="90" t="s">
        <v>105</v>
      </c>
      <c r="B87" s="565" t="s">
        <v>106</v>
      </c>
      <c r="C87" s="565" t="s">
        <v>107</v>
      </c>
      <c r="D87" s="56" t="s">
        <v>108</v>
      </c>
      <c r="E87" s="31" t="s">
        <v>276</v>
      </c>
      <c r="F87" s="31" t="s">
        <v>600</v>
      </c>
      <c r="G87" s="8">
        <f t="shared" si="4"/>
        <v>90000</v>
      </c>
      <c r="H87" s="32">
        <v>90000</v>
      </c>
      <c r="I87" s="32">
        <v>0</v>
      </c>
      <c r="J87" s="33">
        <v>0</v>
      </c>
    </row>
    <row r="88" spans="1:10" ht="64.150000000000006" customHeight="1" x14ac:dyDescent="0.25">
      <c r="A88" s="90" t="s">
        <v>109</v>
      </c>
      <c r="B88" s="565" t="s">
        <v>110</v>
      </c>
      <c r="C88" s="565" t="s">
        <v>107</v>
      </c>
      <c r="D88" s="56" t="s">
        <v>377</v>
      </c>
      <c r="E88" s="31" t="s">
        <v>276</v>
      </c>
      <c r="F88" s="31" t="s">
        <v>601</v>
      </c>
      <c r="G88" s="8">
        <f t="shared" si="4"/>
        <v>3196777</v>
      </c>
      <c r="H88" s="32">
        <f>3426774+1231694-49680-1412011</f>
        <v>3196777</v>
      </c>
      <c r="I88" s="32">
        <v>0</v>
      </c>
      <c r="J88" s="33">
        <v>0</v>
      </c>
    </row>
    <row r="89" spans="1:10" s="1" customFormat="1" ht="71.45" customHeight="1" x14ac:dyDescent="0.25">
      <c r="A89" s="67">
        <v>1015041</v>
      </c>
      <c r="B89" s="68">
        <v>5041</v>
      </c>
      <c r="C89" s="68" t="s">
        <v>107</v>
      </c>
      <c r="D89" s="133" t="s">
        <v>378</v>
      </c>
      <c r="E89" s="31" t="s">
        <v>276</v>
      </c>
      <c r="F89" s="31" t="s">
        <v>601</v>
      </c>
      <c r="G89" s="8">
        <f t="shared" si="4"/>
        <v>34958996</v>
      </c>
      <c r="H89" s="32">
        <f>33652119+1306877-470747</f>
        <v>34488249</v>
      </c>
      <c r="I89" s="32">
        <f>J89</f>
        <v>470747</v>
      </c>
      <c r="J89" s="33">
        <f>0+470747</f>
        <v>470747</v>
      </c>
    </row>
    <row r="90" spans="1:10" ht="77.25" customHeight="1" x14ac:dyDescent="0.25">
      <c r="A90" s="90" t="s">
        <v>111</v>
      </c>
      <c r="B90" s="565" t="s">
        <v>112</v>
      </c>
      <c r="C90" s="565" t="s">
        <v>107</v>
      </c>
      <c r="D90" s="56" t="s">
        <v>113</v>
      </c>
      <c r="E90" s="31" t="s">
        <v>276</v>
      </c>
      <c r="F90" s="31" t="s">
        <v>600</v>
      </c>
      <c r="G90" s="8">
        <f t="shared" si="4"/>
        <v>963208</v>
      </c>
      <c r="H90" s="32">
        <f>1808736-91996-79296-12700-278750-382786</f>
        <v>963208</v>
      </c>
      <c r="I90" s="32">
        <v>0</v>
      </c>
      <c r="J90" s="33">
        <v>0</v>
      </c>
    </row>
    <row r="91" spans="1:10" ht="69.599999999999994" customHeight="1" thickBot="1" x14ac:dyDescent="0.3">
      <c r="A91" s="90" t="s">
        <v>114</v>
      </c>
      <c r="B91" s="565" t="s">
        <v>115</v>
      </c>
      <c r="C91" s="565" t="s">
        <v>107</v>
      </c>
      <c r="D91" s="56" t="s">
        <v>116</v>
      </c>
      <c r="E91" s="31" t="s">
        <v>276</v>
      </c>
      <c r="F91" s="31" t="s">
        <v>600</v>
      </c>
      <c r="G91" s="8">
        <f>H91+I91</f>
        <v>844000</v>
      </c>
      <c r="H91" s="32">
        <f>558000-30000+316000</f>
        <v>844000</v>
      </c>
      <c r="I91" s="32">
        <v>0</v>
      </c>
      <c r="J91" s="33">
        <v>0</v>
      </c>
    </row>
    <row r="92" spans="1:10" ht="68.25" customHeight="1" thickBot="1" x14ac:dyDescent="0.3">
      <c r="A92" s="19" t="s">
        <v>117</v>
      </c>
      <c r="B92" s="20" t="s">
        <v>16</v>
      </c>
      <c r="C92" s="20" t="s">
        <v>16</v>
      </c>
      <c r="D92" s="130" t="s">
        <v>624</v>
      </c>
      <c r="E92" s="21" t="s">
        <v>16</v>
      </c>
      <c r="F92" s="21" t="s">
        <v>16</v>
      </c>
      <c r="G92" s="22">
        <f t="shared" si="4"/>
        <v>71903279</v>
      </c>
      <c r="H92" s="23">
        <f>H93</f>
        <v>69212753</v>
      </c>
      <c r="I92" s="23">
        <f>I93</f>
        <v>2690526</v>
      </c>
      <c r="J92" s="24">
        <f>J93</f>
        <v>2296426</v>
      </c>
    </row>
    <row r="93" spans="1:10" ht="69.75" customHeight="1" x14ac:dyDescent="0.25">
      <c r="A93" s="50">
        <v>1210000</v>
      </c>
      <c r="B93" s="26" t="s">
        <v>16</v>
      </c>
      <c r="C93" s="26" t="s">
        <v>16</v>
      </c>
      <c r="D93" s="55" t="s">
        <v>624</v>
      </c>
      <c r="E93" s="27" t="s">
        <v>16</v>
      </c>
      <c r="F93" s="27" t="s">
        <v>16</v>
      </c>
      <c r="G93" s="38">
        <f>H93+I93</f>
        <v>71903279</v>
      </c>
      <c r="H93" s="39">
        <f>H94+H95+H96+H98+H100+H101++H102+H105+H97+H103+H104+H99</f>
        <v>69212753</v>
      </c>
      <c r="I93" s="39">
        <f>I94+I96+I98+I100+I101++I102+I105+I97</f>
        <v>2690526</v>
      </c>
      <c r="J93" s="40">
        <f t="shared" ref="J93" si="6">J94+J96+J98+J100+J101++J102+J105+J97</f>
        <v>2296426</v>
      </c>
    </row>
    <row r="94" spans="1:10" ht="62.25" customHeight="1" x14ac:dyDescent="0.25">
      <c r="A94" s="90" t="s">
        <v>120</v>
      </c>
      <c r="B94" s="565" t="s">
        <v>121</v>
      </c>
      <c r="C94" s="565" t="s">
        <v>122</v>
      </c>
      <c r="D94" s="56" t="s">
        <v>123</v>
      </c>
      <c r="E94" s="31" t="s">
        <v>673</v>
      </c>
      <c r="F94" s="31" t="s">
        <v>674</v>
      </c>
      <c r="G94" s="8">
        <f>H94+I94</f>
        <v>9760</v>
      </c>
      <c r="H94" s="32">
        <v>9760</v>
      </c>
      <c r="I94" s="32">
        <v>0</v>
      </c>
      <c r="J94" s="33">
        <v>0</v>
      </c>
    </row>
    <row r="95" spans="1:10" ht="61.9" customHeight="1" x14ac:dyDescent="0.25">
      <c r="A95" s="90">
        <v>1216012</v>
      </c>
      <c r="B95" s="565">
        <v>6012</v>
      </c>
      <c r="C95" s="249" t="s">
        <v>28</v>
      </c>
      <c r="D95" s="56" t="s">
        <v>280</v>
      </c>
      <c r="E95" s="31" t="s">
        <v>673</v>
      </c>
      <c r="F95" s="31" t="s">
        <v>674</v>
      </c>
      <c r="G95" s="8">
        <f>H95+I95</f>
        <v>9431609</v>
      </c>
      <c r="H95" s="32">
        <f>1677959+4873386+1761624+1118640</f>
        <v>9431609</v>
      </c>
      <c r="I95" s="32"/>
      <c r="J95" s="33"/>
    </row>
    <row r="96" spans="1:10" ht="69" customHeight="1" x14ac:dyDescent="0.25">
      <c r="A96" s="90" t="s">
        <v>124</v>
      </c>
      <c r="B96" s="565" t="s">
        <v>125</v>
      </c>
      <c r="C96" s="565" t="s">
        <v>28</v>
      </c>
      <c r="D96" s="56" t="s">
        <v>126</v>
      </c>
      <c r="E96" s="31" t="s">
        <v>673</v>
      </c>
      <c r="F96" s="31" t="s">
        <v>674</v>
      </c>
      <c r="G96" s="8">
        <f t="shared" si="4"/>
        <v>576620</v>
      </c>
      <c r="H96" s="32">
        <f>1597918-29918-298500-692880</f>
        <v>576620</v>
      </c>
      <c r="I96" s="32">
        <v>0</v>
      </c>
      <c r="J96" s="33">
        <v>0</v>
      </c>
    </row>
    <row r="97" spans="1:10" ht="69" customHeight="1" x14ac:dyDescent="0.25">
      <c r="A97" s="90">
        <v>1216015</v>
      </c>
      <c r="B97" s="565">
        <v>6015</v>
      </c>
      <c r="C97" s="567" t="s">
        <v>28</v>
      </c>
      <c r="D97" s="176" t="s">
        <v>328</v>
      </c>
      <c r="E97" s="31" t="s">
        <v>671</v>
      </c>
      <c r="F97" s="31" t="s">
        <v>672</v>
      </c>
      <c r="G97" s="8">
        <f t="shared" si="4"/>
        <v>1835036</v>
      </c>
      <c r="H97" s="32"/>
      <c r="I97" s="32">
        <v>1835036</v>
      </c>
      <c r="J97" s="33">
        <f>I97</f>
        <v>1835036</v>
      </c>
    </row>
    <row r="98" spans="1:10" ht="74.25" customHeight="1" x14ac:dyDescent="0.25">
      <c r="A98" s="90" t="s">
        <v>127</v>
      </c>
      <c r="B98" s="565" t="s">
        <v>27</v>
      </c>
      <c r="C98" s="565" t="s">
        <v>28</v>
      </c>
      <c r="D98" s="56" t="s">
        <v>29</v>
      </c>
      <c r="E98" s="31" t="s">
        <v>673</v>
      </c>
      <c r="F98" s="31" t="s">
        <v>674</v>
      </c>
      <c r="G98" s="8">
        <f t="shared" si="4"/>
        <v>45884226</v>
      </c>
      <c r="H98" s="32">
        <f>45677519-1037165-100770+831282+51970</f>
        <v>45422836</v>
      </c>
      <c r="I98" s="32">
        <v>461390</v>
      </c>
      <c r="J98" s="33">
        <f>I98</f>
        <v>461390</v>
      </c>
    </row>
    <row r="99" spans="1:10" ht="74.25" customHeight="1" x14ac:dyDescent="0.25">
      <c r="A99" s="90" t="s">
        <v>127</v>
      </c>
      <c r="B99" s="565" t="s">
        <v>27</v>
      </c>
      <c r="C99" s="565" t="s">
        <v>28</v>
      </c>
      <c r="D99" s="56" t="s">
        <v>29</v>
      </c>
      <c r="E99" s="31" t="s">
        <v>675</v>
      </c>
      <c r="F99" s="31" t="s">
        <v>676</v>
      </c>
      <c r="G99" s="8">
        <f t="shared" si="4"/>
        <v>555000</v>
      </c>
      <c r="H99" s="29">
        <f>0+555000</f>
        <v>555000</v>
      </c>
      <c r="I99" s="32"/>
      <c r="J99" s="33"/>
    </row>
    <row r="100" spans="1:10" ht="78.75" customHeight="1" x14ac:dyDescent="0.25">
      <c r="A100" s="90" t="s">
        <v>127</v>
      </c>
      <c r="B100" s="565" t="s">
        <v>27</v>
      </c>
      <c r="C100" s="565" t="s">
        <v>28</v>
      </c>
      <c r="D100" s="56" t="s">
        <v>29</v>
      </c>
      <c r="E100" s="31" t="s">
        <v>334</v>
      </c>
      <c r="F100" s="31" t="s">
        <v>638</v>
      </c>
      <c r="G100" s="8">
        <f t="shared" si="4"/>
        <v>175102</v>
      </c>
      <c r="H100" s="29">
        <v>175102</v>
      </c>
      <c r="I100" s="32">
        <v>0</v>
      </c>
      <c r="J100" s="33">
        <v>0</v>
      </c>
    </row>
    <row r="101" spans="1:10" ht="179.25" customHeight="1" x14ac:dyDescent="0.25">
      <c r="A101" s="47">
        <v>1216071</v>
      </c>
      <c r="B101" s="48">
        <v>6071</v>
      </c>
      <c r="C101" s="465" t="s">
        <v>319</v>
      </c>
      <c r="D101" s="58" t="s">
        <v>320</v>
      </c>
      <c r="E101" s="31" t="s">
        <v>673</v>
      </c>
      <c r="F101" s="31" t="s">
        <v>674</v>
      </c>
      <c r="G101" s="8">
        <f t="shared" si="4"/>
        <v>9531353</v>
      </c>
      <c r="H101" s="29">
        <f>4380000+4904334+247019</f>
        <v>9531353</v>
      </c>
      <c r="I101" s="32">
        <v>0</v>
      </c>
      <c r="J101" s="33">
        <v>0</v>
      </c>
    </row>
    <row r="102" spans="1:10" ht="82.5" customHeight="1" x14ac:dyDescent="0.25">
      <c r="A102" s="67" t="s">
        <v>128</v>
      </c>
      <c r="B102" s="48" t="s">
        <v>129</v>
      </c>
      <c r="C102" s="48" t="s">
        <v>130</v>
      </c>
      <c r="D102" s="58" t="s">
        <v>131</v>
      </c>
      <c r="E102" s="31" t="s">
        <v>673</v>
      </c>
      <c r="F102" s="31" t="s">
        <v>674</v>
      </c>
      <c r="G102" s="28">
        <f t="shared" si="4"/>
        <v>3080153</v>
      </c>
      <c r="H102" s="29">
        <f>2968087+112066</f>
        <v>3080153</v>
      </c>
      <c r="I102" s="32">
        <v>0</v>
      </c>
      <c r="J102" s="33">
        <v>0</v>
      </c>
    </row>
    <row r="103" spans="1:10" ht="82.5" customHeight="1" x14ac:dyDescent="0.25">
      <c r="A103" s="67">
        <v>1218110</v>
      </c>
      <c r="B103" s="48">
        <v>8110</v>
      </c>
      <c r="C103" s="465" t="s">
        <v>277</v>
      </c>
      <c r="D103" s="58" t="s">
        <v>278</v>
      </c>
      <c r="E103" s="31" t="s">
        <v>668</v>
      </c>
      <c r="F103" s="31" t="s">
        <v>679</v>
      </c>
      <c r="G103" s="28">
        <f t="shared" si="4"/>
        <v>364320</v>
      </c>
      <c r="H103" s="32">
        <f>207555+58050+98715</f>
        <v>364320</v>
      </c>
      <c r="I103" s="36"/>
      <c r="J103" s="37"/>
    </row>
    <row r="104" spans="1:10" ht="82.5" customHeight="1" x14ac:dyDescent="0.25">
      <c r="A104" s="67">
        <v>1218311</v>
      </c>
      <c r="B104" s="268">
        <v>8311</v>
      </c>
      <c r="C104" s="428" t="s">
        <v>322</v>
      </c>
      <c r="D104" s="176" t="s">
        <v>323</v>
      </c>
      <c r="E104" s="31" t="s">
        <v>673</v>
      </c>
      <c r="F104" s="31" t="s">
        <v>674</v>
      </c>
      <c r="G104" s="28">
        <f t="shared" si="4"/>
        <v>66000</v>
      </c>
      <c r="H104" s="253">
        <f>0+66000</f>
        <v>66000</v>
      </c>
      <c r="I104" s="36"/>
      <c r="J104" s="37"/>
    </row>
    <row r="105" spans="1:10" ht="66.599999999999994" customHeight="1" thickBot="1" x14ac:dyDescent="0.3">
      <c r="A105" s="566" t="s">
        <v>132</v>
      </c>
      <c r="B105" s="565" t="s">
        <v>133</v>
      </c>
      <c r="C105" s="565" t="s">
        <v>134</v>
      </c>
      <c r="D105" s="56" t="s">
        <v>135</v>
      </c>
      <c r="E105" s="31" t="s">
        <v>354</v>
      </c>
      <c r="F105" s="535" t="s">
        <v>637</v>
      </c>
      <c r="G105" s="35">
        <f t="shared" si="4"/>
        <v>394100</v>
      </c>
      <c r="H105" s="36">
        <v>0</v>
      </c>
      <c r="I105" s="36">
        <f>459300-65200</f>
        <v>394100</v>
      </c>
      <c r="J105" s="37">
        <v>0</v>
      </c>
    </row>
    <row r="106" spans="1:10" ht="70.5" customHeight="1" thickBot="1" x14ac:dyDescent="0.3">
      <c r="A106" s="19" t="s">
        <v>136</v>
      </c>
      <c r="B106" s="20" t="s">
        <v>16</v>
      </c>
      <c r="C106" s="20" t="s">
        <v>16</v>
      </c>
      <c r="D106" s="130" t="s">
        <v>406</v>
      </c>
      <c r="E106" s="21" t="s">
        <v>16</v>
      </c>
      <c r="F106" s="21" t="s">
        <v>16</v>
      </c>
      <c r="G106" s="22">
        <f>H106+I106</f>
        <v>64405680</v>
      </c>
      <c r="H106" s="23">
        <f>H107</f>
        <v>0</v>
      </c>
      <c r="I106" s="23">
        <f>I107</f>
        <v>64405680</v>
      </c>
      <c r="J106" s="24">
        <f>J107</f>
        <v>64405680</v>
      </c>
    </row>
    <row r="107" spans="1:10" ht="71.25" customHeight="1" x14ac:dyDescent="0.25">
      <c r="A107" s="50">
        <v>1510000</v>
      </c>
      <c r="B107" s="26" t="s">
        <v>16</v>
      </c>
      <c r="C107" s="26" t="s">
        <v>16</v>
      </c>
      <c r="D107" s="55" t="s">
        <v>406</v>
      </c>
      <c r="E107" s="27" t="s">
        <v>16</v>
      </c>
      <c r="F107" s="27" t="s">
        <v>16</v>
      </c>
      <c r="G107" s="38">
        <f>H107+I107</f>
        <v>64405680</v>
      </c>
      <c r="H107" s="39">
        <f>H116+H112</f>
        <v>0</v>
      </c>
      <c r="I107" s="39">
        <f>I116+I112+I109+I113+I111+I114+I115+I108+I110</f>
        <v>64405680</v>
      </c>
      <c r="J107" s="40">
        <f>J116+J112+J109+J113+J111+J114+J115+J108+J110</f>
        <v>64405680</v>
      </c>
    </row>
    <row r="108" spans="1:10" ht="93" customHeight="1" x14ac:dyDescent="0.25">
      <c r="A108" s="566">
        <v>1510150</v>
      </c>
      <c r="B108" s="288" t="s">
        <v>220</v>
      </c>
      <c r="C108" s="567" t="s">
        <v>18</v>
      </c>
      <c r="D108" s="176" t="s">
        <v>221</v>
      </c>
      <c r="E108" s="49" t="s">
        <v>677</v>
      </c>
      <c r="F108" s="31" t="s">
        <v>678</v>
      </c>
      <c r="G108" s="8">
        <f t="shared" ref="G108:G115" si="7">H108+I108</f>
        <v>599219</v>
      </c>
      <c r="H108" s="39"/>
      <c r="I108" s="32">
        <f>0+250000+349219</f>
        <v>599219</v>
      </c>
      <c r="J108" s="33">
        <f t="shared" ref="J108:J116" si="8">I108</f>
        <v>599219</v>
      </c>
    </row>
    <row r="109" spans="1:10" ht="71.25" customHeight="1" x14ac:dyDescent="0.25">
      <c r="A109" s="677">
        <v>1511021</v>
      </c>
      <c r="B109" s="678">
        <v>1021</v>
      </c>
      <c r="C109" s="428" t="s">
        <v>50</v>
      </c>
      <c r="D109" s="176" t="s">
        <v>407</v>
      </c>
      <c r="E109" s="49" t="s">
        <v>677</v>
      </c>
      <c r="F109" s="31" t="s">
        <v>678</v>
      </c>
      <c r="G109" s="8">
        <f t="shared" si="7"/>
        <v>27623535</v>
      </c>
      <c r="H109" s="466"/>
      <c r="I109" s="32">
        <f>2503555+15306015+248082+1486740+583500+6000000-174359-248082-4700000+6618084+515294-96829-418465</f>
        <v>27623535</v>
      </c>
      <c r="J109" s="33">
        <f>I109</f>
        <v>27623535</v>
      </c>
    </row>
    <row r="110" spans="1:10" ht="63.75" customHeight="1" x14ac:dyDescent="0.25">
      <c r="A110" s="267">
        <v>1512010</v>
      </c>
      <c r="B110" s="268">
        <v>2010</v>
      </c>
      <c r="C110" s="428" t="s">
        <v>21</v>
      </c>
      <c r="D110" s="176" t="s">
        <v>22</v>
      </c>
      <c r="E110" s="49" t="s">
        <v>677</v>
      </c>
      <c r="F110" s="31" t="s">
        <v>678</v>
      </c>
      <c r="G110" s="8">
        <f t="shared" si="7"/>
        <v>3000000</v>
      </c>
      <c r="H110" s="466"/>
      <c r="I110" s="32">
        <f>0+3000000</f>
        <v>3000000</v>
      </c>
      <c r="J110" s="33">
        <f t="shared" si="8"/>
        <v>3000000</v>
      </c>
    </row>
    <row r="111" spans="1:10" ht="65.25" customHeight="1" x14ac:dyDescent="0.25">
      <c r="A111" s="677" t="s">
        <v>427</v>
      </c>
      <c r="B111" s="678" t="s">
        <v>428</v>
      </c>
      <c r="C111" s="428" t="s">
        <v>275</v>
      </c>
      <c r="D111" s="176" t="s">
        <v>680</v>
      </c>
      <c r="E111" s="31" t="s">
        <v>675</v>
      </c>
      <c r="F111" s="31" t="s">
        <v>676</v>
      </c>
      <c r="G111" s="8">
        <f t="shared" si="7"/>
        <v>173444</v>
      </c>
      <c r="H111" s="466"/>
      <c r="I111" s="32">
        <f>173444</f>
        <v>173444</v>
      </c>
      <c r="J111" s="30">
        <f t="shared" si="8"/>
        <v>173444</v>
      </c>
    </row>
    <row r="112" spans="1:10" s="1" customFormat="1" ht="65.25" customHeight="1" x14ac:dyDescent="0.25">
      <c r="A112" s="677" t="s">
        <v>293</v>
      </c>
      <c r="B112" s="678" t="s">
        <v>294</v>
      </c>
      <c r="C112" s="679" t="s">
        <v>28</v>
      </c>
      <c r="D112" s="680" t="s">
        <v>280</v>
      </c>
      <c r="E112" s="31" t="s">
        <v>673</v>
      </c>
      <c r="F112" s="31" t="s">
        <v>674</v>
      </c>
      <c r="G112" s="8">
        <f t="shared" si="7"/>
        <v>21076468</v>
      </c>
      <c r="H112" s="36">
        <v>0</v>
      </c>
      <c r="I112" s="36">
        <f>3098317-1031901+7997976-60000+45000+381043+5865565+2580149-712+2201031</f>
        <v>21076468</v>
      </c>
      <c r="J112" s="33">
        <f t="shared" si="8"/>
        <v>21076468</v>
      </c>
    </row>
    <row r="113" spans="1:10" s="1" customFormat="1" ht="66.75" customHeight="1" x14ac:dyDescent="0.25">
      <c r="A113" s="676" t="s">
        <v>425</v>
      </c>
      <c r="B113" s="681" t="s">
        <v>125</v>
      </c>
      <c r="C113" s="428" t="s">
        <v>28</v>
      </c>
      <c r="D113" s="261" t="s">
        <v>126</v>
      </c>
      <c r="E113" s="31" t="s">
        <v>673</v>
      </c>
      <c r="F113" s="31" t="s">
        <v>674</v>
      </c>
      <c r="G113" s="8">
        <f t="shared" si="7"/>
        <v>1239640</v>
      </c>
      <c r="H113" s="36"/>
      <c r="I113" s="36">
        <f>60000+198440-60000+1041200</f>
        <v>1239640</v>
      </c>
      <c r="J113" s="37">
        <f t="shared" si="8"/>
        <v>1239640</v>
      </c>
    </row>
    <row r="114" spans="1:10" s="1" customFormat="1" ht="63.75" customHeight="1" x14ac:dyDescent="0.25">
      <c r="A114" s="682" t="s">
        <v>426</v>
      </c>
      <c r="B114" s="679" t="s">
        <v>27</v>
      </c>
      <c r="C114" s="428" t="s">
        <v>28</v>
      </c>
      <c r="D114" s="261" t="s">
        <v>29</v>
      </c>
      <c r="E114" s="31" t="s">
        <v>673</v>
      </c>
      <c r="F114" s="31" t="s">
        <v>674</v>
      </c>
      <c r="G114" s="8">
        <f t="shared" si="7"/>
        <v>2915370</v>
      </c>
      <c r="H114" s="36"/>
      <c r="I114" s="36">
        <f>45000+55031+49800+100539+1000000+500000+15000+1150000</f>
        <v>2915370</v>
      </c>
      <c r="J114" s="37">
        <f t="shared" si="8"/>
        <v>2915370</v>
      </c>
    </row>
    <row r="115" spans="1:10" s="1" customFormat="1" ht="68.25" customHeight="1" x14ac:dyDescent="0.25">
      <c r="A115" s="682" t="s">
        <v>426</v>
      </c>
      <c r="B115" s="679" t="s">
        <v>27</v>
      </c>
      <c r="C115" s="428" t="s">
        <v>28</v>
      </c>
      <c r="D115" s="261" t="s">
        <v>29</v>
      </c>
      <c r="E115" s="49" t="s">
        <v>677</v>
      </c>
      <c r="F115" s="31" t="s">
        <v>678</v>
      </c>
      <c r="G115" s="8">
        <f t="shared" si="7"/>
        <v>251111</v>
      </c>
      <c r="H115" s="36"/>
      <c r="I115" s="36">
        <f>251111</f>
        <v>251111</v>
      </c>
      <c r="J115" s="37">
        <f t="shared" si="8"/>
        <v>251111</v>
      </c>
    </row>
    <row r="116" spans="1:10" ht="64.5" customHeight="1" thickBot="1" x14ac:dyDescent="0.3">
      <c r="A116" s="683">
        <v>1517461</v>
      </c>
      <c r="B116" s="9">
        <v>7461</v>
      </c>
      <c r="C116" s="9" t="s">
        <v>130</v>
      </c>
      <c r="D116" s="131" t="s">
        <v>131</v>
      </c>
      <c r="E116" s="31" t="s">
        <v>673</v>
      </c>
      <c r="F116" s="31" t="s">
        <v>674</v>
      </c>
      <c r="G116" s="35">
        <f>I116</f>
        <v>7526893</v>
      </c>
      <c r="H116" s="36">
        <v>0</v>
      </c>
      <c r="I116" s="36">
        <f>2799508+2192418+490356+1007036+997461+40114</f>
        <v>7526893</v>
      </c>
      <c r="J116" s="37">
        <f t="shared" si="8"/>
        <v>7526893</v>
      </c>
    </row>
    <row r="117" spans="1:10" ht="67.150000000000006" customHeight="1" thickBot="1" x14ac:dyDescent="0.3">
      <c r="A117" s="262">
        <v>1600000</v>
      </c>
      <c r="B117" s="20" t="s">
        <v>16</v>
      </c>
      <c r="C117" s="20" t="s">
        <v>16</v>
      </c>
      <c r="D117" s="130" t="s">
        <v>652</v>
      </c>
      <c r="E117" s="21" t="s">
        <v>16</v>
      </c>
      <c r="F117" s="21" t="s">
        <v>16</v>
      </c>
      <c r="G117" s="22">
        <f>H117+I117</f>
        <v>9670744</v>
      </c>
      <c r="H117" s="23">
        <f t="shared" ref="H117:J118" si="9">H118</f>
        <v>0</v>
      </c>
      <c r="I117" s="23">
        <f t="shared" si="9"/>
        <v>9670744</v>
      </c>
      <c r="J117" s="24">
        <f t="shared" si="9"/>
        <v>9670744</v>
      </c>
    </row>
    <row r="118" spans="1:10" ht="67.150000000000006" customHeight="1" x14ac:dyDescent="0.25">
      <c r="A118" s="283">
        <v>1610000</v>
      </c>
      <c r="B118" s="26" t="s">
        <v>16</v>
      </c>
      <c r="C118" s="26" t="s">
        <v>16</v>
      </c>
      <c r="D118" s="43" t="s">
        <v>652</v>
      </c>
      <c r="E118" s="55" t="s">
        <v>16</v>
      </c>
      <c r="F118" s="43" t="s">
        <v>16</v>
      </c>
      <c r="G118" s="684">
        <f>H118+I118</f>
        <v>9670744</v>
      </c>
      <c r="H118" s="685">
        <f t="shared" si="9"/>
        <v>0</v>
      </c>
      <c r="I118" s="685">
        <f t="shared" si="9"/>
        <v>9670744</v>
      </c>
      <c r="J118" s="686">
        <f t="shared" si="9"/>
        <v>9670744</v>
      </c>
    </row>
    <row r="119" spans="1:10" ht="66.75" customHeight="1" thickBot="1" x14ac:dyDescent="0.3">
      <c r="A119" s="430" t="s">
        <v>356</v>
      </c>
      <c r="B119" s="431" t="s">
        <v>357</v>
      </c>
      <c r="C119" s="356" t="s">
        <v>348</v>
      </c>
      <c r="D119" s="687" t="s">
        <v>355</v>
      </c>
      <c r="E119" s="456" t="s">
        <v>366</v>
      </c>
      <c r="F119" s="455" t="s">
        <v>581</v>
      </c>
      <c r="G119" s="354">
        <f>H119+I119</f>
        <v>9670744</v>
      </c>
      <c r="H119" s="253">
        <v>0</v>
      </c>
      <c r="I119" s="253">
        <f>1031901+206381+2798176+5062858+571428</f>
        <v>9670744</v>
      </c>
      <c r="J119" s="520">
        <f>I119</f>
        <v>9670744</v>
      </c>
    </row>
    <row r="120" spans="1:10" ht="47.25" customHeight="1" thickBot="1" x14ac:dyDescent="0.3">
      <c r="A120" s="19">
        <v>2700000</v>
      </c>
      <c r="B120" s="20"/>
      <c r="C120" s="20"/>
      <c r="D120" s="688" t="s">
        <v>629</v>
      </c>
      <c r="E120" s="21"/>
      <c r="F120" s="21"/>
      <c r="G120" s="22">
        <f>G121</f>
        <v>5543818</v>
      </c>
      <c r="H120" s="22">
        <f t="shared" ref="H120:J120" si="10">H121</f>
        <v>5543818</v>
      </c>
      <c r="I120" s="22">
        <f t="shared" si="10"/>
        <v>0</v>
      </c>
      <c r="J120" s="266">
        <f t="shared" si="10"/>
        <v>0</v>
      </c>
    </row>
    <row r="121" spans="1:10" ht="52.5" customHeight="1" x14ac:dyDescent="0.25">
      <c r="A121" s="689">
        <v>2710000</v>
      </c>
      <c r="B121" s="42"/>
      <c r="C121" s="42"/>
      <c r="D121" s="690" t="s">
        <v>629</v>
      </c>
      <c r="E121" s="49"/>
      <c r="F121" s="49"/>
      <c r="G121" s="28">
        <f>G122+G123</f>
        <v>5543818</v>
      </c>
      <c r="H121" s="28">
        <f>H122+H123</f>
        <v>5543818</v>
      </c>
      <c r="I121" s="28">
        <f t="shared" ref="I121:J121" si="11">I122</f>
        <v>0</v>
      </c>
      <c r="J121" s="691">
        <f t="shared" si="11"/>
        <v>0</v>
      </c>
    </row>
    <row r="122" spans="1:10" ht="81" customHeight="1" x14ac:dyDescent="0.25">
      <c r="A122" s="90">
        <v>2717413</v>
      </c>
      <c r="B122" s="565">
        <v>7413</v>
      </c>
      <c r="C122" s="249" t="s">
        <v>283</v>
      </c>
      <c r="D122" s="31" t="s">
        <v>282</v>
      </c>
      <c r="E122" s="31" t="s">
        <v>281</v>
      </c>
      <c r="F122" s="31" t="s">
        <v>606</v>
      </c>
      <c r="G122" s="8">
        <f>H122+J122</f>
        <v>5362968</v>
      </c>
      <c r="H122" s="32">
        <f>5387040-24072</f>
        <v>5362968</v>
      </c>
      <c r="I122" s="32">
        <v>0</v>
      </c>
      <c r="J122" s="33">
        <v>0</v>
      </c>
    </row>
    <row r="123" spans="1:10" ht="82.5" customHeight="1" thickBot="1" x14ac:dyDescent="0.3">
      <c r="A123" s="14">
        <v>2717693</v>
      </c>
      <c r="B123" s="15">
        <v>7693</v>
      </c>
      <c r="C123" s="431" t="s">
        <v>224</v>
      </c>
      <c r="D123" s="550" t="s">
        <v>321</v>
      </c>
      <c r="E123" s="235" t="s">
        <v>575</v>
      </c>
      <c r="F123" s="235" t="s">
        <v>604</v>
      </c>
      <c r="G123" s="8">
        <f>H123+J123</f>
        <v>180850</v>
      </c>
      <c r="H123" s="253">
        <f>148850+32000</f>
        <v>180850</v>
      </c>
      <c r="I123" s="253"/>
      <c r="J123" s="520"/>
    </row>
    <row r="124" spans="1:10" ht="55.9" customHeight="1" thickBot="1" x14ac:dyDescent="0.3">
      <c r="A124" s="19">
        <v>3100000</v>
      </c>
      <c r="B124" s="20"/>
      <c r="C124" s="364"/>
      <c r="D124" s="130" t="s">
        <v>456</v>
      </c>
      <c r="E124" s="21"/>
      <c r="F124" s="21"/>
      <c r="G124" s="22">
        <f>H124+I124</f>
        <v>881128</v>
      </c>
      <c r="H124" s="23">
        <f>H125</f>
        <v>881128</v>
      </c>
      <c r="I124" s="23">
        <f t="shared" ref="I124:J124" si="12">I125</f>
        <v>0</v>
      </c>
      <c r="J124" s="24">
        <f t="shared" si="12"/>
        <v>0</v>
      </c>
    </row>
    <row r="125" spans="1:10" ht="49.5" customHeight="1" x14ac:dyDescent="0.25">
      <c r="A125" s="689">
        <v>3110000</v>
      </c>
      <c r="B125" s="15"/>
      <c r="C125" s="431"/>
      <c r="D125" s="690" t="s">
        <v>456</v>
      </c>
      <c r="E125" s="692"/>
      <c r="F125" s="235"/>
      <c r="G125" s="693">
        <f>H125</f>
        <v>881128</v>
      </c>
      <c r="H125" s="694">
        <f>H126+H128+H127</f>
        <v>881128</v>
      </c>
      <c r="I125" s="695">
        <v>0</v>
      </c>
      <c r="J125" s="696">
        <v>0</v>
      </c>
    </row>
    <row r="126" spans="1:10" ht="141" customHeight="1" x14ac:dyDescent="0.25">
      <c r="A126" s="697">
        <v>3117693</v>
      </c>
      <c r="B126" s="9">
        <v>7693</v>
      </c>
      <c r="C126" s="252" t="s">
        <v>224</v>
      </c>
      <c r="D126" s="34" t="s">
        <v>321</v>
      </c>
      <c r="E126" s="49" t="s">
        <v>270</v>
      </c>
      <c r="F126" s="31" t="s">
        <v>605</v>
      </c>
      <c r="G126" s="8">
        <f>H126+I126</f>
        <v>177000</v>
      </c>
      <c r="H126" s="8">
        <f>177000</f>
        <v>177000</v>
      </c>
      <c r="I126" s="36">
        <v>0</v>
      </c>
      <c r="J126" s="37">
        <v>0</v>
      </c>
    </row>
    <row r="127" spans="1:10" ht="62.25" customHeight="1" x14ac:dyDescent="0.25">
      <c r="A127" s="697">
        <v>3117693</v>
      </c>
      <c r="B127" s="9">
        <v>7693</v>
      </c>
      <c r="C127" s="252" t="s">
        <v>224</v>
      </c>
      <c r="D127" s="34" t="s">
        <v>321</v>
      </c>
      <c r="E127" s="31" t="s">
        <v>673</v>
      </c>
      <c r="F127" s="31" t="s">
        <v>674</v>
      </c>
      <c r="G127" s="8">
        <f>H127+I127</f>
        <v>582656</v>
      </c>
      <c r="H127" s="8">
        <f>500000+82656</f>
        <v>582656</v>
      </c>
      <c r="I127" s="36"/>
      <c r="J127" s="37"/>
    </row>
    <row r="128" spans="1:10" ht="73.5" customHeight="1" thickBot="1" x14ac:dyDescent="0.3">
      <c r="A128" s="697">
        <v>3118110</v>
      </c>
      <c r="B128" s="9">
        <v>8110</v>
      </c>
      <c r="C128" s="252" t="s">
        <v>277</v>
      </c>
      <c r="D128" s="34" t="s">
        <v>278</v>
      </c>
      <c r="E128" s="31" t="s">
        <v>673</v>
      </c>
      <c r="F128" s="31" t="s">
        <v>674</v>
      </c>
      <c r="G128" s="8">
        <f>H128+I128</f>
        <v>121472</v>
      </c>
      <c r="H128" s="253">
        <v>121472</v>
      </c>
      <c r="I128" s="36">
        <v>0</v>
      </c>
      <c r="J128" s="37">
        <v>0</v>
      </c>
    </row>
    <row r="129" spans="1:16" ht="16.5" thickBot="1" x14ac:dyDescent="0.3">
      <c r="A129" s="262" t="s">
        <v>7</v>
      </c>
      <c r="B129" s="263" t="s">
        <v>7</v>
      </c>
      <c r="C129" s="263" t="s">
        <v>7</v>
      </c>
      <c r="D129" s="363" t="s">
        <v>138</v>
      </c>
      <c r="E129" s="263" t="s">
        <v>7</v>
      </c>
      <c r="F129" s="263" t="s">
        <v>7</v>
      </c>
      <c r="G129" s="22">
        <f>H129+I129</f>
        <v>374626000</v>
      </c>
      <c r="H129" s="22">
        <f>H24+H46+H65+H75+H78+H92+H106+H117+H120+H124</f>
        <v>262712847</v>
      </c>
      <c r="I129" s="22">
        <f>I24+I46+I65+I75+I78+I92+I106+I117+I120+I124</f>
        <v>111913153</v>
      </c>
      <c r="J129" s="266">
        <f>J24+J46+J65+J75+J78+J92+J106+J117+J120+J124</f>
        <v>104125953</v>
      </c>
    </row>
    <row r="130" spans="1:16" ht="13.5" hidden="1" customHeight="1" x14ac:dyDescent="0.25">
      <c r="A130" s="51"/>
      <c r="B130" s="51"/>
      <c r="C130" s="51"/>
      <c r="D130" s="52"/>
      <c r="E130" s="52"/>
      <c r="F130" s="52"/>
      <c r="G130" s="53"/>
      <c r="H130" s="53"/>
      <c r="I130" s="53"/>
      <c r="J130" s="53"/>
    </row>
    <row r="131" spans="1:16" ht="13.5" hidden="1" customHeight="1" x14ac:dyDescent="0.25">
      <c r="A131" s="51"/>
      <c r="B131" s="51"/>
      <c r="C131" s="51"/>
      <c r="D131" s="52"/>
      <c r="E131" s="52"/>
      <c r="F131" s="52"/>
      <c r="G131" s="53"/>
      <c r="H131" s="53"/>
      <c r="I131" s="53"/>
      <c r="J131" s="53"/>
    </row>
    <row r="132" spans="1:16" ht="17.25" customHeight="1" x14ac:dyDescent="0.25">
      <c r="A132" s="1"/>
      <c r="B132" s="1"/>
      <c r="C132" s="1"/>
      <c r="D132" s="1"/>
      <c r="E132" s="1"/>
      <c r="F132" s="1"/>
      <c r="G132" s="1"/>
      <c r="H132" s="1"/>
      <c r="I132" s="1"/>
      <c r="J132" s="1"/>
    </row>
    <row r="133" spans="1:16" s="125" customFormat="1" ht="25.5" customHeight="1" x14ac:dyDescent="0.2">
      <c r="A133" s="777" t="s">
        <v>363</v>
      </c>
      <c r="B133" s="777"/>
      <c r="C133" s="777"/>
      <c r="D133" s="777"/>
      <c r="E133" s="121"/>
      <c r="F133" s="601"/>
      <c r="G133" s="121" t="s">
        <v>311</v>
      </c>
      <c r="H133" s="121"/>
      <c r="I133" s="121"/>
      <c r="K133" s="121"/>
      <c r="L133" s="122"/>
      <c r="M133" s="121"/>
      <c r="N133" s="121"/>
      <c r="O133" s="123"/>
      <c r="P133" s="124"/>
    </row>
    <row r="134" spans="1:16" s="60" customFormat="1" ht="20.25" x14ac:dyDescent="0.3">
      <c r="A134" s="59"/>
      <c r="B134" s="59"/>
      <c r="G134" s="61"/>
    </row>
    <row r="135" spans="1:16" customFormat="1" ht="15.75" x14ac:dyDescent="0.25">
      <c r="A135" s="62"/>
      <c r="B135" s="62"/>
      <c r="G135" s="555"/>
      <c r="H135" s="555"/>
      <c r="I135" s="555"/>
      <c r="J135" s="555"/>
    </row>
    <row r="136" spans="1:16" x14ac:dyDescent="0.25">
      <c r="G136" s="554"/>
      <c r="H136" s="554"/>
      <c r="I136" s="554"/>
      <c r="J136" s="554"/>
    </row>
  </sheetData>
  <mergeCells count="13">
    <mergeCell ref="H6:I6"/>
    <mergeCell ref="A133:D133"/>
    <mergeCell ref="H21:H22"/>
    <mergeCell ref="I21:J21"/>
    <mergeCell ref="A17:J17"/>
    <mergeCell ref="A19:B19"/>
    <mergeCell ref="A21:A22"/>
    <mergeCell ref="B21:B22"/>
    <mergeCell ref="C21:C22"/>
    <mergeCell ref="D21:D22"/>
    <mergeCell ref="E21:E22"/>
    <mergeCell ref="F21:F22"/>
    <mergeCell ref="G21:G22"/>
  </mergeCells>
  <hyperlinks>
    <hyperlink ref="D56" r:id="rId1" location="n8" display="https://zakon.rada.gov.ua/rada/show/988-2016-%D1%80 - n8" xr:uid="{00000000-0004-0000-0400-000000000000}"/>
    <hyperlink ref="D57" r:id="rId2" location="n8" display="https://zakon.rada.gov.ua/rada/show/988-2016-%D1%80 - n8" xr:uid="{00000000-0004-0000-0400-000001000000}"/>
  </hyperlinks>
  <pageMargins left="0.78740157480314965" right="0.78740157480314965" top="1.1811023622047245" bottom="0.39370078740157483" header="0.31496062992125984" footer="0.31496062992125984"/>
  <pageSetup paperSize="9" scale="64"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24"/>
  <sheetViews>
    <sheetView view="pageBreakPreview" topLeftCell="A115" zoomScale="70" zoomScaleNormal="50" zoomScaleSheetLayoutView="70" workbookViewId="0">
      <selection activeCell="I6" sqref="I6:J6"/>
    </sheetView>
  </sheetViews>
  <sheetFormatPr defaultColWidth="9.28515625" defaultRowHeight="15" x14ac:dyDescent="0.25"/>
  <cols>
    <col min="1" max="1" width="14.5703125" style="180" customWidth="1"/>
    <col min="2" max="2" width="15.140625" style="181" customWidth="1"/>
    <col min="3" max="3" width="11" style="182" customWidth="1"/>
    <col min="4" max="4" width="51.42578125" style="183" customWidth="1"/>
    <col min="5" max="5" width="57.140625" style="184" customWidth="1"/>
    <col min="6" max="6" width="15.28515625" style="182" customWidth="1"/>
    <col min="7" max="7" width="18" style="185" customWidth="1"/>
    <col min="8" max="8" width="22.28515625" style="185" customWidth="1"/>
    <col min="9" max="9" width="13.85546875" style="185" customWidth="1"/>
    <col min="10" max="10" width="28.140625" style="186" customWidth="1"/>
    <col min="11" max="11" width="13.85546875" style="186" customWidth="1"/>
    <col min="12" max="12" width="9.28515625" style="180"/>
    <col min="13" max="13" width="16.85546875" style="180" bestFit="1" customWidth="1"/>
    <col min="14" max="14" width="9.28515625" style="180"/>
    <col min="15" max="15" width="13.7109375" style="180" bestFit="1" customWidth="1"/>
    <col min="16" max="256" width="9.28515625" style="180"/>
    <col min="257" max="257" width="15" style="180" customWidth="1"/>
    <col min="258" max="258" width="12.7109375" style="180" customWidth="1"/>
    <col min="259" max="259" width="11.7109375" style="180" customWidth="1"/>
    <col min="260" max="260" width="44.85546875" style="180" customWidth="1"/>
    <col min="261" max="261" width="54.7109375" style="180" customWidth="1"/>
    <col min="262" max="262" width="15.28515625" style="180" customWidth="1"/>
    <col min="263" max="264" width="19.28515625" style="180" customWidth="1"/>
    <col min="265" max="265" width="13.85546875" style="180" customWidth="1"/>
    <col min="266" max="266" width="25.28515625" style="180" customWidth="1"/>
    <col min="267" max="267" width="16.28515625" style="180" customWidth="1"/>
    <col min="268" max="512" width="9.28515625" style="180"/>
    <col min="513" max="513" width="15" style="180" customWidth="1"/>
    <col min="514" max="514" width="12.7109375" style="180" customWidth="1"/>
    <col min="515" max="515" width="11.7109375" style="180" customWidth="1"/>
    <col min="516" max="516" width="44.85546875" style="180" customWidth="1"/>
    <col min="517" max="517" width="54.7109375" style="180" customWidth="1"/>
    <col min="518" max="518" width="15.28515625" style="180" customWidth="1"/>
    <col min="519" max="520" width="19.28515625" style="180" customWidth="1"/>
    <col min="521" max="521" width="13.85546875" style="180" customWidth="1"/>
    <col min="522" max="522" width="25.28515625" style="180" customWidth="1"/>
    <col min="523" max="523" width="16.28515625" style="180" customWidth="1"/>
    <col min="524" max="768" width="9.28515625" style="180"/>
    <col min="769" max="769" width="15" style="180" customWidth="1"/>
    <col min="770" max="770" width="12.7109375" style="180" customWidth="1"/>
    <col min="771" max="771" width="11.7109375" style="180" customWidth="1"/>
    <col min="772" max="772" width="44.85546875" style="180" customWidth="1"/>
    <col min="773" max="773" width="54.7109375" style="180" customWidth="1"/>
    <col min="774" max="774" width="15.28515625" style="180" customWidth="1"/>
    <col min="775" max="776" width="19.28515625" style="180" customWidth="1"/>
    <col min="777" max="777" width="13.85546875" style="180" customWidth="1"/>
    <col min="778" max="778" width="25.28515625" style="180" customWidth="1"/>
    <col min="779" max="779" width="16.28515625" style="180" customWidth="1"/>
    <col min="780" max="1024" width="9.28515625" style="180"/>
    <col min="1025" max="1025" width="15" style="180" customWidth="1"/>
    <col min="1026" max="1026" width="12.7109375" style="180" customWidth="1"/>
    <col min="1027" max="1027" width="11.7109375" style="180" customWidth="1"/>
    <col min="1028" max="1028" width="44.85546875" style="180" customWidth="1"/>
    <col min="1029" max="1029" width="54.7109375" style="180" customWidth="1"/>
    <col min="1030" max="1030" width="15.28515625" style="180" customWidth="1"/>
    <col min="1031" max="1032" width="19.28515625" style="180" customWidth="1"/>
    <col min="1033" max="1033" width="13.85546875" style="180" customWidth="1"/>
    <col min="1034" max="1034" width="25.28515625" style="180" customWidth="1"/>
    <col min="1035" max="1035" width="16.28515625" style="180" customWidth="1"/>
    <col min="1036" max="1280" width="9.28515625" style="180"/>
    <col min="1281" max="1281" width="15" style="180" customWidth="1"/>
    <col min="1282" max="1282" width="12.7109375" style="180" customWidth="1"/>
    <col min="1283" max="1283" width="11.7109375" style="180" customWidth="1"/>
    <col min="1284" max="1284" width="44.85546875" style="180" customWidth="1"/>
    <col min="1285" max="1285" width="54.7109375" style="180" customWidth="1"/>
    <col min="1286" max="1286" width="15.28515625" style="180" customWidth="1"/>
    <col min="1287" max="1288" width="19.28515625" style="180" customWidth="1"/>
    <col min="1289" max="1289" width="13.85546875" style="180" customWidth="1"/>
    <col min="1290" max="1290" width="25.28515625" style="180" customWidth="1"/>
    <col min="1291" max="1291" width="16.28515625" style="180" customWidth="1"/>
    <col min="1292" max="1536" width="9.28515625" style="180"/>
    <col min="1537" max="1537" width="15" style="180" customWidth="1"/>
    <col min="1538" max="1538" width="12.7109375" style="180" customWidth="1"/>
    <col min="1539" max="1539" width="11.7109375" style="180" customWidth="1"/>
    <col min="1540" max="1540" width="44.85546875" style="180" customWidth="1"/>
    <col min="1541" max="1541" width="54.7109375" style="180" customWidth="1"/>
    <col min="1542" max="1542" width="15.28515625" style="180" customWidth="1"/>
    <col min="1543" max="1544" width="19.28515625" style="180" customWidth="1"/>
    <col min="1545" max="1545" width="13.85546875" style="180" customWidth="1"/>
    <col min="1546" max="1546" width="25.28515625" style="180" customWidth="1"/>
    <col min="1547" max="1547" width="16.28515625" style="180" customWidth="1"/>
    <col min="1548" max="1792" width="9.28515625" style="180"/>
    <col min="1793" max="1793" width="15" style="180" customWidth="1"/>
    <col min="1794" max="1794" width="12.7109375" style="180" customWidth="1"/>
    <col min="1795" max="1795" width="11.7109375" style="180" customWidth="1"/>
    <col min="1796" max="1796" width="44.85546875" style="180" customWidth="1"/>
    <col min="1797" max="1797" width="54.7109375" style="180" customWidth="1"/>
    <col min="1798" max="1798" width="15.28515625" style="180" customWidth="1"/>
    <col min="1799" max="1800" width="19.28515625" style="180" customWidth="1"/>
    <col min="1801" max="1801" width="13.85546875" style="180" customWidth="1"/>
    <col min="1802" max="1802" width="25.28515625" style="180" customWidth="1"/>
    <col min="1803" max="1803" width="16.28515625" style="180" customWidth="1"/>
    <col min="1804" max="2048" width="9.28515625" style="180"/>
    <col min="2049" max="2049" width="15" style="180" customWidth="1"/>
    <col min="2050" max="2050" width="12.7109375" style="180" customWidth="1"/>
    <col min="2051" max="2051" width="11.7109375" style="180" customWidth="1"/>
    <col min="2052" max="2052" width="44.85546875" style="180" customWidth="1"/>
    <col min="2053" max="2053" width="54.7109375" style="180" customWidth="1"/>
    <col min="2054" max="2054" width="15.28515625" style="180" customWidth="1"/>
    <col min="2055" max="2056" width="19.28515625" style="180" customWidth="1"/>
    <col min="2057" max="2057" width="13.85546875" style="180" customWidth="1"/>
    <col min="2058" max="2058" width="25.28515625" style="180" customWidth="1"/>
    <col min="2059" max="2059" width="16.28515625" style="180" customWidth="1"/>
    <col min="2060" max="2304" width="9.28515625" style="180"/>
    <col min="2305" max="2305" width="15" style="180" customWidth="1"/>
    <col min="2306" max="2306" width="12.7109375" style="180" customWidth="1"/>
    <col min="2307" max="2307" width="11.7109375" style="180" customWidth="1"/>
    <col min="2308" max="2308" width="44.85546875" style="180" customWidth="1"/>
    <col min="2309" max="2309" width="54.7109375" style="180" customWidth="1"/>
    <col min="2310" max="2310" width="15.28515625" style="180" customWidth="1"/>
    <col min="2311" max="2312" width="19.28515625" style="180" customWidth="1"/>
    <col min="2313" max="2313" width="13.85546875" style="180" customWidth="1"/>
    <col min="2314" max="2314" width="25.28515625" style="180" customWidth="1"/>
    <col min="2315" max="2315" width="16.28515625" style="180" customWidth="1"/>
    <col min="2316" max="2560" width="9.28515625" style="180"/>
    <col min="2561" max="2561" width="15" style="180" customWidth="1"/>
    <col min="2562" max="2562" width="12.7109375" style="180" customWidth="1"/>
    <col min="2563" max="2563" width="11.7109375" style="180" customWidth="1"/>
    <col min="2564" max="2564" width="44.85546875" style="180" customWidth="1"/>
    <col min="2565" max="2565" width="54.7109375" style="180" customWidth="1"/>
    <col min="2566" max="2566" width="15.28515625" style="180" customWidth="1"/>
    <col min="2567" max="2568" width="19.28515625" style="180" customWidth="1"/>
    <col min="2569" max="2569" width="13.85546875" style="180" customWidth="1"/>
    <col min="2570" max="2570" width="25.28515625" style="180" customWidth="1"/>
    <col min="2571" max="2571" width="16.28515625" style="180" customWidth="1"/>
    <col min="2572" max="2816" width="9.28515625" style="180"/>
    <col min="2817" max="2817" width="15" style="180" customWidth="1"/>
    <col min="2818" max="2818" width="12.7109375" style="180" customWidth="1"/>
    <col min="2819" max="2819" width="11.7109375" style="180" customWidth="1"/>
    <col min="2820" max="2820" width="44.85546875" style="180" customWidth="1"/>
    <col min="2821" max="2821" width="54.7109375" style="180" customWidth="1"/>
    <col min="2822" max="2822" width="15.28515625" style="180" customWidth="1"/>
    <col min="2823" max="2824" width="19.28515625" style="180" customWidth="1"/>
    <col min="2825" max="2825" width="13.85546875" style="180" customWidth="1"/>
    <col min="2826" max="2826" width="25.28515625" style="180" customWidth="1"/>
    <col min="2827" max="2827" width="16.28515625" style="180" customWidth="1"/>
    <col min="2828" max="3072" width="9.28515625" style="180"/>
    <col min="3073" max="3073" width="15" style="180" customWidth="1"/>
    <col min="3074" max="3074" width="12.7109375" style="180" customWidth="1"/>
    <col min="3075" max="3075" width="11.7109375" style="180" customWidth="1"/>
    <col min="3076" max="3076" width="44.85546875" style="180" customWidth="1"/>
    <col min="3077" max="3077" width="54.7109375" style="180" customWidth="1"/>
    <col min="3078" max="3078" width="15.28515625" style="180" customWidth="1"/>
    <col min="3079" max="3080" width="19.28515625" style="180" customWidth="1"/>
    <col min="3081" max="3081" width="13.85546875" style="180" customWidth="1"/>
    <col min="3082" max="3082" width="25.28515625" style="180" customWidth="1"/>
    <col min="3083" max="3083" width="16.28515625" style="180" customWidth="1"/>
    <col min="3084" max="3328" width="9.28515625" style="180"/>
    <col min="3329" max="3329" width="15" style="180" customWidth="1"/>
    <col min="3330" max="3330" width="12.7109375" style="180" customWidth="1"/>
    <col min="3331" max="3331" width="11.7109375" style="180" customWidth="1"/>
    <col min="3332" max="3332" width="44.85546875" style="180" customWidth="1"/>
    <col min="3333" max="3333" width="54.7109375" style="180" customWidth="1"/>
    <col min="3334" max="3334" width="15.28515625" style="180" customWidth="1"/>
    <col min="3335" max="3336" width="19.28515625" style="180" customWidth="1"/>
    <col min="3337" max="3337" width="13.85546875" style="180" customWidth="1"/>
    <col min="3338" max="3338" width="25.28515625" style="180" customWidth="1"/>
    <col min="3339" max="3339" width="16.28515625" style="180" customWidth="1"/>
    <col min="3340" max="3584" width="9.28515625" style="180"/>
    <col min="3585" max="3585" width="15" style="180" customWidth="1"/>
    <col min="3586" max="3586" width="12.7109375" style="180" customWidth="1"/>
    <col min="3587" max="3587" width="11.7109375" style="180" customWidth="1"/>
    <col min="3588" max="3588" width="44.85546875" style="180" customWidth="1"/>
    <col min="3589" max="3589" width="54.7109375" style="180" customWidth="1"/>
    <col min="3590" max="3590" width="15.28515625" style="180" customWidth="1"/>
    <col min="3591" max="3592" width="19.28515625" style="180" customWidth="1"/>
    <col min="3593" max="3593" width="13.85546875" style="180" customWidth="1"/>
    <col min="3594" max="3594" width="25.28515625" style="180" customWidth="1"/>
    <col min="3595" max="3595" width="16.28515625" style="180" customWidth="1"/>
    <col min="3596" max="3840" width="9.28515625" style="180"/>
    <col min="3841" max="3841" width="15" style="180" customWidth="1"/>
    <col min="3842" max="3842" width="12.7109375" style="180" customWidth="1"/>
    <col min="3843" max="3843" width="11.7109375" style="180" customWidth="1"/>
    <col min="3844" max="3844" width="44.85546875" style="180" customWidth="1"/>
    <col min="3845" max="3845" width="54.7109375" style="180" customWidth="1"/>
    <col min="3846" max="3846" width="15.28515625" style="180" customWidth="1"/>
    <col min="3847" max="3848" width="19.28515625" style="180" customWidth="1"/>
    <col min="3849" max="3849" width="13.85546875" style="180" customWidth="1"/>
    <col min="3850" max="3850" width="25.28515625" style="180" customWidth="1"/>
    <col min="3851" max="3851" width="16.28515625" style="180" customWidth="1"/>
    <col min="3852" max="4096" width="9.28515625" style="180"/>
    <col min="4097" max="4097" width="15" style="180" customWidth="1"/>
    <col min="4098" max="4098" width="12.7109375" style="180" customWidth="1"/>
    <col min="4099" max="4099" width="11.7109375" style="180" customWidth="1"/>
    <col min="4100" max="4100" width="44.85546875" style="180" customWidth="1"/>
    <col min="4101" max="4101" width="54.7109375" style="180" customWidth="1"/>
    <col min="4102" max="4102" width="15.28515625" style="180" customWidth="1"/>
    <col min="4103" max="4104" width="19.28515625" style="180" customWidth="1"/>
    <col min="4105" max="4105" width="13.85546875" style="180" customWidth="1"/>
    <col min="4106" max="4106" width="25.28515625" style="180" customWidth="1"/>
    <col min="4107" max="4107" width="16.28515625" style="180" customWidth="1"/>
    <col min="4108" max="4352" width="9.28515625" style="180"/>
    <col min="4353" max="4353" width="15" style="180" customWidth="1"/>
    <col min="4354" max="4354" width="12.7109375" style="180" customWidth="1"/>
    <col min="4355" max="4355" width="11.7109375" style="180" customWidth="1"/>
    <col min="4356" max="4356" width="44.85546875" style="180" customWidth="1"/>
    <col min="4357" max="4357" width="54.7109375" style="180" customWidth="1"/>
    <col min="4358" max="4358" width="15.28515625" style="180" customWidth="1"/>
    <col min="4359" max="4360" width="19.28515625" style="180" customWidth="1"/>
    <col min="4361" max="4361" width="13.85546875" style="180" customWidth="1"/>
    <col min="4362" max="4362" width="25.28515625" style="180" customWidth="1"/>
    <col min="4363" max="4363" width="16.28515625" style="180" customWidth="1"/>
    <col min="4364" max="4608" width="9.28515625" style="180"/>
    <col min="4609" max="4609" width="15" style="180" customWidth="1"/>
    <col min="4610" max="4610" width="12.7109375" style="180" customWidth="1"/>
    <col min="4611" max="4611" width="11.7109375" style="180" customWidth="1"/>
    <col min="4612" max="4612" width="44.85546875" style="180" customWidth="1"/>
    <col min="4613" max="4613" width="54.7109375" style="180" customWidth="1"/>
    <col min="4614" max="4614" width="15.28515625" style="180" customWidth="1"/>
    <col min="4615" max="4616" width="19.28515625" style="180" customWidth="1"/>
    <col min="4617" max="4617" width="13.85546875" style="180" customWidth="1"/>
    <col min="4618" max="4618" width="25.28515625" style="180" customWidth="1"/>
    <col min="4619" max="4619" width="16.28515625" style="180" customWidth="1"/>
    <col min="4620" max="4864" width="9.28515625" style="180"/>
    <col min="4865" max="4865" width="15" style="180" customWidth="1"/>
    <col min="4866" max="4866" width="12.7109375" style="180" customWidth="1"/>
    <col min="4867" max="4867" width="11.7109375" style="180" customWidth="1"/>
    <col min="4868" max="4868" width="44.85546875" style="180" customWidth="1"/>
    <col min="4869" max="4869" width="54.7109375" style="180" customWidth="1"/>
    <col min="4870" max="4870" width="15.28515625" style="180" customWidth="1"/>
    <col min="4871" max="4872" width="19.28515625" style="180" customWidth="1"/>
    <col min="4873" max="4873" width="13.85546875" style="180" customWidth="1"/>
    <col min="4874" max="4874" width="25.28515625" style="180" customWidth="1"/>
    <col min="4875" max="4875" width="16.28515625" style="180" customWidth="1"/>
    <col min="4876" max="5120" width="9.28515625" style="180"/>
    <col min="5121" max="5121" width="15" style="180" customWidth="1"/>
    <col min="5122" max="5122" width="12.7109375" style="180" customWidth="1"/>
    <col min="5123" max="5123" width="11.7109375" style="180" customWidth="1"/>
    <col min="5124" max="5124" width="44.85546875" style="180" customWidth="1"/>
    <col min="5125" max="5125" width="54.7109375" style="180" customWidth="1"/>
    <col min="5126" max="5126" width="15.28515625" style="180" customWidth="1"/>
    <col min="5127" max="5128" width="19.28515625" style="180" customWidth="1"/>
    <col min="5129" max="5129" width="13.85546875" style="180" customWidth="1"/>
    <col min="5130" max="5130" width="25.28515625" style="180" customWidth="1"/>
    <col min="5131" max="5131" width="16.28515625" style="180" customWidth="1"/>
    <col min="5132" max="5376" width="9.28515625" style="180"/>
    <col min="5377" max="5377" width="15" style="180" customWidth="1"/>
    <col min="5378" max="5378" width="12.7109375" style="180" customWidth="1"/>
    <col min="5379" max="5379" width="11.7109375" style="180" customWidth="1"/>
    <col min="5380" max="5380" width="44.85546875" style="180" customWidth="1"/>
    <col min="5381" max="5381" width="54.7109375" style="180" customWidth="1"/>
    <col min="5382" max="5382" width="15.28515625" style="180" customWidth="1"/>
    <col min="5383" max="5384" width="19.28515625" style="180" customWidth="1"/>
    <col min="5385" max="5385" width="13.85546875" style="180" customWidth="1"/>
    <col min="5386" max="5386" width="25.28515625" style="180" customWidth="1"/>
    <col min="5387" max="5387" width="16.28515625" style="180" customWidth="1"/>
    <col min="5388" max="5632" width="9.28515625" style="180"/>
    <col min="5633" max="5633" width="15" style="180" customWidth="1"/>
    <col min="5634" max="5634" width="12.7109375" style="180" customWidth="1"/>
    <col min="5635" max="5635" width="11.7109375" style="180" customWidth="1"/>
    <col min="5636" max="5636" width="44.85546875" style="180" customWidth="1"/>
    <col min="5637" max="5637" width="54.7109375" style="180" customWidth="1"/>
    <col min="5638" max="5638" width="15.28515625" style="180" customWidth="1"/>
    <col min="5639" max="5640" width="19.28515625" style="180" customWidth="1"/>
    <col min="5641" max="5641" width="13.85546875" style="180" customWidth="1"/>
    <col min="5642" max="5642" width="25.28515625" style="180" customWidth="1"/>
    <col min="5643" max="5643" width="16.28515625" style="180" customWidth="1"/>
    <col min="5644" max="5888" width="9.28515625" style="180"/>
    <col min="5889" max="5889" width="15" style="180" customWidth="1"/>
    <col min="5890" max="5890" width="12.7109375" style="180" customWidth="1"/>
    <col min="5891" max="5891" width="11.7109375" style="180" customWidth="1"/>
    <col min="5892" max="5892" width="44.85546875" style="180" customWidth="1"/>
    <col min="5893" max="5893" width="54.7109375" style="180" customWidth="1"/>
    <col min="5894" max="5894" width="15.28515625" style="180" customWidth="1"/>
    <col min="5895" max="5896" width="19.28515625" style="180" customWidth="1"/>
    <col min="5897" max="5897" width="13.85546875" style="180" customWidth="1"/>
    <col min="5898" max="5898" width="25.28515625" style="180" customWidth="1"/>
    <col min="5899" max="5899" width="16.28515625" style="180" customWidth="1"/>
    <col min="5900" max="6144" width="9.28515625" style="180"/>
    <col min="6145" max="6145" width="15" style="180" customWidth="1"/>
    <col min="6146" max="6146" width="12.7109375" style="180" customWidth="1"/>
    <col min="6147" max="6147" width="11.7109375" style="180" customWidth="1"/>
    <col min="6148" max="6148" width="44.85546875" style="180" customWidth="1"/>
    <col min="6149" max="6149" width="54.7109375" style="180" customWidth="1"/>
    <col min="6150" max="6150" width="15.28515625" style="180" customWidth="1"/>
    <col min="6151" max="6152" width="19.28515625" style="180" customWidth="1"/>
    <col min="6153" max="6153" width="13.85546875" style="180" customWidth="1"/>
    <col min="6154" max="6154" width="25.28515625" style="180" customWidth="1"/>
    <col min="6155" max="6155" width="16.28515625" style="180" customWidth="1"/>
    <col min="6156" max="6400" width="9.28515625" style="180"/>
    <col min="6401" max="6401" width="15" style="180" customWidth="1"/>
    <col min="6402" max="6402" width="12.7109375" style="180" customWidth="1"/>
    <col min="6403" max="6403" width="11.7109375" style="180" customWidth="1"/>
    <col min="6404" max="6404" width="44.85546875" style="180" customWidth="1"/>
    <col min="6405" max="6405" width="54.7109375" style="180" customWidth="1"/>
    <col min="6406" max="6406" width="15.28515625" style="180" customWidth="1"/>
    <col min="6407" max="6408" width="19.28515625" style="180" customWidth="1"/>
    <col min="6409" max="6409" width="13.85546875" style="180" customWidth="1"/>
    <col min="6410" max="6410" width="25.28515625" style="180" customWidth="1"/>
    <col min="6411" max="6411" width="16.28515625" style="180" customWidth="1"/>
    <col min="6412" max="6656" width="9.28515625" style="180"/>
    <col min="6657" max="6657" width="15" style="180" customWidth="1"/>
    <col min="6658" max="6658" width="12.7109375" style="180" customWidth="1"/>
    <col min="6659" max="6659" width="11.7109375" style="180" customWidth="1"/>
    <col min="6660" max="6660" width="44.85546875" style="180" customWidth="1"/>
    <col min="6661" max="6661" width="54.7109375" style="180" customWidth="1"/>
    <col min="6662" max="6662" width="15.28515625" style="180" customWidth="1"/>
    <col min="6663" max="6664" width="19.28515625" style="180" customWidth="1"/>
    <col min="6665" max="6665" width="13.85546875" style="180" customWidth="1"/>
    <col min="6666" max="6666" width="25.28515625" style="180" customWidth="1"/>
    <col min="6667" max="6667" width="16.28515625" style="180" customWidth="1"/>
    <col min="6668" max="6912" width="9.28515625" style="180"/>
    <col min="6913" max="6913" width="15" style="180" customWidth="1"/>
    <col min="6914" max="6914" width="12.7109375" style="180" customWidth="1"/>
    <col min="6915" max="6915" width="11.7109375" style="180" customWidth="1"/>
    <col min="6916" max="6916" width="44.85546875" style="180" customWidth="1"/>
    <col min="6917" max="6917" width="54.7109375" style="180" customWidth="1"/>
    <col min="6918" max="6918" width="15.28515625" style="180" customWidth="1"/>
    <col min="6919" max="6920" width="19.28515625" style="180" customWidth="1"/>
    <col min="6921" max="6921" width="13.85546875" style="180" customWidth="1"/>
    <col min="6922" max="6922" width="25.28515625" style="180" customWidth="1"/>
    <col min="6923" max="6923" width="16.28515625" style="180" customWidth="1"/>
    <col min="6924" max="7168" width="9.28515625" style="180"/>
    <col min="7169" max="7169" width="15" style="180" customWidth="1"/>
    <col min="7170" max="7170" width="12.7109375" style="180" customWidth="1"/>
    <col min="7171" max="7171" width="11.7109375" style="180" customWidth="1"/>
    <col min="7172" max="7172" width="44.85546875" style="180" customWidth="1"/>
    <col min="7173" max="7173" width="54.7109375" style="180" customWidth="1"/>
    <col min="7174" max="7174" width="15.28515625" style="180" customWidth="1"/>
    <col min="7175" max="7176" width="19.28515625" style="180" customWidth="1"/>
    <col min="7177" max="7177" width="13.85546875" style="180" customWidth="1"/>
    <col min="7178" max="7178" width="25.28515625" style="180" customWidth="1"/>
    <col min="7179" max="7179" width="16.28515625" style="180" customWidth="1"/>
    <col min="7180" max="7424" width="9.28515625" style="180"/>
    <col min="7425" max="7425" width="15" style="180" customWidth="1"/>
    <col min="7426" max="7426" width="12.7109375" style="180" customWidth="1"/>
    <col min="7427" max="7427" width="11.7109375" style="180" customWidth="1"/>
    <col min="7428" max="7428" width="44.85546875" style="180" customWidth="1"/>
    <col min="7429" max="7429" width="54.7109375" style="180" customWidth="1"/>
    <col min="7430" max="7430" width="15.28515625" style="180" customWidth="1"/>
    <col min="7431" max="7432" width="19.28515625" style="180" customWidth="1"/>
    <col min="7433" max="7433" width="13.85546875" style="180" customWidth="1"/>
    <col min="7434" max="7434" width="25.28515625" style="180" customWidth="1"/>
    <col min="7435" max="7435" width="16.28515625" style="180" customWidth="1"/>
    <col min="7436" max="7680" width="9.28515625" style="180"/>
    <col min="7681" max="7681" width="15" style="180" customWidth="1"/>
    <col min="7682" max="7682" width="12.7109375" style="180" customWidth="1"/>
    <col min="7683" max="7683" width="11.7109375" style="180" customWidth="1"/>
    <col min="7684" max="7684" width="44.85546875" style="180" customWidth="1"/>
    <col min="7685" max="7685" width="54.7109375" style="180" customWidth="1"/>
    <col min="7686" max="7686" width="15.28515625" style="180" customWidth="1"/>
    <col min="7687" max="7688" width="19.28515625" style="180" customWidth="1"/>
    <col min="7689" max="7689" width="13.85546875" style="180" customWidth="1"/>
    <col min="7690" max="7690" width="25.28515625" style="180" customWidth="1"/>
    <col min="7691" max="7691" width="16.28515625" style="180" customWidth="1"/>
    <col min="7692" max="7936" width="9.28515625" style="180"/>
    <col min="7937" max="7937" width="15" style="180" customWidth="1"/>
    <col min="7938" max="7938" width="12.7109375" style="180" customWidth="1"/>
    <col min="7939" max="7939" width="11.7109375" style="180" customWidth="1"/>
    <col min="7940" max="7940" width="44.85546875" style="180" customWidth="1"/>
    <col min="7941" max="7941" width="54.7109375" style="180" customWidth="1"/>
    <col min="7942" max="7942" width="15.28515625" style="180" customWidth="1"/>
    <col min="7943" max="7944" width="19.28515625" style="180" customWidth="1"/>
    <col min="7945" max="7945" width="13.85546875" style="180" customWidth="1"/>
    <col min="7946" max="7946" width="25.28515625" style="180" customWidth="1"/>
    <col min="7947" max="7947" width="16.28515625" style="180" customWidth="1"/>
    <col min="7948" max="8192" width="9.28515625" style="180"/>
    <col min="8193" max="8193" width="15" style="180" customWidth="1"/>
    <col min="8194" max="8194" width="12.7109375" style="180" customWidth="1"/>
    <col min="8195" max="8195" width="11.7109375" style="180" customWidth="1"/>
    <col min="8196" max="8196" width="44.85546875" style="180" customWidth="1"/>
    <col min="8197" max="8197" width="54.7109375" style="180" customWidth="1"/>
    <col min="8198" max="8198" width="15.28515625" style="180" customWidth="1"/>
    <col min="8199" max="8200" width="19.28515625" style="180" customWidth="1"/>
    <col min="8201" max="8201" width="13.85546875" style="180" customWidth="1"/>
    <col min="8202" max="8202" width="25.28515625" style="180" customWidth="1"/>
    <col min="8203" max="8203" width="16.28515625" style="180" customWidth="1"/>
    <col min="8204" max="8448" width="9.28515625" style="180"/>
    <col min="8449" max="8449" width="15" style="180" customWidth="1"/>
    <col min="8450" max="8450" width="12.7109375" style="180" customWidth="1"/>
    <col min="8451" max="8451" width="11.7109375" style="180" customWidth="1"/>
    <col min="8452" max="8452" width="44.85546875" style="180" customWidth="1"/>
    <col min="8453" max="8453" width="54.7109375" style="180" customWidth="1"/>
    <col min="8454" max="8454" width="15.28515625" style="180" customWidth="1"/>
    <col min="8455" max="8456" width="19.28515625" style="180" customWidth="1"/>
    <col min="8457" max="8457" width="13.85546875" style="180" customWidth="1"/>
    <col min="8458" max="8458" width="25.28515625" style="180" customWidth="1"/>
    <col min="8459" max="8459" width="16.28515625" style="180" customWidth="1"/>
    <col min="8460" max="8704" width="9.28515625" style="180"/>
    <col min="8705" max="8705" width="15" style="180" customWidth="1"/>
    <col min="8706" max="8706" width="12.7109375" style="180" customWidth="1"/>
    <col min="8707" max="8707" width="11.7109375" style="180" customWidth="1"/>
    <col min="8708" max="8708" width="44.85546875" style="180" customWidth="1"/>
    <col min="8709" max="8709" width="54.7109375" style="180" customWidth="1"/>
    <col min="8710" max="8710" width="15.28515625" style="180" customWidth="1"/>
    <col min="8711" max="8712" width="19.28515625" style="180" customWidth="1"/>
    <col min="8713" max="8713" width="13.85546875" style="180" customWidth="1"/>
    <col min="8714" max="8714" width="25.28515625" style="180" customWidth="1"/>
    <col min="8715" max="8715" width="16.28515625" style="180" customWidth="1"/>
    <col min="8716" max="8960" width="9.28515625" style="180"/>
    <col min="8961" max="8961" width="15" style="180" customWidth="1"/>
    <col min="8962" max="8962" width="12.7109375" style="180" customWidth="1"/>
    <col min="8963" max="8963" width="11.7109375" style="180" customWidth="1"/>
    <col min="8964" max="8964" width="44.85546875" style="180" customWidth="1"/>
    <col min="8965" max="8965" width="54.7109375" style="180" customWidth="1"/>
    <col min="8966" max="8966" width="15.28515625" style="180" customWidth="1"/>
    <col min="8967" max="8968" width="19.28515625" style="180" customWidth="1"/>
    <col min="8969" max="8969" width="13.85546875" style="180" customWidth="1"/>
    <col min="8970" max="8970" width="25.28515625" style="180" customWidth="1"/>
    <col min="8971" max="8971" width="16.28515625" style="180" customWidth="1"/>
    <col min="8972" max="9216" width="9.28515625" style="180"/>
    <col min="9217" max="9217" width="15" style="180" customWidth="1"/>
    <col min="9218" max="9218" width="12.7109375" style="180" customWidth="1"/>
    <col min="9219" max="9219" width="11.7109375" style="180" customWidth="1"/>
    <col min="9220" max="9220" width="44.85546875" style="180" customWidth="1"/>
    <col min="9221" max="9221" width="54.7109375" style="180" customWidth="1"/>
    <col min="9222" max="9222" width="15.28515625" style="180" customWidth="1"/>
    <col min="9223" max="9224" width="19.28515625" style="180" customWidth="1"/>
    <col min="9225" max="9225" width="13.85546875" style="180" customWidth="1"/>
    <col min="9226" max="9226" width="25.28515625" style="180" customWidth="1"/>
    <col min="9227" max="9227" width="16.28515625" style="180" customWidth="1"/>
    <col min="9228" max="9472" width="9.28515625" style="180"/>
    <col min="9473" max="9473" width="15" style="180" customWidth="1"/>
    <col min="9474" max="9474" width="12.7109375" style="180" customWidth="1"/>
    <col min="9475" max="9475" width="11.7109375" style="180" customWidth="1"/>
    <col min="9476" max="9476" width="44.85546875" style="180" customWidth="1"/>
    <col min="9477" max="9477" width="54.7109375" style="180" customWidth="1"/>
    <col min="9478" max="9478" width="15.28515625" style="180" customWidth="1"/>
    <col min="9479" max="9480" width="19.28515625" style="180" customWidth="1"/>
    <col min="9481" max="9481" width="13.85546875" style="180" customWidth="1"/>
    <col min="9482" max="9482" width="25.28515625" style="180" customWidth="1"/>
    <col min="9483" max="9483" width="16.28515625" style="180" customWidth="1"/>
    <col min="9484" max="9728" width="9.28515625" style="180"/>
    <col min="9729" max="9729" width="15" style="180" customWidth="1"/>
    <col min="9730" max="9730" width="12.7109375" style="180" customWidth="1"/>
    <col min="9731" max="9731" width="11.7109375" style="180" customWidth="1"/>
    <col min="9732" max="9732" width="44.85546875" style="180" customWidth="1"/>
    <col min="9733" max="9733" width="54.7109375" style="180" customWidth="1"/>
    <col min="9734" max="9734" width="15.28515625" style="180" customWidth="1"/>
    <col min="9735" max="9736" width="19.28515625" style="180" customWidth="1"/>
    <col min="9737" max="9737" width="13.85546875" style="180" customWidth="1"/>
    <col min="9738" max="9738" width="25.28515625" style="180" customWidth="1"/>
    <col min="9739" max="9739" width="16.28515625" style="180" customWidth="1"/>
    <col min="9740" max="9984" width="9.28515625" style="180"/>
    <col min="9985" max="9985" width="15" style="180" customWidth="1"/>
    <col min="9986" max="9986" width="12.7109375" style="180" customWidth="1"/>
    <col min="9987" max="9987" width="11.7109375" style="180" customWidth="1"/>
    <col min="9988" max="9988" width="44.85546875" style="180" customWidth="1"/>
    <col min="9989" max="9989" width="54.7109375" style="180" customWidth="1"/>
    <col min="9990" max="9990" width="15.28515625" style="180" customWidth="1"/>
    <col min="9991" max="9992" width="19.28515625" style="180" customWidth="1"/>
    <col min="9993" max="9993" width="13.85546875" style="180" customWidth="1"/>
    <col min="9994" max="9994" width="25.28515625" style="180" customWidth="1"/>
    <col min="9995" max="9995" width="16.28515625" style="180" customWidth="1"/>
    <col min="9996" max="10240" width="9.28515625" style="180"/>
    <col min="10241" max="10241" width="15" style="180" customWidth="1"/>
    <col min="10242" max="10242" width="12.7109375" style="180" customWidth="1"/>
    <col min="10243" max="10243" width="11.7109375" style="180" customWidth="1"/>
    <col min="10244" max="10244" width="44.85546875" style="180" customWidth="1"/>
    <col min="10245" max="10245" width="54.7109375" style="180" customWidth="1"/>
    <col min="10246" max="10246" width="15.28515625" style="180" customWidth="1"/>
    <col min="10247" max="10248" width="19.28515625" style="180" customWidth="1"/>
    <col min="10249" max="10249" width="13.85546875" style="180" customWidth="1"/>
    <col min="10250" max="10250" width="25.28515625" style="180" customWidth="1"/>
    <col min="10251" max="10251" width="16.28515625" style="180" customWidth="1"/>
    <col min="10252" max="10496" width="9.28515625" style="180"/>
    <col min="10497" max="10497" width="15" style="180" customWidth="1"/>
    <col min="10498" max="10498" width="12.7109375" style="180" customWidth="1"/>
    <col min="10499" max="10499" width="11.7109375" style="180" customWidth="1"/>
    <col min="10500" max="10500" width="44.85546875" style="180" customWidth="1"/>
    <col min="10501" max="10501" width="54.7109375" style="180" customWidth="1"/>
    <col min="10502" max="10502" width="15.28515625" style="180" customWidth="1"/>
    <col min="10503" max="10504" width="19.28515625" style="180" customWidth="1"/>
    <col min="10505" max="10505" width="13.85546875" style="180" customWidth="1"/>
    <col min="10506" max="10506" width="25.28515625" style="180" customWidth="1"/>
    <col min="10507" max="10507" width="16.28515625" style="180" customWidth="1"/>
    <col min="10508" max="10752" width="9.28515625" style="180"/>
    <col min="10753" max="10753" width="15" style="180" customWidth="1"/>
    <col min="10754" max="10754" width="12.7109375" style="180" customWidth="1"/>
    <col min="10755" max="10755" width="11.7109375" style="180" customWidth="1"/>
    <col min="10756" max="10756" width="44.85546875" style="180" customWidth="1"/>
    <col min="10757" max="10757" width="54.7109375" style="180" customWidth="1"/>
    <col min="10758" max="10758" width="15.28515625" style="180" customWidth="1"/>
    <col min="10759" max="10760" width="19.28515625" style="180" customWidth="1"/>
    <col min="10761" max="10761" width="13.85546875" style="180" customWidth="1"/>
    <col min="10762" max="10762" width="25.28515625" style="180" customWidth="1"/>
    <col min="10763" max="10763" width="16.28515625" style="180" customWidth="1"/>
    <col min="10764" max="11008" width="9.28515625" style="180"/>
    <col min="11009" max="11009" width="15" style="180" customWidth="1"/>
    <col min="11010" max="11010" width="12.7109375" style="180" customWidth="1"/>
    <col min="11011" max="11011" width="11.7109375" style="180" customWidth="1"/>
    <col min="11012" max="11012" width="44.85546875" style="180" customWidth="1"/>
    <col min="11013" max="11013" width="54.7109375" style="180" customWidth="1"/>
    <col min="11014" max="11014" width="15.28515625" style="180" customWidth="1"/>
    <col min="11015" max="11016" width="19.28515625" style="180" customWidth="1"/>
    <col min="11017" max="11017" width="13.85546875" style="180" customWidth="1"/>
    <col min="11018" max="11018" width="25.28515625" style="180" customWidth="1"/>
    <col min="11019" max="11019" width="16.28515625" style="180" customWidth="1"/>
    <col min="11020" max="11264" width="9.28515625" style="180"/>
    <col min="11265" max="11265" width="15" style="180" customWidth="1"/>
    <col min="11266" max="11266" width="12.7109375" style="180" customWidth="1"/>
    <col min="11267" max="11267" width="11.7109375" style="180" customWidth="1"/>
    <col min="11268" max="11268" width="44.85546875" style="180" customWidth="1"/>
    <col min="11269" max="11269" width="54.7109375" style="180" customWidth="1"/>
    <col min="11270" max="11270" width="15.28515625" style="180" customWidth="1"/>
    <col min="11271" max="11272" width="19.28515625" style="180" customWidth="1"/>
    <col min="11273" max="11273" width="13.85546875" style="180" customWidth="1"/>
    <col min="11274" max="11274" width="25.28515625" style="180" customWidth="1"/>
    <col min="11275" max="11275" width="16.28515625" style="180" customWidth="1"/>
    <col min="11276" max="11520" width="9.28515625" style="180"/>
    <col min="11521" max="11521" width="15" style="180" customWidth="1"/>
    <col min="11522" max="11522" width="12.7109375" style="180" customWidth="1"/>
    <col min="11523" max="11523" width="11.7109375" style="180" customWidth="1"/>
    <col min="11524" max="11524" width="44.85546875" style="180" customWidth="1"/>
    <col min="11525" max="11525" width="54.7109375" style="180" customWidth="1"/>
    <col min="11526" max="11526" width="15.28515625" style="180" customWidth="1"/>
    <col min="11527" max="11528" width="19.28515625" style="180" customWidth="1"/>
    <col min="11529" max="11529" width="13.85546875" style="180" customWidth="1"/>
    <col min="11530" max="11530" width="25.28515625" style="180" customWidth="1"/>
    <col min="11531" max="11531" width="16.28515625" style="180" customWidth="1"/>
    <col min="11532" max="11776" width="9.28515625" style="180"/>
    <col min="11777" max="11777" width="15" style="180" customWidth="1"/>
    <col min="11778" max="11778" width="12.7109375" style="180" customWidth="1"/>
    <col min="11779" max="11779" width="11.7109375" style="180" customWidth="1"/>
    <col min="11780" max="11780" width="44.85546875" style="180" customWidth="1"/>
    <col min="11781" max="11781" width="54.7109375" style="180" customWidth="1"/>
    <col min="11782" max="11782" width="15.28515625" style="180" customWidth="1"/>
    <col min="11783" max="11784" width="19.28515625" style="180" customWidth="1"/>
    <col min="11785" max="11785" width="13.85546875" style="180" customWidth="1"/>
    <col min="11786" max="11786" width="25.28515625" style="180" customWidth="1"/>
    <col min="11787" max="11787" width="16.28515625" style="180" customWidth="1"/>
    <col min="11788" max="12032" width="9.28515625" style="180"/>
    <col min="12033" max="12033" width="15" style="180" customWidth="1"/>
    <col min="12034" max="12034" width="12.7109375" style="180" customWidth="1"/>
    <col min="12035" max="12035" width="11.7109375" style="180" customWidth="1"/>
    <col min="12036" max="12036" width="44.85546875" style="180" customWidth="1"/>
    <col min="12037" max="12037" width="54.7109375" style="180" customWidth="1"/>
    <col min="12038" max="12038" width="15.28515625" style="180" customWidth="1"/>
    <col min="12039" max="12040" width="19.28515625" style="180" customWidth="1"/>
    <col min="12041" max="12041" width="13.85546875" style="180" customWidth="1"/>
    <col min="12042" max="12042" width="25.28515625" style="180" customWidth="1"/>
    <col min="12043" max="12043" width="16.28515625" style="180" customWidth="1"/>
    <col min="12044" max="12288" width="9.28515625" style="180"/>
    <col min="12289" max="12289" width="15" style="180" customWidth="1"/>
    <col min="12290" max="12290" width="12.7109375" style="180" customWidth="1"/>
    <col min="12291" max="12291" width="11.7109375" style="180" customWidth="1"/>
    <col min="12292" max="12292" width="44.85546875" style="180" customWidth="1"/>
    <col min="12293" max="12293" width="54.7109375" style="180" customWidth="1"/>
    <col min="12294" max="12294" width="15.28515625" style="180" customWidth="1"/>
    <col min="12295" max="12296" width="19.28515625" style="180" customWidth="1"/>
    <col min="12297" max="12297" width="13.85546875" style="180" customWidth="1"/>
    <col min="12298" max="12298" width="25.28515625" style="180" customWidth="1"/>
    <col min="12299" max="12299" width="16.28515625" style="180" customWidth="1"/>
    <col min="12300" max="12544" width="9.28515625" style="180"/>
    <col min="12545" max="12545" width="15" style="180" customWidth="1"/>
    <col min="12546" max="12546" width="12.7109375" style="180" customWidth="1"/>
    <col min="12547" max="12547" width="11.7109375" style="180" customWidth="1"/>
    <col min="12548" max="12548" width="44.85546875" style="180" customWidth="1"/>
    <col min="12549" max="12549" width="54.7109375" style="180" customWidth="1"/>
    <col min="12550" max="12550" width="15.28515625" style="180" customWidth="1"/>
    <col min="12551" max="12552" width="19.28515625" style="180" customWidth="1"/>
    <col min="12553" max="12553" width="13.85546875" style="180" customWidth="1"/>
    <col min="12554" max="12554" width="25.28515625" style="180" customWidth="1"/>
    <col min="12555" max="12555" width="16.28515625" style="180" customWidth="1"/>
    <col min="12556" max="12800" width="9.28515625" style="180"/>
    <col min="12801" max="12801" width="15" style="180" customWidth="1"/>
    <col min="12802" max="12802" width="12.7109375" style="180" customWidth="1"/>
    <col min="12803" max="12803" width="11.7109375" style="180" customWidth="1"/>
    <col min="12804" max="12804" width="44.85546875" style="180" customWidth="1"/>
    <col min="12805" max="12805" width="54.7109375" style="180" customWidth="1"/>
    <col min="12806" max="12806" width="15.28515625" style="180" customWidth="1"/>
    <col min="12807" max="12808" width="19.28515625" style="180" customWidth="1"/>
    <col min="12809" max="12809" width="13.85546875" style="180" customWidth="1"/>
    <col min="12810" max="12810" width="25.28515625" style="180" customWidth="1"/>
    <col min="12811" max="12811" width="16.28515625" style="180" customWidth="1"/>
    <col min="12812" max="13056" width="9.28515625" style="180"/>
    <col min="13057" max="13057" width="15" style="180" customWidth="1"/>
    <col min="13058" max="13058" width="12.7109375" style="180" customWidth="1"/>
    <col min="13059" max="13059" width="11.7109375" style="180" customWidth="1"/>
    <col min="13060" max="13060" width="44.85546875" style="180" customWidth="1"/>
    <col min="13061" max="13061" width="54.7109375" style="180" customWidth="1"/>
    <col min="13062" max="13062" width="15.28515625" style="180" customWidth="1"/>
    <col min="13063" max="13064" width="19.28515625" style="180" customWidth="1"/>
    <col min="13065" max="13065" width="13.85546875" style="180" customWidth="1"/>
    <col min="13066" max="13066" width="25.28515625" style="180" customWidth="1"/>
    <col min="13067" max="13067" width="16.28515625" style="180" customWidth="1"/>
    <col min="13068" max="13312" width="9.28515625" style="180"/>
    <col min="13313" max="13313" width="15" style="180" customWidth="1"/>
    <col min="13314" max="13314" width="12.7109375" style="180" customWidth="1"/>
    <col min="13315" max="13315" width="11.7109375" style="180" customWidth="1"/>
    <col min="13316" max="13316" width="44.85546875" style="180" customWidth="1"/>
    <col min="13317" max="13317" width="54.7109375" style="180" customWidth="1"/>
    <col min="13318" max="13318" width="15.28515625" style="180" customWidth="1"/>
    <col min="13319" max="13320" width="19.28515625" style="180" customWidth="1"/>
    <col min="13321" max="13321" width="13.85546875" style="180" customWidth="1"/>
    <col min="13322" max="13322" width="25.28515625" style="180" customWidth="1"/>
    <col min="13323" max="13323" width="16.28515625" style="180" customWidth="1"/>
    <col min="13324" max="13568" width="9.28515625" style="180"/>
    <col min="13569" max="13569" width="15" style="180" customWidth="1"/>
    <col min="13570" max="13570" width="12.7109375" style="180" customWidth="1"/>
    <col min="13571" max="13571" width="11.7109375" style="180" customWidth="1"/>
    <col min="13572" max="13572" width="44.85546875" style="180" customWidth="1"/>
    <col min="13573" max="13573" width="54.7109375" style="180" customWidth="1"/>
    <col min="13574" max="13574" width="15.28515625" style="180" customWidth="1"/>
    <col min="13575" max="13576" width="19.28515625" style="180" customWidth="1"/>
    <col min="13577" max="13577" width="13.85546875" style="180" customWidth="1"/>
    <col min="13578" max="13578" width="25.28515625" style="180" customWidth="1"/>
    <col min="13579" max="13579" width="16.28515625" style="180" customWidth="1"/>
    <col min="13580" max="13824" width="9.28515625" style="180"/>
    <col min="13825" max="13825" width="15" style="180" customWidth="1"/>
    <col min="13826" max="13826" width="12.7109375" style="180" customWidth="1"/>
    <col min="13827" max="13827" width="11.7109375" style="180" customWidth="1"/>
    <col min="13828" max="13828" width="44.85546875" style="180" customWidth="1"/>
    <col min="13829" max="13829" width="54.7109375" style="180" customWidth="1"/>
    <col min="13830" max="13830" width="15.28515625" style="180" customWidth="1"/>
    <col min="13831" max="13832" width="19.28515625" style="180" customWidth="1"/>
    <col min="13833" max="13833" width="13.85546875" style="180" customWidth="1"/>
    <col min="13834" max="13834" width="25.28515625" style="180" customWidth="1"/>
    <col min="13835" max="13835" width="16.28515625" style="180" customWidth="1"/>
    <col min="13836" max="14080" width="9.28515625" style="180"/>
    <col min="14081" max="14081" width="15" style="180" customWidth="1"/>
    <col min="14082" max="14082" width="12.7109375" style="180" customWidth="1"/>
    <col min="14083" max="14083" width="11.7109375" style="180" customWidth="1"/>
    <col min="14084" max="14084" width="44.85546875" style="180" customWidth="1"/>
    <col min="14085" max="14085" width="54.7109375" style="180" customWidth="1"/>
    <col min="14086" max="14086" width="15.28515625" style="180" customWidth="1"/>
    <col min="14087" max="14088" width="19.28515625" style="180" customWidth="1"/>
    <col min="14089" max="14089" width="13.85546875" style="180" customWidth="1"/>
    <col min="14090" max="14090" width="25.28515625" style="180" customWidth="1"/>
    <col min="14091" max="14091" width="16.28515625" style="180" customWidth="1"/>
    <col min="14092" max="14336" width="9.28515625" style="180"/>
    <col min="14337" max="14337" width="15" style="180" customWidth="1"/>
    <col min="14338" max="14338" width="12.7109375" style="180" customWidth="1"/>
    <col min="14339" max="14339" width="11.7109375" style="180" customWidth="1"/>
    <col min="14340" max="14340" width="44.85546875" style="180" customWidth="1"/>
    <col min="14341" max="14341" width="54.7109375" style="180" customWidth="1"/>
    <col min="14342" max="14342" width="15.28515625" style="180" customWidth="1"/>
    <col min="14343" max="14344" width="19.28515625" style="180" customWidth="1"/>
    <col min="14345" max="14345" width="13.85546875" style="180" customWidth="1"/>
    <col min="14346" max="14346" width="25.28515625" style="180" customWidth="1"/>
    <col min="14347" max="14347" width="16.28515625" style="180" customWidth="1"/>
    <col min="14348" max="14592" width="9.28515625" style="180"/>
    <col min="14593" max="14593" width="15" style="180" customWidth="1"/>
    <col min="14594" max="14594" width="12.7109375" style="180" customWidth="1"/>
    <col min="14595" max="14595" width="11.7109375" style="180" customWidth="1"/>
    <col min="14596" max="14596" width="44.85546875" style="180" customWidth="1"/>
    <col min="14597" max="14597" width="54.7109375" style="180" customWidth="1"/>
    <col min="14598" max="14598" width="15.28515625" style="180" customWidth="1"/>
    <col min="14599" max="14600" width="19.28515625" style="180" customWidth="1"/>
    <col min="14601" max="14601" width="13.85546875" style="180" customWidth="1"/>
    <col min="14602" max="14602" width="25.28515625" style="180" customWidth="1"/>
    <col min="14603" max="14603" width="16.28515625" style="180" customWidth="1"/>
    <col min="14604" max="14848" width="9.28515625" style="180"/>
    <col min="14849" max="14849" width="15" style="180" customWidth="1"/>
    <col min="14850" max="14850" width="12.7109375" style="180" customWidth="1"/>
    <col min="14851" max="14851" width="11.7109375" style="180" customWidth="1"/>
    <col min="14852" max="14852" width="44.85546875" style="180" customWidth="1"/>
    <col min="14853" max="14853" width="54.7109375" style="180" customWidth="1"/>
    <col min="14854" max="14854" width="15.28515625" style="180" customWidth="1"/>
    <col min="14855" max="14856" width="19.28515625" style="180" customWidth="1"/>
    <col min="14857" max="14857" width="13.85546875" style="180" customWidth="1"/>
    <col min="14858" max="14858" width="25.28515625" style="180" customWidth="1"/>
    <col min="14859" max="14859" width="16.28515625" style="180" customWidth="1"/>
    <col min="14860" max="15104" width="9.28515625" style="180"/>
    <col min="15105" max="15105" width="15" style="180" customWidth="1"/>
    <col min="15106" max="15106" width="12.7109375" style="180" customWidth="1"/>
    <col min="15107" max="15107" width="11.7109375" style="180" customWidth="1"/>
    <col min="15108" max="15108" width="44.85546875" style="180" customWidth="1"/>
    <col min="15109" max="15109" width="54.7109375" style="180" customWidth="1"/>
    <col min="15110" max="15110" width="15.28515625" style="180" customWidth="1"/>
    <col min="15111" max="15112" width="19.28515625" style="180" customWidth="1"/>
    <col min="15113" max="15113" width="13.85546875" style="180" customWidth="1"/>
    <col min="15114" max="15114" width="25.28515625" style="180" customWidth="1"/>
    <col min="15115" max="15115" width="16.28515625" style="180" customWidth="1"/>
    <col min="15116" max="15360" width="9.28515625" style="180"/>
    <col min="15361" max="15361" width="15" style="180" customWidth="1"/>
    <col min="15362" max="15362" width="12.7109375" style="180" customWidth="1"/>
    <col min="15363" max="15363" width="11.7109375" style="180" customWidth="1"/>
    <col min="15364" max="15364" width="44.85546875" style="180" customWidth="1"/>
    <col min="15365" max="15365" width="54.7109375" style="180" customWidth="1"/>
    <col min="15366" max="15366" width="15.28515625" style="180" customWidth="1"/>
    <col min="15367" max="15368" width="19.28515625" style="180" customWidth="1"/>
    <col min="15369" max="15369" width="13.85546875" style="180" customWidth="1"/>
    <col min="15370" max="15370" width="25.28515625" style="180" customWidth="1"/>
    <col min="15371" max="15371" width="16.28515625" style="180" customWidth="1"/>
    <col min="15372" max="15616" width="9.28515625" style="180"/>
    <col min="15617" max="15617" width="15" style="180" customWidth="1"/>
    <col min="15618" max="15618" width="12.7109375" style="180" customWidth="1"/>
    <col min="15619" max="15619" width="11.7109375" style="180" customWidth="1"/>
    <col min="15620" max="15620" width="44.85546875" style="180" customWidth="1"/>
    <col min="15621" max="15621" width="54.7109375" style="180" customWidth="1"/>
    <col min="15622" max="15622" width="15.28515625" style="180" customWidth="1"/>
    <col min="15623" max="15624" width="19.28515625" style="180" customWidth="1"/>
    <col min="15625" max="15625" width="13.85546875" style="180" customWidth="1"/>
    <col min="15626" max="15626" width="25.28515625" style="180" customWidth="1"/>
    <col min="15627" max="15627" width="16.28515625" style="180" customWidth="1"/>
    <col min="15628" max="15872" width="9.28515625" style="180"/>
    <col min="15873" max="15873" width="15" style="180" customWidth="1"/>
    <col min="15874" max="15874" width="12.7109375" style="180" customWidth="1"/>
    <col min="15875" max="15875" width="11.7109375" style="180" customWidth="1"/>
    <col min="15876" max="15876" width="44.85546875" style="180" customWidth="1"/>
    <col min="15877" max="15877" width="54.7109375" style="180" customWidth="1"/>
    <col min="15878" max="15878" width="15.28515625" style="180" customWidth="1"/>
    <col min="15879" max="15880" width="19.28515625" style="180" customWidth="1"/>
    <col min="15881" max="15881" width="13.85546875" style="180" customWidth="1"/>
    <col min="15882" max="15882" width="25.28515625" style="180" customWidth="1"/>
    <col min="15883" max="15883" width="16.28515625" style="180" customWidth="1"/>
    <col min="15884" max="16128" width="9.28515625" style="180"/>
    <col min="16129" max="16129" width="15" style="180" customWidth="1"/>
    <col min="16130" max="16130" width="12.7109375" style="180" customWidth="1"/>
    <col min="16131" max="16131" width="11.7109375" style="180" customWidth="1"/>
    <col min="16132" max="16132" width="44.85546875" style="180" customWidth="1"/>
    <col min="16133" max="16133" width="54.7109375" style="180" customWidth="1"/>
    <col min="16134" max="16134" width="15.28515625" style="180" customWidth="1"/>
    <col min="16135" max="16136" width="19.28515625" style="180" customWidth="1"/>
    <col min="16137" max="16137" width="13.85546875" style="180" customWidth="1"/>
    <col min="16138" max="16138" width="25.28515625" style="180" customWidth="1"/>
    <col min="16139" max="16139" width="16.28515625" style="180" customWidth="1"/>
    <col min="16140" max="16384" width="9.28515625" style="180"/>
  </cols>
  <sheetData>
    <row r="1" spans="7:11" ht="22.9" customHeight="1" x14ac:dyDescent="0.25">
      <c r="I1" s="3" t="s">
        <v>578</v>
      </c>
      <c r="J1" s="4"/>
    </row>
    <row r="2" spans="7:11" s="10" customFormat="1" ht="15.75" x14ac:dyDescent="0.25">
      <c r="I2" s="3" t="s">
        <v>359</v>
      </c>
      <c r="J2" s="4"/>
    </row>
    <row r="3" spans="7:11" s="10" customFormat="1" ht="15.75" x14ac:dyDescent="0.25">
      <c r="I3" s="3" t="s">
        <v>609</v>
      </c>
      <c r="J3" s="4"/>
    </row>
    <row r="4" spans="7:11" s="10" customFormat="1" ht="15.75" x14ac:dyDescent="0.25">
      <c r="I4" s="367" t="s">
        <v>681</v>
      </c>
      <c r="J4" s="7"/>
    </row>
    <row r="5" spans="7:11" s="10" customFormat="1" ht="15.75" x14ac:dyDescent="0.25">
      <c r="I5" s="6" t="s">
        <v>682</v>
      </c>
      <c r="J5" s="368"/>
    </row>
    <row r="6" spans="7:11" s="10" customFormat="1" ht="15.75" x14ac:dyDescent="0.25">
      <c r="I6" s="745" t="s">
        <v>415</v>
      </c>
      <c r="J6" s="745"/>
    </row>
    <row r="7" spans="7:11" s="10" customFormat="1" x14ac:dyDescent="0.25"/>
    <row r="8" spans="7:11" ht="15.75" x14ac:dyDescent="0.25">
      <c r="I8" s="3" t="s">
        <v>452</v>
      </c>
      <c r="J8" s="4"/>
    </row>
    <row r="9" spans="7:11" ht="15.75" x14ac:dyDescent="0.25">
      <c r="I9" s="3" t="s">
        <v>360</v>
      </c>
      <c r="J9" s="4"/>
    </row>
    <row r="10" spans="7:11" ht="15.75" x14ac:dyDescent="0.25">
      <c r="I10" s="745" t="s">
        <v>8</v>
      </c>
      <c r="J10" s="745"/>
      <c r="K10" s="745"/>
    </row>
    <row r="11" spans="7:11" ht="15.75" x14ac:dyDescent="0.25">
      <c r="I11" s="745" t="s">
        <v>315</v>
      </c>
      <c r="J11" s="745"/>
      <c r="K11" s="745"/>
    </row>
    <row r="12" spans="7:11" ht="15.75" x14ac:dyDescent="0.25">
      <c r="I12" s="367" t="s">
        <v>454</v>
      </c>
      <c r="J12" s="7"/>
    </row>
    <row r="13" spans="7:11" ht="15.75" x14ac:dyDescent="0.25">
      <c r="I13" s="6" t="s">
        <v>376</v>
      </c>
      <c r="J13" s="368"/>
    </row>
    <row r="14" spans="7:11" ht="15.75" x14ac:dyDescent="0.25">
      <c r="I14" s="698" t="s">
        <v>453</v>
      </c>
      <c r="J14" s="698"/>
    </row>
    <row r="15" spans="7:11" ht="14.1" customHeight="1" x14ac:dyDescent="0.25">
      <c r="G15" s="184"/>
      <c r="H15" s="184"/>
      <c r="I15" s="54"/>
      <c r="K15" s="180"/>
    </row>
    <row r="16" spans="7:11" ht="18.600000000000001" customHeight="1" x14ac:dyDescent="0.25">
      <c r="G16" s="184"/>
      <c r="H16" s="184"/>
      <c r="I16" s="54"/>
      <c r="K16" s="180"/>
    </row>
    <row r="17" spans="1:11" ht="15.75" x14ac:dyDescent="0.25">
      <c r="G17" s="184"/>
      <c r="H17" s="184"/>
      <c r="I17" s="369"/>
      <c r="K17" s="180"/>
    </row>
    <row r="18" spans="1:11" ht="27" customHeight="1" x14ac:dyDescent="0.25">
      <c r="A18" s="786" t="s">
        <v>337</v>
      </c>
      <c r="B18" s="786"/>
      <c r="C18" s="786"/>
      <c r="D18" s="786"/>
      <c r="E18" s="786"/>
      <c r="F18" s="786"/>
      <c r="G18" s="786"/>
      <c r="H18" s="786"/>
      <c r="I18" s="786"/>
      <c r="J18" s="786"/>
      <c r="K18" s="786"/>
    </row>
    <row r="19" spans="1:11" ht="28.35" customHeight="1" x14ac:dyDescent="0.25">
      <c r="A19" s="787">
        <v>1559100000</v>
      </c>
      <c r="B19" s="787"/>
      <c r="C19" s="787"/>
      <c r="D19" s="788"/>
      <c r="E19" s="788"/>
      <c r="F19" s="788"/>
      <c r="G19" s="788"/>
      <c r="H19" s="788"/>
      <c r="I19" s="788"/>
      <c r="J19" s="788"/>
      <c r="K19" s="788"/>
    </row>
    <row r="20" spans="1:11" ht="22.15" customHeight="1" thickBot="1" x14ac:dyDescent="0.3">
      <c r="A20" s="805" t="s">
        <v>0</v>
      </c>
      <c r="B20" s="805"/>
      <c r="C20" s="805"/>
      <c r="D20" s="177"/>
      <c r="E20" s="177"/>
      <c r="F20" s="187"/>
      <c r="G20" s="177"/>
      <c r="H20" s="177"/>
      <c r="I20" s="177"/>
      <c r="J20" s="177"/>
      <c r="K20" s="188" t="s">
        <v>1</v>
      </c>
    </row>
    <row r="21" spans="1:11" s="54" customFormat="1" ht="77.25" customHeight="1" x14ac:dyDescent="0.25">
      <c r="A21" s="789" t="s">
        <v>10</v>
      </c>
      <c r="B21" s="791" t="s">
        <v>11</v>
      </c>
      <c r="C21" s="793" t="s">
        <v>165</v>
      </c>
      <c r="D21" s="791" t="s">
        <v>166</v>
      </c>
      <c r="E21" s="793" t="s">
        <v>429</v>
      </c>
      <c r="F21" s="791" t="s">
        <v>167</v>
      </c>
      <c r="G21" s="793" t="s">
        <v>168</v>
      </c>
      <c r="H21" s="795" t="s">
        <v>169</v>
      </c>
      <c r="I21" s="791" t="s">
        <v>170</v>
      </c>
      <c r="J21" s="795" t="s">
        <v>171</v>
      </c>
      <c r="K21" s="806" t="s">
        <v>172</v>
      </c>
    </row>
    <row r="22" spans="1:11" s="54" customFormat="1" ht="141" customHeight="1" thickBot="1" x14ac:dyDescent="0.3">
      <c r="A22" s="790"/>
      <c r="B22" s="792"/>
      <c r="C22" s="794"/>
      <c r="D22" s="792"/>
      <c r="E22" s="794"/>
      <c r="F22" s="792"/>
      <c r="G22" s="794"/>
      <c r="H22" s="796"/>
      <c r="I22" s="792"/>
      <c r="J22" s="796"/>
      <c r="K22" s="807"/>
    </row>
    <row r="23" spans="1:11" s="193" customFormat="1" ht="24" customHeight="1" thickBot="1" x14ac:dyDescent="0.3">
      <c r="A23" s="189" t="s">
        <v>173</v>
      </c>
      <c r="B23" s="178" t="s">
        <v>174</v>
      </c>
      <c r="C23" s="190" t="s">
        <v>175</v>
      </c>
      <c r="D23" s="178" t="s">
        <v>208</v>
      </c>
      <c r="E23" s="178" t="s">
        <v>176</v>
      </c>
      <c r="F23" s="178" t="s">
        <v>177</v>
      </c>
      <c r="G23" s="178" t="s">
        <v>178</v>
      </c>
      <c r="H23" s="190" t="s">
        <v>179</v>
      </c>
      <c r="I23" s="190" t="s">
        <v>180</v>
      </c>
      <c r="J23" s="191">
        <v>10</v>
      </c>
      <c r="K23" s="192">
        <v>11</v>
      </c>
    </row>
    <row r="24" spans="1:11" s="193" customFormat="1" ht="64.150000000000006" customHeight="1" thickBot="1" x14ac:dyDescent="0.3">
      <c r="A24" s="97" t="s">
        <v>15</v>
      </c>
      <c r="B24" s="194"/>
      <c r="C24" s="195"/>
      <c r="D24" s="425" t="s">
        <v>368</v>
      </c>
      <c r="E24" s="98"/>
      <c r="F24" s="99"/>
      <c r="G24" s="100"/>
      <c r="H24" s="101"/>
      <c r="I24" s="101"/>
      <c r="J24" s="102">
        <f>J25</f>
        <v>23422413</v>
      </c>
      <c r="K24" s="103"/>
    </row>
    <row r="25" spans="1:11" s="193" customFormat="1" ht="60" customHeight="1" x14ac:dyDescent="0.25">
      <c r="A25" s="104" t="s">
        <v>17</v>
      </c>
      <c r="B25" s="196"/>
      <c r="C25" s="196"/>
      <c r="D25" s="370" t="s">
        <v>338</v>
      </c>
      <c r="E25" s="105"/>
      <c r="F25" s="106"/>
      <c r="G25" s="107"/>
      <c r="H25" s="108"/>
      <c r="I25" s="108"/>
      <c r="J25" s="109">
        <f>SUM(J26:J32)</f>
        <v>23422413</v>
      </c>
      <c r="K25" s="110"/>
    </row>
    <row r="26" spans="1:11" s="193" customFormat="1" ht="54" customHeight="1" x14ac:dyDescent="0.25">
      <c r="A26" s="424" t="s">
        <v>19</v>
      </c>
      <c r="B26" s="371" t="s">
        <v>20</v>
      </c>
      <c r="C26" s="371" t="s">
        <v>21</v>
      </c>
      <c r="D26" s="372" t="s">
        <v>22</v>
      </c>
      <c r="E26" s="373" t="s">
        <v>339</v>
      </c>
      <c r="F26" s="317"/>
      <c r="G26" s="210"/>
      <c r="H26" s="210"/>
      <c r="I26" s="210"/>
      <c r="J26" s="241">
        <f>1548687-1468793</f>
        <v>79894</v>
      </c>
      <c r="K26" s="341"/>
    </row>
    <row r="27" spans="1:11" s="193" customFormat="1" ht="71.45" customHeight="1" x14ac:dyDescent="0.25">
      <c r="A27" s="424" t="s">
        <v>23</v>
      </c>
      <c r="B27" s="371" t="s">
        <v>24</v>
      </c>
      <c r="C27" s="346" t="s">
        <v>25</v>
      </c>
      <c r="D27" s="374" t="s">
        <v>26</v>
      </c>
      <c r="E27" s="373" t="s">
        <v>339</v>
      </c>
      <c r="F27" s="317"/>
      <c r="G27" s="210"/>
      <c r="H27" s="210"/>
      <c r="I27" s="210"/>
      <c r="J27" s="241">
        <f>173298+86600</f>
        <v>259898</v>
      </c>
      <c r="K27" s="341"/>
    </row>
    <row r="28" spans="1:11" s="193" customFormat="1" ht="64.150000000000006" customHeight="1" x14ac:dyDescent="0.25">
      <c r="A28" s="424" t="s">
        <v>30</v>
      </c>
      <c r="B28" s="371" t="s">
        <v>31</v>
      </c>
      <c r="C28" s="346" t="s">
        <v>32</v>
      </c>
      <c r="D28" s="374" t="s">
        <v>470</v>
      </c>
      <c r="E28" s="240" t="s">
        <v>181</v>
      </c>
      <c r="F28" s="317"/>
      <c r="G28" s="210"/>
      <c r="H28" s="210"/>
      <c r="I28" s="210"/>
      <c r="J28" s="241">
        <f>657194+26604</f>
        <v>683798</v>
      </c>
      <c r="K28" s="341"/>
    </row>
    <row r="29" spans="1:11" s="193" customFormat="1" ht="71.25" customHeight="1" x14ac:dyDescent="0.25">
      <c r="A29" s="345" t="s">
        <v>288</v>
      </c>
      <c r="B29" s="346">
        <v>7650</v>
      </c>
      <c r="C29" s="346" t="s">
        <v>224</v>
      </c>
      <c r="D29" s="374" t="s">
        <v>289</v>
      </c>
      <c r="E29" s="373" t="s">
        <v>295</v>
      </c>
      <c r="F29" s="317"/>
      <c r="G29" s="210"/>
      <c r="H29" s="210"/>
      <c r="I29" s="210"/>
      <c r="J29" s="241">
        <v>57000</v>
      </c>
      <c r="K29" s="341"/>
    </row>
    <row r="30" spans="1:11" s="193" customFormat="1" ht="99.75" customHeight="1" x14ac:dyDescent="0.25">
      <c r="A30" s="345" t="s">
        <v>290</v>
      </c>
      <c r="B30" s="346" t="s">
        <v>291</v>
      </c>
      <c r="C30" s="346" t="s">
        <v>224</v>
      </c>
      <c r="D30" s="374" t="s">
        <v>292</v>
      </c>
      <c r="E30" s="373" t="s">
        <v>295</v>
      </c>
      <c r="F30" s="317"/>
      <c r="G30" s="210"/>
      <c r="H30" s="210"/>
      <c r="I30" s="210"/>
      <c r="J30" s="241">
        <v>15200</v>
      </c>
      <c r="K30" s="341"/>
    </row>
    <row r="31" spans="1:11" s="193" customFormat="1" ht="81.599999999999994" customHeight="1" x14ac:dyDescent="0.25">
      <c r="A31" s="345" t="s">
        <v>400</v>
      </c>
      <c r="B31" s="346" t="s">
        <v>430</v>
      </c>
      <c r="C31" s="346" t="s">
        <v>36</v>
      </c>
      <c r="D31" s="374" t="s">
        <v>401</v>
      </c>
      <c r="E31" s="240" t="s">
        <v>181</v>
      </c>
      <c r="F31" s="317"/>
      <c r="G31" s="210"/>
      <c r="H31" s="210"/>
      <c r="I31" s="210"/>
      <c r="J31" s="241">
        <f>400444-216846</f>
        <v>183598</v>
      </c>
      <c r="K31" s="341"/>
    </row>
    <row r="32" spans="1:11" s="193" customFormat="1" ht="79.900000000000006" customHeight="1" thickBot="1" x14ac:dyDescent="0.3">
      <c r="A32" s="522" t="s">
        <v>462</v>
      </c>
      <c r="B32" s="458" t="s">
        <v>471</v>
      </c>
      <c r="C32" s="378" t="s">
        <v>267</v>
      </c>
      <c r="D32" s="374" t="s">
        <v>463</v>
      </c>
      <c r="E32" s="467" t="s">
        <v>472</v>
      </c>
      <c r="F32" s="313"/>
      <c r="G32" s="314"/>
      <c r="H32" s="314"/>
      <c r="I32" s="314"/>
      <c r="J32" s="392">
        <f>4560280+13196000+4636745-250000</f>
        <v>22143025</v>
      </c>
      <c r="K32" s="316"/>
    </row>
    <row r="33" spans="1:11" s="193" customFormat="1" ht="61.9" customHeight="1" thickBot="1" x14ac:dyDescent="0.3">
      <c r="A33" s="111" t="s">
        <v>41</v>
      </c>
      <c r="B33" s="468"/>
      <c r="C33" s="468"/>
      <c r="D33" s="521" t="s">
        <v>431</v>
      </c>
      <c r="E33" s="322"/>
      <c r="F33" s="323"/>
      <c r="G33" s="324"/>
      <c r="H33" s="324"/>
      <c r="I33" s="324"/>
      <c r="J33" s="330">
        <f>J34</f>
        <v>5071553</v>
      </c>
      <c r="K33" s="325"/>
    </row>
    <row r="34" spans="1:11" s="506" customFormat="1" ht="48" customHeight="1" x14ac:dyDescent="0.25">
      <c r="A34" s="197" t="s">
        <v>41</v>
      </c>
      <c r="B34" s="469"/>
      <c r="C34" s="469"/>
      <c r="D34" s="523" t="s">
        <v>431</v>
      </c>
      <c r="E34" s="332"/>
      <c r="F34" s="203"/>
      <c r="G34" s="333"/>
      <c r="H34" s="333"/>
      <c r="I34" s="333"/>
      <c r="J34" s="331">
        <f>J36+J39+J40+J41+J37+J38+J35</f>
        <v>5071553</v>
      </c>
      <c r="K34" s="343"/>
    </row>
    <row r="35" spans="1:11" s="506" customFormat="1" ht="69.75" customHeight="1" x14ac:dyDescent="0.25">
      <c r="A35" s="311" t="s">
        <v>227</v>
      </c>
      <c r="B35" s="666" t="s">
        <v>43</v>
      </c>
      <c r="C35" s="312" t="s">
        <v>18</v>
      </c>
      <c r="D35" s="374" t="s">
        <v>228</v>
      </c>
      <c r="E35" s="602" t="s">
        <v>181</v>
      </c>
      <c r="F35" s="203"/>
      <c r="G35" s="333"/>
      <c r="H35" s="333"/>
      <c r="I35" s="333"/>
      <c r="J35" s="331">
        <f>0+49510</f>
        <v>49510</v>
      </c>
      <c r="K35" s="343"/>
    </row>
    <row r="36" spans="1:11" s="506" customFormat="1" ht="62.25" customHeight="1" x14ac:dyDescent="0.25">
      <c r="A36" s="311" t="s">
        <v>44</v>
      </c>
      <c r="B36" s="312" t="s">
        <v>45</v>
      </c>
      <c r="C36" s="312" t="s">
        <v>46</v>
      </c>
      <c r="D36" s="374" t="s">
        <v>47</v>
      </c>
      <c r="E36" s="602" t="s">
        <v>181</v>
      </c>
      <c r="F36" s="203"/>
      <c r="G36" s="333"/>
      <c r="H36" s="333"/>
      <c r="I36" s="333"/>
      <c r="J36" s="331">
        <f>61425+156583</f>
        <v>218008</v>
      </c>
      <c r="K36" s="343"/>
    </row>
    <row r="37" spans="1:11" s="506" customFormat="1" ht="70.900000000000006" customHeight="1" x14ac:dyDescent="0.25">
      <c r="A37" s="345" t="s">
        <v>48</v>
      </c>
      <c r="B37" s="312">
        <v>1021</v>
      </c>
      <c r="C37" s="346" t="s">
        <v>50</v>
      </c>
      <c r="D37" s="374" t="s">
        <v>407</v>
      </c>
      <c r="E37" s="602" t="s">
        <v>181</v>
      </c>
      <c r="F37" s="203"/>
      <c r="G37" s="333"/>
      <c r="H37" s="333"/>
      <c r="I37" s="333"/>
      <c r="J37" s="331">
        <f>703463+124530</f>
        <v>827993</v>
      </c>
      <c r="K37" s="343"/>
    </row>
    <row r="38" spans="1:11" s="506" customFormat="1" ht="70.900000000000006" customHeight="1" x14ac:dyDescent="0.25">
      <c r="A38" s="345" t="s">
        <v>52</v>
      </c>
      <c r="B38" s="312">
        <v>1070</v>
      </c>
      <c r="C38" s="567" t="s">
        <v>54</v>
      </c>
      <c r="D38" s="374" t="s">
        <v>55</v>
      </c>
      <c r="E38" s="602" t="s">
        <v>181</v>
      </c>
      <c r="F38" s="203"/>
      <c r="G38" s="333"/>
      <c r="H38" s="333"/>
      <c r="I38" s="333"/>
      <c r="J38" s="331">
        <f>0+43899</f>
        <v>43899</v>
      </c>
      <c r="K38" s="343"/>
    </row>
    <row r="39" spans="1:11" s="193" customFormat="1" ht="138" customHeight="1" x14ac:dyDescent="0.25">
      <c r="A39" s="345" t="s">
        <v>402</v>
      </c>
      <c r="B39" s="346" t="s">
        <v>432</v>
      </c>
      <c r="C39" s="346" t="s">
        <v>56</v>
      </c>
      <c r="D39" s="524" t="s">
        <v>404</v>
      </c>
      <c r="E39" s="602" t="s">
        <v>181</v>
      </c>
      <c r="F39" s="317"/>
      <c r="G39" s="210"/>
      <c r="H39" s="210"/>
      <c r="I39" s="210"/>
      <c r="J39" s="241">
        <v>579643</v>
      </c>
      <c r="K39" s="341"/>
    </row>
    <row r="40" spans="1:11" s="193" customFormat="1" ht="133.9" customHeight="1" x14ac:dyDescent="0.25">
      <c r="A40" s="345" t="s">
        <v>403</v>
      </c>
      <c r="B40" s="346" t="s">
        <v>433</v>
      </c>
      <c r="C40" s="346" t="s">
        <v>56</v>
      </c>
      <c r="D40" s="524" t="s">
        <v>405</v>
      </c>
      <c r="E40" s="602" t="s">
        <v>181</v>
      </c>
      <c r="F40" s="317"/>
      <c r="G40" s="210"/>
      <c r="H40" s="210"/>
      <c r="I40" s="210"/>
      <c r="J40" s="241">
        <v>1352500</v>
      </c>
      <c r="K40" s="341"/>
    </row>
    <row r="41" spans="1:11" s="193" customFormat="1" ht="75" customHeight="1" thickBot="1" x14ac:dyDescent="0.3">
      <c r="A41" s="552" t="s">
        <v>572</v>
      </c>
      <c r="B41" s="410">
        <v>9750</v>
      </c>
      <c r="C41" s="378" t="s">
        <v>267</v>
      </c>
      <c r="D41" s="551" t="s">
        <v>573</v>
      </c>
      <c r="E41" s="467" t="s">
        <v>472</v>
      </c>
      <c r="F41" s="313"/>
      <c r="G41" s="314"/>
      <c r="H41" s="314"/>
      <c r="I41" s="314"/>
      <c r="J41" s="315">
        <v>2000000</v>
      </c>
      <c r="K41" s="316"/>
    </row>
    <row r="42" spans="1:11" s="193" customFormat="1" ht="66" customHeight="1" thickBot="1" x14ac:dyDescent="0.3">
      <c r="A42" s="318" t="s">
        <v>67</v>
      </c>
      <c r="B42" s="319" t="s">
        <v>16</v>
      </c>
      <c r="C42" s="319" t="s">
        <v>16</v>
      </c>
      <c r="D42" s="381" t="s">
        <v>340</v>
      </c>
      <c r="E42" s="322"/>
      <c r="F42" s="323"/>
      <c r="G42" s="324"/>
      <c r="H42" s="324"/>
      <c r="I42" s="324"/>
      <c r="J42" s="330">
        <f>J43</f>
        <v>392800</v>
      </c>
      <c r="K42" s="325"/>
    </row>
    <row r="43" spans="1:11" s="193" customFormat="1" ht="56.25" x14ac:dyDescent="0.25">
      <c r="A43" s="326" t="s">
        <v>68</v>
      </c>
      <c r="B43" s="327" t="s">
        <v>16</v>
      </c>
      <c r="C43" s="327" t="s">
        <v>16</v>
      </c>
      <c r="D43" s="377" t="s">
        <v>340</v>
      </c>
      <c r="E43" s="320"/>
      <c r="F43" s="202"/>
      <c r="G43" s="321"/>
      <c r="H43" s="321"/>
      <c r="I43" s="321"/>
      <c r="J43" s="331">
        <f>J44+J45</f>
        <v>392800</v>
      </c>
      <c r="K43" s="342"/>
    </row>
    <row r="44" spans="1:11" s="193" customFormat="1" ht="56.25" customHeight="1" x14ac:dyDescent="0.25">
      <c r="A44" s="328" t="s">
        <v>235</v>
      </c>
      <c r="B44" s="329" t="s">
        <v>236</v>
      </c>
      <c r="C44" s="329" t="s">
        <v>45</v>
      </c>
      <c r="D44" s="382" t="s">
        <v>237</v>
      </c>
      <c r="E44" s="383" t="s">
        <v>181</v>
      </c>
      <c r="F44" s="313"/>
      <c r="G44" s="314"/>
      <c r="H44" s="314"/>
      <c r="I44" s="314"/>
      <c r="J44" s="315">
        <f>58000+254000</f>
        <v>312000</v>
      </c>
      <c r="K44" s="316"/>
    </row>
    <row r="45" spans="1:11" s="193" customFormat="1" ht="99" customHeight="1" thickBot="1" x14ac:dyDescent="0.3">
      <c r="A45" s="597" t="s">
        <v>241</v>
      </c>
      <c r="B45" s="329">
        <v>3241</v>
      </c>
      <c r="C45" s="329">
        <v>1090</v>
      </c>
      <c r="D45" s="382" t="s">
        <v>382</v>
      </c>
      <c r="E45" s="383" t="s">
        <v>181</v>
      </c>
      <c r="F45" s="378"/>
      <c r="G45" s="379"/>
      <c r="H45" s="379"/>
      <c r="I45" s="379"/>
      <c r="J45" s="336">
        <f>34800+46000</f>
        <v>80800</v>
      </c>
      <c r="K45" s="380"/>
    </row>
    <row r="46" spans="1:11" s="193" customFormat="1" ht="66" customHeight="1" thickBot="1" x14ac:dyDescent="0.3">
      <c r="A46" s="375" t="s">
        <v>77</v>
      </c>
      <c r="B46" s="319" t="s">
        <v>16</v>
      </c>
      <c r="C46" s="319" t="s">
        <v>16</v>
      </c>
      <c r="D46" s="381" t="s">
        <v>455</v>
      </c>
      <c r="E46" s="322"/>
      <c r="F46" s="323"/>
      <c r="G46" s="324"/>
      <c r="H46" s="324"/>
      <c r="I46" s="324"/>
      <c r="J46" s="330">
        <f>J47</f>
        <v>23000</v>
      </c>
      <c r="K46" s="325"/>
    </row>
    <row r="47" spans="1:11" s="193" customFormat="1" ht="56.25" x14ac:dyDescent="0.25">
      <c r="A47" s="376" t="s">
        <v>78</v>
      </c>
      <c r="B47" s="327" t="s">
        <v>16</v>
      </c>
      <c r="C47" s="327" t="s">
        <v>16</v>
      </c>
      <c r="D47" s="377" t="s">
        <v>455</v>
      </c>
      <c r="E47" s="320"/>
      <c r="F47" s="202"/>
      <c r="G47" s="321"/>
      <c r="H47" s="321"/>
      <c r="I47" s="321"/>
      <c r="J47" s="331">
        <f>J48</f>
        <v>23000</v>
      </c>
      <c r="K47" s="342"/>
    </row>
    <row r="48" spans="1:11" s="193" customFormat="1" ht="56.25" customHeight="1" thickBot="1" x14ac:dyDescent="0.3">
      <c r="A48" s="345" t="s">
        <v>243</v>
      </c>
      <c r="B48" s="346" t="s">
        <v>43</v>
      </c>
      <c r="C48" s="346" t="s">
        <v>18</v>
      </c>
      <c r="D48" s="374" t="s">
        <v>228</v>
      </c>
      <c r="E48" s="373" t="s">
        <v>181</v>
      </c>
      <c r="F48" s="317"/>
      <c r="G48" s="210"/>
      <c r="H48" s="210"/>
      <c r="I48" s="210"/>
      <c r="J48" s="241">
        <v>23000</v>
      </c>
      <c r="K48" s="341"/>
    </row>
    <row r="49" spans="1:11" s="193" customFormat="1" ht="91.5" customHeight="1" thickBot="1" x14ac:dyDescent="0.3">
      <c r="A49" s="318" t="s">
        <v>82</v>
      </c>
      <c r="B49" s="319" t="s">
        <v>16</v>
      </c>
      <c r="C49" s="319" t="s">
        <v>16</v>
      </c>
      <c r="D49" s="381" t="s">
        <v>461</v>
      </c>
      <c r="E49" s="322"/>
      <c r="F49" s="323"/>
      <c r="G49" s="324"/>
      <c r="H49" s="324"/>
      <c r="I49" s="324"/>
      <c r="J49" s="330">
        <f>J50</f>
        <v>537009</v>
      </c>
      <c r="K49" s="325"/>
    </row>
    <row r="50" spans="1:11" s="193" customFormat="1" ht="75" x14ac:dyDescent="0.25">
      <c r="A50" s="326" t="s">
        <v>83</v>
      </c>
      <c r="B50" s="327" t="s">
        <v>16</v>
      </c>
      <c r="C50" s="327" t="s">
        <v>16</v>
      </c>
      <c r="D50" s="377" t="s">
        <v>461</v>
      </c>
      <c r="E50" s="332"/>
      <c r="F50" s="203"/>
      <c r="G50" s="333"/>
      <c r="H50" s="333"/>
      <c r="I50" s="333"/>
      <c r="J50" s="331">
        <f>J51+J52+J53</f>
        <v>537009</v>
      </c>
      <c r="K50" s="343"/>
    </row>
    <row r="51" spans="1:11" s="193" customFormat="1" ht="52.9" customHeight="1" x14ac:dyDescent="0.25">
      <c r="A51" s="311" t="s">
        <v>90</v>
      </c>
      <c r="B51" s="312" t="s">
        <v>91</v>
      </c>
      <c r="C51" s="312" t="s">
        <v>92</v>
      </c>
      <c r="D51" s="374" t="s">
        <v>93</v>
      </c>
      <c r="E51" s="240" t="s">
        <v>181</v>
      </c>
      <c r="F51" s="334"/>
      <c r="G51" s="335"/>
      <c r="H51" s="335"/>
      <c r="I51" s="335"/>
      <c r="J51" s="241">
        <v>43262</v>
      </c>
      <c r="K51" s="344"/>
    </row>
    <row r="52" spans="1:11" s="193" customFormat="1" ht="49.9" customHeight="1" x14ac:dyDescent="0.25">
      <c r="A52" s="311" t="s">
        <v>94</v>
      </c>
      <c r="B52" s="312" t="s">
        <v>95</v>
      </c>
      <c r="C52" s="312" t="s">
        <v>92</v>
      </c>
      <c r="D52" s="374" t="s">
        <v>96</v>
      </c>
      <c r="E52" s="240" t="s">
        <v>181</v>
      </c>
      <c r="F52" s="334"/>
      <c r="G52" s="335"/>
      <c r="H52" s="335"/>
      <c r="I52" s="335"/>
      <c r="J52" s="241">
        <v>23000</v>
      </c>
      <c r="K52" s="344"/>
    </row>
    <row r="53" spans="1:11" s="193" customFormat="1" ht="49.9" customHeight="1" thickBot="1" x14ac:dyDescent="0.3">
      <c r="A53" s="672">
        <v>1015041</v>
      </c>
      <c r="B53" s="312">
        <v>5041</v>
      </c>
      <c r="C53" s="312" t="s">
        <v>107</v>
      </c>
      <c r="D53" s="374" t="s">
        <v>378</v>
      </c>
      <c r="E53" s="240" t="s">
        <v>181</v>
      </c>
      <c r="F53" s="673"/>
      <c r="G53" s="674"/>
      <c r="H53" s="674"/>
      <c r="I53" s="674"/>
      <c r="J53" s="315">
        <f>0+470747</f>
        <v>470747</v>
      </c>
      <c r="K53" s="675"/>
    </row>
    <row r="54" spans="1:11" s="193" customFormat="1" ht="72.599999999999994" customHeight="1" thickBot="1" x14ac:dyDescent="0.3">
      <c r="A54" s="111" t="s">
        <v>117</v>
      </c>
      <c r="B54" s="194"/>
      <c r="C54" s="194"/>
      <c r="D54" s="426" t="s">
        <v>624</v>
      </c>
      <c r="E54" s="225"/>
      <c r="F54" s="99"/>
      <c r="G54" s="112"/>
      <c r="H54" s="112"/>
      <c r="I54" s="112"/>
      <c r="J54" s="113">
        <f>J55</f>
        <v>2296426</v>
      </c>
      <c r="K54" s="103"/>
    </row>
    <row r="55" spans="1:11" s="193" customFormat="1" ht="77.25" customHeight="1" x14ac:dyDescent="0.25">
      <c r="A55" s="197" t="s">
        <v>118</v>
      </c>
      <c r="B55" s="198"/>
      <c r="C55" s="198"/>
      <c r="D55" s="384" t="s">
        <v>654</v>
      </c>
      <c r="E55" s="199"/>
      <c r="F55" s="200"/>
      <c r="G55" s="201"/>
      <c r="H55" s="201"/>
      <c r="I55" s="201"/>
      <c r="J55" s="114">
        <f>SUM(J56:J57)</f>
        <v>2296426</v>
      </c>
      <c r="K55" s="115"/>
    </row>
    <row r="56" spans="1:11" s="193" customFormat="1" ht="60.75" customHeight="1" x14ac:dyDescent="0.25">
      <c r="A56" s="340" t="s">
        <v>341</v>
      </c>
      <c r="B56" s="371" t="s">
        <v>342</v>
      </c>
      <c r="C56" s="371" t="s">
        <v>28</v>
      </c>
      <c r="D56" s="372" t="s">
        <v>328</v>
      </c>
      <c r="E56" s="373" t="s">
        <v>339</v>
      </c>
      <c r="F56" s="385"/>
      <c r="G56" s="386"/>
      <c r="H56" s="386"/>
      <c r="I56" s="386"/>
      <c r="J56" s="241">
        <v>1835036</v>
      </c>
      <c r="K56" s="387"/>
    </row>
    <row r="57" spans="1:11" s="193" customFormat="1" ht="45" customHeight="1" thickBot="1" x14ac:dyDescent="0.3">
      <c r="A57" s="388" t="s">
        <v>127</v>
      </c>
      <c r="B57" s="389" t="s">
        <v>27</v>
      </c>
      <c r="C57" s="389" t="s">
        <v>28</v>
      </c>
      <c r="D57" s="372" t="s">
        <v>29</v>
      </c>
      <c r="E57" s="373" t="s">
        <v>339</v>
      </c>
      <c r="F57" s="390"/>
      <c r="G57" s="391"/>
      <c r="H57" s="391"/>
      <c r="I57" s="391"/>
      <c r="J57" s="392">
        <v>461390</v>
      </c>
      <c r="K57" s="393"/>
    </row>
    <row r="58" spans="1:11" s="400" customFormat="1" ht="64.5" customHeight="1" thickBot="1" x14ac:dyDescent="0.3">
      <c r="A58" s="394" t="s">
        <v>136</v>
      </c>
      <c r="B58" s="395"/>
      <c r="C58" s="395"/>
      <c r="D58" s="427" t="s">
        <v>406</v>
      </c>
      <c r="E58" s="396"/>
      <c r="F58" s="395"/>
      <c r="G58" s="397"/>
      <c r="H58" s="397"/>
      <c r="I58" s="397"/>
      <c r="J58" s="398">
        <f>J59</f>
        <v>64405680</v>
      </c>
      <c r="K58" s="399"/>
    </row>
    <row r="59" spans="1:11" s="193" customFormat="1" ht="57.75" customHeight="1" x14ac:dyDescent="0.25">
      <c r="A59" s="197" t="s">
        <v>137</v>
      </c>
      <c r="B59" s="202"/>
      <c r="C59" s="203"/>
      <c r="D59" s="401" t="s">
        <v>343</v>
      </c>
      <c r="E59" s="204"/>
      <c r="F59" s="205"/>
      <c r="G59" s="206"/>
      <c r="H59" s="206"/>
      <c r="I59" s="206"/>
      <c r="J59" s="206">
        <f>J60+J61+J63+J66+J68+J70+J72+J73+J77+J79+J81+J85+J91+J87+J93+J94+J97+J101+J96+J99</f>
        <v>64405680</v>
      </c>
      <c r="K59" s="207"/>
    </row>
    <row r="60" spans="1:11" s="193" customFormat="1" ht="170.25" customHeight="1" x14ac:dyDescent="0.25">
      <c r="A60" s="388" t="s">
        <v>613</v>
      </c>
      <c r="B60" s="313" t="s">
        <v>220</v>
      </c>
      <c r="C60" s="313" t="s">
        <v>18</v>
      </c>
      <c r="D60" s="603" t="s">
        <v>221</v>
      </c>
      <c r="E60" s="498" t="s">
        <v>588</v>
      </c>
      <c r="F60" s="313" t="s">
        <v>439</v>
      </c>
      <c r="G60" s="561">
        <v>599219</v>
      </c>
      <c r="H60" s="556">
        <v>0</v>
      </c>
      <c r="I60" s="563">
        <v>0</v>
      </c>
      <c r="J60" s="556">
        <f>250000+349219</f>
        <v>599219</v>
      </c>
      <c r="K60" s="582">
        <f>J60/G60</f>
        <v>1</v>
      </c>
    </row>
    <row r="61" spans="1:11" s="193" customFormat="1" ht="291.75" customHeight="1" x14ac:dyDescent="0.25">
      <c r="A61" s="797" t="s">
        <v>434</v>
      </c>
      <c r="B61" s="799" t="s">
        <v>49</v>
      </c>
      <c r="C61" s="799" t="s">
        <v>50</v>
      </c>
      <c r="D61" s="810" t="s">
        <v>407</v>
      </c>
      <c r="E61" s="470" t="s">
        <v>435</v>
      </c>
      <c r="F61" s="808" t="s">
        <v>436</v>
      </c>
      <c r="G61" s="379">
        <v>3702670</v>
      </c>
      <c r="H61" s="210">
        <f>'[1]2024'!$I$15+'[1]2024'!$I$18</f>
        <v>1070190.22</v>
      </c>
      <c r="I61" s="471">
        <f>H61/G61</f>
        <v>0.28903202823908153</v>
      </c>
      <c r="J61" s="210">
        <f>2450256+43034+10265-418465</f>
        <v>2085090</v>
      </c>
      <c r="K61" s="583">
        <v>1</v>
      </c>
    </row>
    <row r="62" spans="1:11" s="193" customFormat="1" ht="27.75" customHeight="1" x14ac:dyDescent="0.25">
      <c r="A62" s="798"/>
      <c r="B62" s="800"/>
      <c r="C62" s="800"/>
      <c r="D62" s="802"/>
      <c r="E62" s="338" t="s">
        <v>345</v>
      </c>
      <c r="F62" s="809"/>
      <c r="G62" s="472">
        <v>264411</v>
      </c>
      <c r="H62" s="335">
        <f>234332.96</f>
        <v>234332.96</v>
      </c>
      <c r="I62" s="473">
        <v>1</v>
      </c>
      <c r="J62" s="474"/>
      <c r="K62" s="584">
        <v>1</v>
      </c>
    </row>
    <row r="63" spans="1:11" s="193" customFormat="1" ht="214.5" customHeight="1" x14ac:dyDescent="0.25">
      <c r="A63" s="797" t="s">
        <v>434</v>
      </c>
      <c r="B63" s="799" t="s">
        <v>49</v>
      </c>
      <c r="C63" s="799" t="s">
        <v>50</v>
      </c>
      <c r="D63" s="810" t="s">
        <v>407</v>
      </c>
      <c r="E63" s="475" t="s">
        <v>437</v>
      </c>
      <c r="F63" s="808" t="s">
        <v>438</v>
      </c>
      <c r="G63" s="476">
        <v>24112549</v>
      </c>
      <c r="H63" s="210">
        <f>'[1]2024'!$I$11+'[1]2024'!$I$13+H64</f>
        <v>6575752.0599999996</v>
      </c>
      <c r="I63" s="471">
        <f>H63/G63</f>
        <v>0.27271078059810266</v>
      </c>
      <c r="J63" s="210">
        <f>15048608+194696+62711-2300000-2400000+4700000+248082+1670002</f>
        <v>17224099</v>
      </c>
      <c r="K63" s="583">
        <v>1</v>
      </c>
    </row>
    <row r="64" spans="1:11" s="193" customFormat="1" ht="24" customHeight="1" x14ac:dyDescent="0.25">
      <c r="A64" s="811"/>
      <c r="B64" s="812"/>
      <c r="C64" s="812"/>
      <c r="D64" s="813"/>
      <c r="E64" s="477" t="s">
        <v>296</v>
      </c>
      <c r="F64" s="809"/>
      <c r="G64" s="478">
        <v>1675846</v>
      </c>
      <c r="H64" s="335">
        <f>274112.37+1201312.3</f>
        <v>1475424.67</v>
      </c>
      <c r="I64" s="473">
        <v>1</v>
      </c>
      <c r="J64" s="479"/>
      <c r="K64" s="584">
        <v>1</v>
      </c>
    </row>
    <row r="65" spans="1:24" s="193" customFormat="1" ht="26.25" customHeight="1" x14ac:dyDescent="0.25">
      <c r="A65" s="798"/>
      <c r="B65" s="800"/>
      <c r="C65" s="800"/>
      <c r="D65" s="802"/>
      <c r="E65" s="477" t="s">
        <v>443</v>
      </c>
      <c r="F65" s="595"/>
      <c r="G65" s="478">
        <v>197638</v>
      </c>
      <c r="H65" s="335"/>
      <c r="I65" s="473"/>
      <c r="J65" s="335">
        <v>197637</v>
      </c>
      <c r="K65" s="584">
        <v>1</v>
      </c>
    </row>
    <row r="66" spans="1:24" s="193" customFormat="1" ht="215.25" customHeight="1" x14ac:dyDescent="0.25">
      <c r="A66" s="797" t="s">
        <v>434</v>
      </c>
      <c r="B66" s="799" t="s">
        <v>49</v>
      </c>
      <c r="C66" s="799" t="s">
        <v>50</v>
      </c>
      <c r="D66" s="810" t="s">
        <v>407</v>
      </c>
      <c r="E66" s="481" t="s">
        <v>599</v>
      </c>
      <c r="F66" s="479" t="s">
        <v>439</v>
      </c>
      <c r="G66" s="562">
        <v>49219132</v>
      </c>
      <c r="H66" s="210">
        <v>0</v>
      </c>
      <c r="I66" s="471">
        <v>0</v>
      </c>
      <c r="J66" s="210">
        <f>6000000+1486740+515294</f>
        <v>8002034</v>
      </c>
      <c r="K66" s="583">
        <f>J66/G66</f>
        <v>0.1625797464286855</v>
      </c>
    </row>
    <row r="67" spans="1:24" s="193" customFormat="1" ht="23.45" customHeight="1" x14ac:dyDescent="0.25">
      <c r="A67" s="798"/>
      <c r="B67" s="800"/>
      <c r="C67" s="800"/>
      <c r="D67" s="802"/>
      <c r="E67" s="553" t="s">
        <v>345</v>
      </c>
      <c r="F67" s="596"/>
      <c r="G67" s="491">
        <v>1483060</v>
      </c>
      <c r="H67" s="335">
        <v>0</v>
      </c>
      <c r="I67" s="473">
        <f>H67/G67</f>
        <v>0</v>
      </c>
      <c r="J67" s="335">
        <v>1483060</v>
      </c>
      <c r="K67" s="584">
        <v>1</v>
      </c>
    </row>
    <row r="68" spans="1:24" s="193" customFormat="1" ht="231" customHeight="1" x14ac:dyDescent="0.25">
      <c r="A68" s="797" t="s">
        <v>434</v>
      </c>
      <c r="B68" s="799" t="s">
        <v>49</v>
      </c>
      <c r="C68" s="799" t="s">
        <v>50</v>
      </c>
      <c r="D68" s="810" t="s">
        <v>407</v>
      </c>
      <c r="E68" s="475" t="s">
        <v>576</v>
      </c>
      <c r="F68" s="814" t="s">
        <v>439</v>
      </c>
      <c r="G68" s="482">
        <v>409141</v>
      </c>
      <c r="H68" s="210">
        <v>0</v>
      </c>
      <c r="I68" s="471">
        <v>0</v>
      </c>
      <c r="J68" s="210">
        <f>583500-583500+409141-96829</f>
        <v>312312</v>
      </c>
      <c r="K68" s="583">
        <v>1</v>
      </c>
    </row>
    <row r="69" spans="1:24" s="193" customFormat="1" ht="27" customHeight="1" x14ac:dyDescent="0.25">
      <c r="A69" s="798"/>
      <c r="B69" s="800"/>
      <c r="C69" s="800"/>
      <c r="D69" s="802"/>
      <c r="E69" s="553" t="s">
        <v>296</v>
      </c>
      <c r="F69" s="815"/>
      <c r="G69" s="491">
        <v>48500</v>
      </c>
      <c r="H69" s="335">
        <v>0</v>
      </c>
      <c r="I69" s="473">
        <v>0</v>
      </c>
      <c r="J69" s="335">
        <v>48500</v>
      </c>
      <c r="K69" s="584">
        <v>1</v>
      </c>
    </row>
    <row r="70" spans="1:24" s="193" customFormat="1" ht="129.75" customHeight="1" x14ac:dyDescent="0.25">
      <c r="A70" s="797" t="s">
        <v>589</v>
      </c>
      <c r="B70" s="799" t="s">
        <v>20</v>
      </c>
      <c r="C70" s="799" t="s">
        <v>21</v>
      </c>
      <c r="D70" s="803" t="s">
        <v>22</v>
      </c>
      <c r="E70" s="494" t="s">
        <v>590</v>
      </c>
      <c r="F70" s="816" t="s">
        <v>592</v>
      </c>
      <c r="G70" s="210">
        <v>10266433</v>
      </c>
      <c r="H70" s="210">
        <v>674544.04</v>
      </c>
      <c r="I70" s="471">
        <f>H70/G70</f>
        <v>6.5703836960704851E-2</v>
      </c>
      <c r="J70" s="210">
        <v>3000000</v>
      </c>
      <c r="K70" s="583">
        <f>(J70+H70)/G70</f>
        <v>0.35791827989331837</v>
      </c>
    </row>
    <row r="71" spans="1:24" s="193" customFormat="1" ht="24.6" customHeight="1" x14ac:dyDescent="0.25">
      <c r="A71" s="798"/>
      <c r="B71" s="800"/>
      <c r="C71" s="800"/>
      <c r="D71" s="804"/>
      <c r="E71" s="487" t="s">
        <v>591</v>
      </c>
      <c r="F71" s="816"/>
      <c r="G71" s="335">
        <v>766283</v>
      </c>
      <c r="H71" s="335">
        <v>674544.04</v>
      </c>
      <c r="I71" s="473">
        <v>1</v>
      </c>
      <c r="J71" s="335"/>
      <c r="K71" s="584">
        <v>1</v>
      </c>
    </row>
    <row r="72" spans="1:24" ht="159" customHeight="1" x14ac:dyDescent="0.3">
      <c r="A72" s="585" t="s">
        <v>427</v>
      </c>
      <c r="B72" s="483" t="s">
        <v>428</v>
      </c>
      <c r="C72" s="483" t="s">
        <v>275</v>
      </c>
      <c r="D72" s="671" t="s">
        <v>655</v>
      </c>
      <c r="E72" s="484" t="s">
        <v>440</v>
      </c>
      <c r="F72" s="202" t="s">
        <v>439</v>
      </c>
      <c r="G72" s="210">
        <v>173444</v>
      </c>
      <c r="H72" s="210">
        <v>0</v>
      </c>
      <c r="I72" s="471">
        <v>0</v>
      </c>
      <c r="J72" s="403">
        <v>173444</v>
      </c>
      <c r="K72" s="583">
        <v>1</v>
      </c>
      <c r="L72" s="400"/>
      <c r="M72" s="507"/>
      <c r="N72" s="220"/>
      <c r="O72" s="220"/>
      <c r="P72" s="220"/>
      <c r="Q72" s="220"/>
      <c r="R72" s="220"/>
      <c r="S72" s="220"/>
      <c r="T72" s="220"/>
      <c r="U72" s="220"/>
      <c r="V72" s="508"/>
      <c r="W72" s="220"/>
      <c r="X72" s="220"/>
    </row>
    <row r="73" spans="1:24" s="193" customFormat="1" ht="138.75" customHeight="1" x14ac:dyDescent="0.25">
      <c r="A73" s="817">
        <v>1516012</v>
      </c>
      <c r="B73" s="820">
        <v>6012</v>
      </c>
      <c r="C73" s="799" t="s">
        <v>28</v>
      </c>
      <c r="D73" s="803" t="s">
        <v>280</v>
      </c>
      <c r="E73" s="208" t="s">
        <v>650</v>
      </c>
      <c r="F73" s="820" t="s">
        <v>441</v>
      </c>
      <c r="G73" s="403">
        <v>14745012</v>
      </c>
      <c r="H73" s="210">
        <v>14166274.949999999</v>
      </c>
      <c r="I73" s="471">
        <v>0.99</v>
      </c>
      <c r="J73" s="485">
        <v>45000</v>
      </c>
      <c r="K73" s="586">
        <v>1</v>
      </c>
      <c r="L73" s="400"/>
      <c r="O73" s="509"/>
      <c r="P73" s="509"/>
      <c r="Q73" s="509"/>
      <c r="R73" s="509"/>
      <c r="S73" s="509"/>
      <c r="T73" s="509"/>
      <c r="U73" s="509"/>
      <c r="V73" s="509"/>
    </row>
    <row r="74" spans="1:24" s="193" customFormat="1" ht="24.75" customHeight="1" x14ac:dyDescent="0.25">
      <c r="A74" s="818"/>
      <c r="B74" s="821"/>
      <c r="C74" s="812"/>
      <c r="D74" s="823"/>
      <c r="E74" s="338" t="s">
        <v>442</v>
      </c>
      <c r="F74" s="821"/>
      <c r="G74" s="487">
        <f>280375.62</f>
        <v>280375.62</v>
      </c>
      <c r="H74" s="487">
        <f>280375.62</f>
        <v>280375.62</v>
      </c>
      <c r="I74" s="473">
        <v>1</v>
      </c>
      <c r="J74" s="349"/>
      <c r="K74" s="510">
        <v>1</v>
      </c>
      <c r="L74" s="400"/>
      <c r="M74" s="417"/>
      <c r="O74" s="509"/>
      <c r="P74" s="509"/>
      <c r="Q74" s="509"/>
      <c r="R74" s="509"/>
      <c r="S74" s="509"/>
      <c r="T74" s="509"/>
      <c r="U74" s="509"/>
      <c r="V74" s="509"/>
    </row>
    <row r="75" spans="1:24" s="193" customFormat="1" ht="26.25" customHeight="1" x14ac:dyDescent="0.25">
      <c r="A75" s="818"/>
      <c r="B75" s="821"/>
      <c r="C75" s="812"/>
      <c r="D75" s="823"/>
      <c r="E75" s="338" t="s">
        <v>443</v>
      </c>
      <c r="F75" s="821"/>
      <c r="G75" s="487">
        <v>269445</v>
      </c>
      <c r="H75" s="487">
        <v>269445</v>
      </c>
      <c r="I75" s="473">
        <v>1</v>
      </c>
      <c r="J75" s="349"/>
      <c r="K75" s="510">
        <v>1</v>
      </c>
      <c r="L75" s="180"/>
      <c r="M75" s="400"/>
      <c r="O75" s="509"/>
      <c r="P75" s="509"/>
      <c r="Q75" s="509"/>
      <c r="R75" s="509"/>
      <c r="S75" s="509"/>
      <c r="T75" s="509"/>
      <c r="U75" s="509"/>
      <c r="V75" s="509"/>
    </row>
    <row r="76" spans="1:24" s="193" customFormat="1" ht="81" customHeight="1" x14ac:dyDescent="0.25">
      <c r="A76" s="819"/>
      <c r="B76" s="822"/>
      <c r="C76" s="800"/>
      <c r="D76" s="804"/>
      <c r="E76" s="338" t="s">
        <v>444</v>
      </c>
      <c r="F76" s="822"/>
      <c r="G76" s="487">
        <v>45000</v>
      </c>
      <c r="H76" s="487"/>
      <c r="I76" s="350"/>
      <c r="J76" s="349">
        <v>45000</v>
      </c>
      <c r="K76" s="510">
        <v>1</v>
      </c>
      <c r="L76" s="180"/>
      <c r="M76" s="400"/>
      <c r="O76" s="509"/>
      <c r="P76" s="509"/>
      <c r="Q76" s="509"/>
      <c r="R76" s="509"/>
      <c r="S76" s="509"/>
      <c r="T76" s="509"/>
      <c r="U76" s="509"/>
      <c r="V76" s="509"/>
    </row>
    <row r="77" spans="1:24" s="193" customFormat="1" ht="84.75" customHeight="1" x14ac:dyDescent="0.25">
      <c r="A77" s="797" t="s">
        <v>293</v>
      </c>
      <c r="B77" s="799" t="s">
        <v>294</v>
      </c>
      <c r="C77" s="799" t="s">
        <v>28</v>
      </c>
      <c r="D77" s="801" t="s">
        <v>280</v>
      </c>
      <c r="E77" s="489" t="s">
        <v>445</v>
      </c>
      <c r="F77" s="808" t="s">
        <v>446</v>
      </c>
      <c r="G77" s="482">
        <v>2880888</v>
      </c>
      <c r="H77" s="210">
        <f>'[1]2024'!$I$42+'[1]2024'!$I$43+'[1]2024'!$I$44</f>
        <v>2463355.75</v>
      </c>
      <c r="I77" s="471">
        <f>H77/G77</f>
        <v>0.85506821160697677</v>
      </c>
      <c r="J77" s="210">
        <f>326029+8644+4370+42000</f>
        <v>381043</v>
      </c>
      <c r="K77" s="583">
        <v>1</v>
      </c>
      <c r="L77" s="122"/>
      <c r="M77" s="400"/>
    </row>
    <row r="78" spans="1:24" s="193" customFormat="1" ht="23.25" customHeight="1" x14ac:dyDescent="0.25">
      <c r="A78" s="798"/>
      <c r="B78" s="800"/>
      <c r="C78" s="800"/>
      <c r="D78" s="802"/>
      <c r="E78" s="490" t="s">
        <v>345</v>
      </c>
      <c r="F78" s="809"/>
      <c r="G78" s="491">
        <v>60271</v>
      </c>
      <c r="H78" s="335">
        <v>49062.16</v>
      </c>
      <c r="I78" s="473">
        <v>1</v>
      </c>
      <c r="J78" s="474"/>
      <c r="K78" s="584">
        <v>1</v>
      </c>
      <c r="L78" s="180"/>
      <c r="M78" s="400"/>
      <c r="N78" s="400"/>
    </row>
    <row r="79" spans="1:24" s="193" customFormat="1" ht="185.25" customHeight="1" x14ac:dyDescent="0.25">
      <c r="A79" s="797" t="s">
        <v>293</v>
      </c>
      <c r="B79" s="799" t="s">
        <v>294</v>
      </c>
      <c r="C79" s="799" t="s">
        <v>28</v>
      </c>
      <c r="D79" s="810" t="s">
        <v>280</v>
      </c>
      <c r="E79" s="489" t="s">
        <v>577</v>
      </c>
      <c r="F79" s="808" t="s">
        <v>439</v>
      </c>
      <c r="G79" s="482">
        <v>5864853</v>
      </c>
      <c r="H79" s="335">
        <v>0</v>
      </c>
      <c r="I79" s="473">
        <v>0</v>
      </c>
      <c r="J79" s="210">
        <v>5864853</v>
      </c>
      <c r="K79" s="583">
        <v>1</v>
      </c>
      <c r="L79" s="180"/>
      <c r="M79" s="400"/>
      <c r="N79" s="400"/>
    </row>
    <row r="80" spans="1:24" s="193" customFormat="1" ht="25.5" customHeight="1" x14ac:dyDescent="0.25">
      <c r="A80" s="798"/>
      <c r="B80" s="800"/>
      <c r="C80" s="800"/>
      <c r="D80" s="802"/>
      <c r="E80" s="490" t="s">
        <v>345</v>
      </c>
      <c r="F80" s="809"/>
      <c r="G80" s="491">
        <v>182394</v>
      </c>
      <c r="H80" s="335">
        <v>0</v>
      </c>
      <c r="I80" s="473">
        <v>0</v>
      </c>
      <c r="J80" s="335">
        <v>182394</v>
      </c>
      <c r="K80" s="584">
        <v>1</v>
      </c>
      <c r="L80" s="180"/>
      <c r="M80" s="400"/>
      <c r="N80" s="400"/>
    </row>
    <row r="81" spans="1:24" s="193" customFormat="1" ht="120.6" customHeight="1" x14ac:dyDescent="0.3">
      <c r="A81" s="824">
        <v>1516012</v>
      </c>
      <c r="B81" s="826">
        <v>6012</v>
      </c>
      <c r="C81" s="828" t="s">
        <v>28</v>
      </c>
      <c r="D81" s="830" t="s">
        <v>280</v>
      </c>
      <c r="E81" s="208" t="s">
        <v>344</v>
      </c>
      <c r="F81" s="820" t="s">
        <v>436</v>
      </c>
      <c r="G81" s="209">
        <v>18595843</v>
      </c>
      <c r="H81" s="402">
        <f>1497526+4000000+10000000-15497526+3505666.5</f>
        <v>3505666.5</v>
      </c>
      <c r="I81" s="471">
        <f>H81/G81*100%</f>
        <v>0.1885188264925661</v>
      </c>
      <c r="J81" s="403">
        <f>3098317-1031901-2066416+10004392-10004392+12584541+2201031</f>
        <v>14785572</v>
      </c>
      <c r="K81" s="583">
        <v>1</v>
      </c>
      <c r="L81" s="60"/>
      <c r="M81" s="400"/>
      <c r="N81" s="400"/>
    </row>
    <row r="82" spans="1:24" s="193" customFormat="1" ht="21" customHeight="1" x14ac:dyDescent="0.35">
      <c r="A82" s="825"/>
      <c r="B82" s="827"/>
      <c r="C82" s="829"/>
      <c r="D82" s="831"/>
      <c r="E82" s="338" t="s">
        <v>345</v>
      </c>
      <c r="F82" s="822"/>
      <c r="G82" s="349">
        <v>1497526</v>
      </c>
      <c r="H82" s="236">
        <f>1497526-1497526+1478212.98</f>
        <v>1478212.98</v>
      </c>
      <c r="I82" s="473">
        <v>1</v>
      </c>
      <c r="J82" s="404"/>
      <c r="K82" s="510">
        <v>1</v>
      </c>
      <c r="L82" s="128"/>
      <c r="M82" s="400"/>
      <c r="N82" s="400"/>
    </row>
    <row r="83" spans="1:24" s="193" customFormat="1" ht="22.5" customHeight="1" x14ac:dyDescent="0.3">
      <c r="A83" s="406" t="s">
        <v>346</v>
      </c>
      <c r="B83" s="407"/>
      <c r="C83" s="598"/>
      <c r="D83" s="408" t="s">
        <v>347</v>
      </c>
      <c r="E83" s="409"/>
      <c r="F83" s="410"/>
      <c r="G83" s="411"/>
      <c r="H83" s="412"/>
      <c r="I83" s="413"/>
      <c r="J83" s="404"/>
      <c r="K83" s="405"/>
      <c r="L83" s="220"/>
      <c r="M83" s="339"/>
      <c r="N83" s="400"/>
    </row>
    <row r="84" spans="1:24" s="193" customFormat="1" ht="31.5" customHeight="1" x14ac:dyDescent="0.25">
      <c r="A84" s="414"/>
      <c r="B84" s="347"/>
      <c r="C84" s="348"/>
      <c r="D84" s="415" t="s">
        <v>383</v>
      </c>
      <c r="E84" s="404"/>
      <c r="F84" s="365"/>
      <c r="G84" s="349"/>
      <c r="H84" s="236">
        <v>2002024</v>
      </c>
      <c r="I84" s="350"/>
      <c r="J84" s="236">
        <f>10000000-H84</f>
        <v>7997976</v>
      </c>
      <c r="K84" s="405"/>
      <c r="L84" s="180"/>
      <c r="M84" s="180"/>
      <c r="N84" s="400"/>
    </row>
    <row r="85" spans="1:24" ht="102" customHeight="1" x14ac:dyDescent="0.3">
      <c r="A85" s="832">
        <v>1516013</v>
      </c>
      <c r="B85" s="834">
        <v>6013</v>
      </c>
      <c r="C85" s="836" t="s">
        <v>28</v>
      </c>
      <c r="D85" s="838" t="s">
        <v>126</v>
      </c>
      <c r="E85" s="492" t="s">
        <v>625</v>
      </c>
      <c r="F85" s="820" t="s">
        <v>446</v>
      </c>
      <c r="G85" s="210">
        <v>6726222</v>
      </c>
      <c r="H85" s="210">
        <v>0</v>
      </c>
      <c r="I85" s="471">
        <v>0</v>
      </c>
      <c r="J85" s="493">
        <f>198440+1041200</f>
        <v>1239640</v>
      </c>
      <c r="K85" s="583">
        <f>J85/G85*100%</f>
        <v>0.18429959641534283</v>
      </c>
      <c r="L85" s="507"/>
      <c r="M85" s="121"/>
      <c r="N85" s="121"/>
      <c r="O85" s="121"/>
      <c r="P85" s="121"/>
      <c r="Q85" s="121"/>
      <c r="R85" s="121"/>
      <c r="S85" s="220"/>
      <c r="T85" s="220"/>
      <c r="U85" s="508"/>
      <c r="V85" s="220"/>
      <c r="W85" s="220"/>
    </row>
    <row r="86" spans="1:24" ht="19.5" customHeight="1" x14ac:dyDescent="0.3">
      <c r="A86" s="833"/>
      <c r="B86" s="835"/>
      <c r="C86" s="837"/>
      <c r="D86" s="839"/>
      <c r="E86" s="604" t="s">
        <v>345</v>
      </c>
      <c r="F86" s="822"/>
      <c r="G86" s="335">
        <v>226222</v>
      </c>
      <c r="H86" s="335"/>
      <c r="I86" s="473">
        <v>0</v>
      </c>
      <c r="J86" s="605">
        <v>198440</v>
      </c>
      <c r="K86" s="584">
        <v>1</v>
      </c>
      <c r="L86" s="507"/>
      <c r="M86" s="121"/>
      <c r="N86" s="121"/>
      <c r="O86" s="121"/>
      <c r="P86" s="121"/>
      <c r="Q86" s="121"/>
      <c r="R86" s="121"/>
      <c r="S86" s="220"/>
      <c r="T86" s="220"/>
      <c r="U86" s="508"/>
      <c r="V86" s="220"/>
      <c r="W86" s="220"/>
    </row>
    <row r="87" spans="1:24" ht="85.5" customHeight="1" x14ac:dyDescent="0.3">
      <c r="A87" s="832">
        <v>1516030</v>
      </c>
      <c r="B87" s="834">
        <v>6030</v>
      </c>
      <c r="C87" s="836" t="s">
        <v>28</v>
      </c>
      <c r="D87" s="838" t="s">
        <v>29</v>
      </c>
      <c r="E87" s="489" t="s">
        <v>447</v>
      </c>
      <c r="F87" s="799" t="s">
        <v>448</v>
      </c>
      <c r="G87" s="209">
        <v>4741092</v>
      </c>
      <c r="H87" s="494">
        <v>3946243</v>
      </c>
      <c r="I87" s="486">
        <v>0.99</v>
      </c>
      <c r="J87" s="403">
        <v>45000</v>
      </c>
      <c r="K87" s="586">
        <v>1</v>
      </c>
      <c r="L87" s="221"/>
      <c r="M87" s="220"/>
      <c r="N87" s="220"/>
      <c r="O87" s="220"/>
      <c r="P87" s="220"/>
      <c r="Q87" s="220"/>
      <c r="R87" s="220"/>
      <c r="S87" s="220"/>
      <c r="T87" s="220"/>
      <c r="U87" s="220"/>
      <c r="V87" s="508"/>
      <c r="W87" s="220"/>
      <c r="X87" s="220"/>
    </row>
    <row r="88" spans="1:24" ht="28.5" customHeight="1" x14ac:dyDescent="0.3">
      <c r="A88" s="840"/>
      <c r="B88" s="841"/>
      <c r="C88" s="842"/>
      <c r="D88" s="843"/>
      <c r="E88" s="490" t="s">
        <v>449</v>
      </c>
      <c r="F88" s="812"/>
      <c r="G88" s="349">
        <v>49800</v>
      </c>
      <c r="H88" s="487">
        <v>49763</v>
      </c>
      <c r="I88" s="488">
        <v>1</v>
      </c>
      <c r="J88" s="403"/>
      <c r="K88" s="510">
        <v>1</v>
      </c>
      <c r="L88" s="221"/>
      <c r="M88" s="220"/>
      <c r="N88" s="220"/>
      <c r="O88" s="220"/>
      <c r="P88" s="220"/>
      <c r="Q88" s="220"/>
      <c r="R88" s="220"/>
      <c r="S88" s="220"/>
      <c r="T88" s="220"/>
      <c r="U88" s="220"/>
      <c r="V88" s="508"/>
      <c r="W88" s="220"/>
      <c r="X88" s="220"/>
    </row>
    <row r="89" spans="1:24" ht="44.25" customHeight="1" x14ac:dyDescent="0.3">
      <c r="A89" s="840"/>
      <c r="B89" s="841"/>
      <c r="C89" s="842"/>
      <c r="D89" s="843"/>
      <c r="E89" s="495" t="s">
        <v>352</v>
      </c>
      <c r="F89" s="812"/>
      <c r="G89" s="236">
        <v>140204</v>
      </c>
      <c r="H89" s="236">
        <v>123810.91</v>
      </c>
      <c r="I89" s="488">
        <v>1</v>
      </c>
      <c r="J89" s="236"/>
      <c r="K89" s="510">
        <v>1</v>
      </c>
      <c r="L89" s="221"/>
      <c r="M89" s="220"/>
      <c r="N89" s="220"/>
      <c r="O89" s="220"/>
      <c r="P89" s="220"/>
      <c r="Q89" s="220"/>
      <c r="R89" s="220"/>
      <c r="S89" s="220"/>
      <c r="T89" s="220"/>
      <c r="U89" s="220"/>
      <c r="V89" s="508"/>
      <c r="W89" s="220"/>
      <c r="X89" s="220"/>
    </row>
    <row r="90" spans="1:24" ht="81" x14ac:dyDescent="0.3">
      <c r="A90" s="833"/>
      <c r="B90" s="835"/>
      <c r="C90" s="837"/>
      <c r="D90" s="839"/>
      <c r="E90" s="495" t="s">
        <v>444</v>
      </c>
      <c r="F90" s="800"/>
      <c r="G90" s="236">
        <v>45000</v>
      </c>
      <c r="H90" s="236"/>
      <c r="I90" s="496"/>
      <c r="J90" s="236">
        <v>45000</v>
      </c>
      <c r="K90" s="510">
        <v>1</v>
      </c>
      <c r="L90" s="220"/>
      <c r="M90" s="220"/>
      <c r="N90" s="220"/>
      <c r="O90" s="220"/>
      <c r="P90" s="220"/>
      <c r="Q90" s="220"/>
      <c r="R90" s="220"/>
      <c r="S90" s="220"/>
      <c r="T90" s="220"/>
      <c r="U90" s="508"/>
      <c r="V90" s="220"/>
      <c r="W90" s="220"/>
    </row>
    <row r="91" spans="1:24" ht="180" customHeight="1" x14ac:dyDescent="0.3">
      <c r="A91" s="832">
        <v>1516030</v>
      </c>
      <c r="B91" s="834">
        <v>6030</v>
      </c>
      <c r="C91" s="836" t="s">
        <v>28</v>
      </c>
      <c r="D91" s="803" t="s">
        <v>29</v>
      </c>
      <c r="E91" s="498" t="s">
        <v>626</v>
      </c>
      <c r="F91" s="820" t="s">
        <v>446</v>
      </c>
      <c r="G91" s="210">
        <v>20406558</v>
      </c>
      <c r="H91" s="210">
        <f>105518.95</f>
        <v>105518.95</v>
      </c>
      <c r="I91" s="606">
        <f>H91/G91</f>
        <v>5.1708352775612625E-3</v>
      </c>
      <c r="J91" s="494">
        <v>251111</v>
      </c>
      <c r="K91" s="583">
        <f>(J91+H91)/G91</f>
        <v>1.7476242196258675E-2</v>
      </c>
      <c r="L91" s="507"/>
      <c r="M91" s="121"/>
      <c r="N91" s="121"/>
      <c r="O91" s="121"/>
      <c r="P91" s="121"/>
      <c r="Q91" s="121"/>
      <c r="R91" s="121"/>
      <c r="S91" s="220"/>
      <c r="T91" s="220"/>
      <c r="U91" s="508"/>
      <c r="V91" s="220"/>
      <c r="W91" s="220"/>
    </row>
    <row r="92" spans="1:24" ht="32.25" customHeight="1" x14ac:dyDescent="0.3">
      <c r="A92" s="833"/>
      <c r="B92" s="835"/>
      <c r="C92" s="837"/>
      <c r="D92" s="804"/>
      <c r="E92" s="490" t="s">
        <v>627</v>
      </c>
      <c r="F92" s="822"/>
      <c r="G92" s="335">
        <v>406558</v>
      </c>
      <c r="H92" s="335">
        <v>105519</v>
      </c>
      <c r="I92" s="473">
        <v>0.26</v>
      </c>
      <c r="J92" s="487">
        <v>251111</v>
      </c>
      <c r="K92" s="584">
        <v>1</v>
      </c>
      <c r="L92" s="507"/>
      <c r="M92" s="121"/>
      <c r="N92" s="121"/>
      <c r="O92" s="121"/>
      <c r="P92" s="121"/>
      <c r="Q92" s="121"/>
      <c r="R92" s="121"/>
      <c r="S92" s="220"/>
      <c r="T92" s="220"/>
      <c r="U92" s="508"/>
      <c r="V92" s="220"/>
      <c r="W92" s="220"/>
    </row>
    <row r="93" spans="1:24" ht="127.5" customHeight="1" x14ac:dyDescent="0.3">
      <c r="A93" s="587">
        <v>1516030</v>
      </c>
      <c r="B93" s="497">
        <v>6030</v>
      </c>
      <c r="C93" s="480" t="s">
        <v>28</v>
      </c>
      <c r="D93" s="607" t="s">
        <v>29</v>
      </c>
      <c r="E93" s="498" t="s">
        <v>450</v>
      </c>
      <c r="F93" s="365" t="s">
        <v>439</v>
      </c>
      <c r="G93" s="210">
        <v>55031</v>
      </c>
      <c r="H93" s="210">
        <v>0</v>
      </c>
      <c r="I93" s="471">
        <v>0</v>
      </c>
      <c r="J93" s="494">
        <v>55031</v>
      </c>
      <c r="K93" s="583">
        <v>1</v>
      </c>
      <c r="L93" s="507"/>
      <c r="M93" s="121"/>
      <c r="N93" s="121"/>
      <c r="O93" s="121"/>
      <c r="P93" s="121"/>
      <c r="Q93" s="121"/>
      <c r="R93" s="121"/>
      <c r="S93" s="220"/>
      <c r="T93" s="220"/>
      <c r="U93" s="508"/>
      <c r="V93" s="220"/>
      <c r="W93" s="220"/>
    </row>
    <row r="94" spans="1:24" ht="104.25" customHeight="1" x14ac:dyDescent="0.3">
      <c r="A94" s="832">
        <v>1516030</v>
      </c>
      <c r="B94" s="834">
        <v>6030</v>
      </c>
      <c r="C94" s="836" t="s">
        <v>28</v>
      </c>
      <c r="D94" s="803" t="s">
        <v>29</v>
      </c>
      <c r="E94" s="481" t="s">
        <v>593</v>
      </c>
      <c r="F94" s="317" t="s">
        <v>594</v>
      </c>
      <c r="G94" s="210">
        <v>3910004</v>
      </c>
      <c r="H94" s="210">
        <v>658537.76</v>
      </c>
      <c r="I94" s="471">
        <f>H94/G94</f>
        <v>0.16842380723907188</v>
      </c>
      <c r="J94" s="403">
        <f>1000000+500000+1150000</f>
        <v>2650000</v>
      </c>
      <c r="K94" s="583">
        <f>(H94+J94)/G94</f>
        <v>0.84617247450386235</v>
      </c>
      <c r="L94" s="507"/>
      <c r="M94" s="121"/>
      <c r="N94" s="121"/>
      <c r="O94" s="121"/>
      <c r="P94" s="121"/>
      <c r="Q94" s="121"/>
      <c r="R94" s="121"/>
      <c r="S94" s="220"/>
      <c r="T94" s="220"/>
      <c r="U94" s="508"/>
      <c r="V94" s="220"/>
      <c r="W94" s="220"/>
    </row>
    <row r="95" spans="1:24" ht="27" customHeight="1" x14ac:dyDescent="0.3">
      <c r="A95" s="833"/>
      <c r="B95" s="835"/>
      <c r="C95" s="837"/>
      <c r="D95" s="804"/>
      <c r="E95" s="557" t="s">
        <v>296</v>
      </c>
      <c r="F95" s="334"/>
      <c r="G95" s="335">
        <v>174543</v>
      </c>
      <c r="H95" s="335">
        <v>154159.98000000001</v>
      </c>
      <c r="I95" s="473">
        <v>1</v>
      </c>
      <c r="J95" s="236"/>
      <c r="K95" s="344">
        <v>1</v>
      </c>
      <c r="L95" s="507"/>
      <c r="M95" s="121"/>
      <c r="N95" s="121"/>
      <c r="O95" s="121"/>
      <c r="P95" s="121"/>
      <c r="Q95" s="121"/>
      <c r="R95" s="121"/>
      <c r="S95" s="220"/>
      <c r="T95" s="220"/>
      <c r="U95" s="508"/>
      <c r="V95" s="220"/>
      <c r="W95" s="220"/>
    </row>
    <row r="96" spans="1:24" ht="122.25" customHeight="1" x14ac:dyDescent="0.3">
      <c r="A96" s="590">
        <v>1516030</v>
      </c>
      <c r="B96" s="591">
        <v>6030</v>
      </c>
      <c r="C96" s="592" t="s">
        <v>28</v>
      </c>
      <c r="D96" s="594" t="s">
        <v>29</v>
      </c>
      <c r="E96" s="499" t="s">
        <v>451</v>
      </c>
      <c r="F96" s="593" t="s">
        <v>439</v>
      </c>
      <c r="G96" s="379">
        <v>49800</v>
      </c>
      <c r="H96" s="379">
        <v>0</v>
      </c>
      <c r="I96" s="500">
        <v>0</v>
      </c>
      <c r="J96" s="501">
        <v>49800</v>
      </c>
      <c r="K96" s="588">
        <v>1</v>
      </c>
      <c r="L96" s="507"/>
      <c r="M96" s="121"/>
      <c r="N96" s="121"/>
      <c r="O96" s="121"/>
      <c r="P96" s="121"/>
      <c r="Q96" s="121"/>
      <c r="R96" s="121"/>
      <c r="S96" s="220"/>
      <c r="T96" s="220"/>
      <c r="U96" s="508"/>
      <c r="V96" s="220"/>
      <c r="W96" s="220"/>
    </row>
    <row r="97" spans="1:23" ht="181.5" customHeight="1" x14ac:dyDescent="0.3">
      <c r="A97" s="832">
        <v>1516030</v>
      </c>
      <c r="B97" s="834">
        <v>6030</v>
      </c>
      <c r="C97" s="836" t="s">
        <v>28</v>
      </c>
      <c r="D97" s="803" t="s">
        <v>29</v>
      </c>
      <c r="E97" s="498" t="s">
        <v>628</v>
      </c>
      <c r="F97" s="799" t="s">
        <v>439</v>
      </c>
      <c r="G97" s="210">
        <v>3600539</v>
      </c>
      <c r="H97" s="210">
        <v>0</v>
      </c>
      <c r="I97" s="471">
        <v>0</v>
      </c>
      <c r="J97" s="403">
        <v>100539</v>
      </c>
      <c r="K97" s="583">
        <f>J97/G97</f>
        <v>2.7923319258588784E-2</v>
      </c>
      <c r="L97" s="507"/>
      <c r="M97" s="121"/>
      <c r="N97" s="121"/>
      <c r="O97" s="121"/>
      <c r="P97" s="121"/>
      <c r="Q97" s="121"/>
      <c r="R97" s="121"/>
      <c r="S97" s="220"/>
      <c r="T97" s="220"/>
      <c r="U97" s="508"/>
      <c r="V97" s="220"/>
      <c r="W97" s="220"/>
    </row>
    <row r="98" spans="1:23" ht="24.75" customHeight="1" x14ac:dyDescent="0.3">
      <c r="A98" s="833"/>
      <c r="B98" s="835"/>
      <c r="C98" s="837"/>
      <c r="D98" s="804"/>
      <c r="E98" s="557" t="s">
        <v>345</v>
      </c>
      <c r="F98" s="800"/>
      <c r="G98" s="335">
        <v>100539</v>
      </c>
      <c r="H98" s="335"/>
      <c r="I98" s="473">
        <v>0</v>
      </c>
      <c r="J98" s="236">
        <v>100539</v>
      </c>
      <c r="K98" s="584">
        <v>1</v>
      </c>
      <c r="L98" s="507"/>
      <c r="M98" s="121"/>
      <c r="N98" s="121"/>
      <c r="O98" s="121"/>
      <c r="P98" s="121"/>
      <c r="Q98" s="121"/>
      <c r="R98" s="121"/>
      <c r="S98" s="220"/>
      <c r="T98" s="220"/>
      <c r="U98" s="508"/>
      <c r="V98" s="220"/>
      <c r="W98" s="220"/>
    </row>
    <row r="99" spans="1:23" ht="129.75" customHeight="1" x14ac:dyDescent="0.3">
      <c r="A99" s="832">
        <v>1516030</v>
      </c>
      <c r="B99" s="834">
        <v>6030</v>
      </c>
      <c r="C99" s="836" t="s">
        <v>28</v>
      </c>
      <c r="D99" s="803" t="s">
        <v>29</v>
      </c>
      <c r="E99" s="498" t="s">
        <v>656</v>
      </c>
      <c r="F99" s="799" t="s">
        <v>439</v>
      </c>
      <c r="G99" s="210">
        <v>11533080</v>
      </c>
      <c r="H99" s="210">
        <v>0</v>
      </c>
      <c r="I99" s="471">
        <v>0</v>
      </c>
      <c r="J99" s="403">
        <v>15000</v>
      </c>
      <c r="K99" s="583">
        <f>J99/G99</f>
        <v>1.3006066029196018E-3</v>
      </c>
      <c r="L99" s="507"/>
      <c r="M99" s="121"/>
      <c r="N99" s="121"/>
      <c r="O99" s="121"/>
      <c r="P99" s="121"/>
      <c r="Q99" s="121"/>
      <c r="R99" s="121"/>
      <c r="S99" s="220"/>
      <c r="T99" s="220"/>
      <c r="U99" s="508"/>
      <c r="V99" s="220"/>
      <c r="W99" s="220"/>
    </row>
    <row r="100" spans="1:23" ht="24.75" customHeight="1" x14ac:dyDescent="0.3">
      <c r="A100" s="833"/>
      <c r="B100" s="835"/>
      <c r="C100" s="837"/>
      <c r="D100" s="804"/>
      <c r="E100" s="557" t="s">
        <v>345</v>
      </c>
      <c r="F100" s="800"/>
      <c r="G100" s="335">
        <v>971364</v>
      </c>
      <c r="H100" s="335"/>
      <c r="I100" s="473">
        <v>0</v>
      </c>
      <c r="J100" s="236">
        <v>15000</v>
      </c>
      <c r="K100" s="584">
        <f>J100/G100</f>
        <v>1.544220292290017E-2</v>
      </c>
      <c r="L100" s="507"/>
      <c r="M100" s="121"/>
      <c r="N100" s="121"/>
      <c r="O100" s="121"/>
      <c r="P100" s="121"/>
      <c r="Q100" s="121"/>
      <c r="R100" s="121"/>
      <c r="S100" s="220"/>
      <c r="T100" s="220"/>
      <c r="U100" s="508"/>
      <c r="V100" s="220"/>
      <c r="W100" s="220"/>
    </row>
    <row r="101" spans="1:23" s="400" customFormat="1" ht="87.75" customHeight="1" x14ac:dyDescent="0.3">
      <c r="A101" s="845" t="s">
        <v>349</v>
      </c>
      <c r="B101" s="847" t="s">
        <v>129</v>
      </c>
      <c r="C101" s="847" t="s">
        <v>130</v>
      </c>
      <c r="D101" s="849" t="s">
        <v>131</v>
      </c>
      <c r="E101" s="373" t="s">
        <v>350</v>
      </c>
      <c r="F101" s="828" t="s">
        <v>351</v>
      </c>
      <c r="G101" s="416">
        <f>45050824-45050824+41614646</f>
        <v>41614646</v>
      </c>
      <c r="H101" s="402">
        <f>2753824+7531097-2799508-7485413+2902210</f>
        <v>2902210</v>
      </c>
      <c r="I101" s="502">
        <f>H101/G101*100%</f>
        <v>6.9740110248685039E-2</v>
      </c>
      <c r="J101" s="402">
        <f>2799508-2799508+4991926+490356+1007036+997461+40114</f>
        <v>7526893</v>
      </c>
      <c r="K101" s="503">
        <f>(J101+H101)/G101</f>
        <v>0.25061135927961514</v>
      </c>
      <c r="L101" s="180"/>
      <c r="M101" s="60"/>
      <c r="N101" s="180"/>
    </row>
    <row r="102" spans="1:23" s="400" customFormat="1" ht="111" customHeight="1" thickBot="1" x14ac:dyDescent="0.3">
      <c r="A102" s="846"/>
      <c r="B102" s="848"/>
      <c r="C102" s="848"/>
      <c r="D102" s="850"/>
      <c r="E102" s="420" t="s">
        <v>353</v>
      </c>
      <c r="F102" s="851"/>
      <c r="G102" s="418">
        <f>10458431-10458431+10463759</f>
        <v>10463759</v>
      </c>
      <c r="H102" s="419">
        <f>7531097-2799508-4731589+2902210</f>
        <v>2902210</v>
      </c>
      <c r="I102" s="504">
        <f>H102/G102*100%</f>
        <v>0.27735826102264016</v>
      </c>
      <c r="J102" s="419">
        <f>2799508-2799508+4991926+490356+1007036+997461+40114</f>
        <v>7526893</v>
      </c>
      <c r="K102" s="505">
        <v>1</v>
      </c>
      <c r="L102" s="180"/>
      <c r="M102" s="180"/>
      <c r="N102" s="180"/>
    </row>
    <row r="103" spans="1:23" s="400" customFormat="1" ht="63.75" customHeight="1" thickBot="1" x14ac:dyDescent="0.35">
      <c r="A103" s="439" t="s">
        <v>251</v>
      </c>
      <c r="B103" s="440" t="s">
        <v>16</v>
      </c>
      <c r="C103" s="440" t="s">
        <v>16</v>
      </c>
      <c r="D103" s="608" t="s">
        <v>652</v>
      </c>
      <c r="E103" s="441"/>
      <c r="F103" s="442"/>
      <c r="G103" s="443"/>
      <c r="H103" s="444"/>
      <c r="I103" s="445"/>
      <c r="J103" s="454">
        <f>J104</f>
        <v>9670744</v>
      </c>
      <c r="K103" s="446"/>
      <c r="L103" s="180"/>
      <c r="M103" s="180"/>
      <c r="N103" s="60"/>
    </row>
    <row r="104" spans="1:23" s="400" customFormat="1" ht="65.25" customHeight="1" x14ac:dyDescent="0.35">
      <c r="A104" s="436" t="s">
        <v>252</v>
      </c>
      <c r="B104" s="437" t="s">
        <v>16</v>
      </c>
      <c r="C104" s="437" t="s">
        <v>16</v>
      </c>
      <c r="D104" s="609" t="s">
        <v>652</v>
      </c>
      <c r="E104" s="438"/>
      <c r="F104" s="447"/>
      <c r="G104" s="448"/>
      <c r="H104" s="449"/>
      <c r="I104" s="450"/>
      <c r="J104" s="451">
        <f>J105</f>
        <v>9670744</v>
      </c>
      <c r="K104" s="452"/>
      <c r="L104" s="180"/>
      <c r="M104" s="180"/>
      <c r="N104" s="128"/>
    </row>
    <row r="105" spans="1:23" s="400" customFormat="1" ht="74.25" customHeight="1" thickBot="1" x14ac:dyDescent="0.35">
      <c r="A105" s="610" t="s">
        <v>356</v>
      </c>
      <c r="B105" s="611" t="s">
        <v>357</v>
      </c>
      <c r="C105" s="611" t="s">
        <v>348</v>
      </c>
      <c r="D105" s="612" t="s">
        <v>355</v>
      </c>
      <c r="E105" s="613" t="s">
        <v>358</v>
      </c>
      <c r="F105" s="598"/>
      <c r="G105" s="432"/>
      <c r="H105" s="433"/>
      <c r="I105" s="434"/>
      <c r="J105" s="453">
        <f>1031901+206381+2798176+5062858+571428</f>
        <v>9670744</v>
      </c>
      <c r="K105" s="435"/>
      <c r="L105" s="180"/>
      <c r="M105" s="180"/>
      <c r="N105" s="220"/>
    </row>
    <row r="106" spans="1:23" s="400" customFormat="1" ht="63.75" customHeight="1" thickBot="1" x14ac:dyDescent="0.35">
      <c r="A106" s="439">
        <v>2700000</v>
      </c>
      <c r="B106" s="440" t="s">
        <v>16</v>
      </c>
      <c r="C106" s="440" t="s">
        <v>16</v>
      </c>
      <c r="D106" s="608" t="s">
        <v>629</v>
      </c>
      <c r="E106" s="441"/>
      <c r="F106" s="442"/>
      <c r="G106" s="443"/>
      <c r="H106" s="444"/>
      <c r="I106" s="445"/>
      <c r="J106" s="454">
        <f>J107</f>
        <v>58780</v>
      </c>
      <c r="K106" s="446"/>
      <c r="L106" s="180"/>
      <c r="M106" s="180"/>
      <c r="N106" s="220"/>
    </row>
    <row r="107" spans="1:23" s="400" customFormat="1" ht="69.75" customHeight="1" x14ac:dyDescent="0.3">
      <c r="A107" s="436">
        <v>2710000</v>
      </c>
      <c r="B107" s="437" t="s">
        <v>16</v>
      </c>
      <c r="C107" s="437" t="s">
        <v>16</v>
      </c>
      <c r="D107" s="609" t="s">
        <v>629</v>
      </c>
      <c r="E107" s="438"/>
      <c r="F107" s="447"/>
      <c r="G107" s="448"/>
      <c r="H107" s="449"/>
      <c r="I107" s="450"/>
      <c r="J107" s="451">
        <f>J108</f>
        <v>58780</v>
      </c>
      <c r="K107" s="452"/>
      <c r="L107" s="180"/>
      <c r="M107" s="180"/>
      <c r="N107" s="220"/>
    </row>
    <row r="108" spans="1:23" s="400" customFormat="1" ht="63" customHeight="1" thickBot="1" x14ac:dyDescent="0.35">
      <c r="A108" s="345" t="s">
        <v>256</v>
      </c>
      <c r="B108" s="346" t="s">
        <v>43</v>
      </c>
      <c r="C108" s="346" t="s">
        <v>18</v>
      </c>
      <c r="D108" s="374" t="s">
        <v>228</v>
      </c>
      <c r="E108" s="373" t="s">
        <v>181</v>
      </c>
      <c r="F108" s="317"/>
      <c r="G108" s="210"/>
      <c r="H108" s="210"/>
      <c r="I108" s="210"/>
      <c r="J108" s="241">
        <v>58780</v>
      </c>
      <c r="K108" s="341"/>
      <c r="L108" s="180"/>
      <c r="M108" s="180"/>
      <c r="N108" s="220"/>
    </row>
    <row r="109" spans="1:23" s="400" customFormat="1" ht="66.75" customHeight="1" thickBot="1" x14ac:dyDescent="0.35">
      <c r="A109" s="439">
        <v>3100000</v>
      </c>
      <c r="B109" s="440" t="s">
        <v>16</v>
      </c>
      <c r="C109" s="440" t="s">
        <v>16</v>
      </c>
      <c r="D109" s="608" t="s">
        <v>456</v>
      </c>
      <c r="E109" s="441"/>
      <c r="F109" s="442"/>
      <c r="G109" s="443"/>
      <c r="H109" s="444"/>
      <c r="I109" s="445"/>
      <c r="J109" s="454">
        <f>J110</f>
        <v>38000</v>
      </c>
      <c r="K109" s="446"/>
      <c r="L109" s="180"/>
      <c r="M109" s="180"/>
      <c r="N109" s="220"/>
    </row>
    <row r="110" spans="1:23" s="400" customFormat="1" ht="62.25" customHeight="1" x14ac:dyDescent="0.3">
      <c r="A110" s="436">
        <v>3110000</v>
      </c>
      <c r="B110" s="437" t="s">
        <v>16</v>
      </c>
      <c r="C110" s="437" t="s">
        <v>16</v>
      </c>
      <c r="D110" s="609" t="s">
        <v>456</v>
      </c>
      <c r="E110" s="438"/>
      <c r="F110" s="447"/>
      <c r="G110" s="448"/>
      <c r="H110" s="449"/>
      <c r="I110" s="450"/>
      <c r="J110" s="451">
        <f>J111</f>
        <v>38000</v>
      </c>
      <c r="K110" s="452"/>
      <c r="L110" s="180"/>
      <c r="M110" s="180"/>
      <c r="N110" s="220"/>
    </row>
    <row r="111" spans="1:23" s="400" customFormat="1" ht="108.75" customHeight="1" thickBot="1" x14ac:dyDescent="0.35">
      <c r="A111" s="345" t="s">
        <v>630</v>
      </c>
      <c r="B111" s="346" t="s">
        <v>291</v>
      </c>
      <c r="C111" s="346" t="s">
        <v>224</v>
      </c>
      <c r="D111" s="614" t="s">
        <v>292</v>
      </c>
      <c r="E111" s="373" t="s">
        <v>631</v>
      </c>
      <c r="F111" s="317"/>
      <c r="G111" s="210"/>
      <c r="H111" s="210"/>
      <c r="I111" s="210"/>
      <c r="J111" s="241">
        <v>38000</v>
      </c>
      <c r="K111" s="341"/>
      <c r="L111" s="180"/>
      <c r="M111" s="180"/>
      <c r="N111" s="220"/>
    </row>
    <row r="112" spans="1:23" s="400" customFormat="1" ht="60.75" customHeight="1" thickBot="1" x14ac:dyDescent="0.35">
      <c r="A112" s="439">
        <v>3700000</v>
      </c>
      <c r="B112" s="440" t="s">
        <v>16</v>
      </c>
      <c r="C112" s="440" t="s">
        <v>16</v>
      </c>
      <c r="D112" s="608" t="s">
        <v>632</v>
      </c>
      <c r="E112" s="441"/>
      <c r="F112" s="442"/>
      <c r="G112" s="443"/>
      <c r="H112" s="444"/>
      <c r="I112" s="445"/>
      <c r="J112" s="454">
        <f>J113</f>
        <v>45530</v>
      </c>
      <c r="K112" s="446"/>
      <c r="L112" s="180"/>
      <c r="M112" s="180"/>
      <c r="N112" s="220"/>
    </row>
    <row r="113" spans="1:16" s="400" customFormat="1" ht="63.75" customHeight="1" x14ac:dyDescent="0.3">
      <c r="A113" s="436">
        <v>3710000</v>
      </c>
      <c r="B113" s="437" t="s">
        <v>16</v>
      </c>
      <c r="C113" s="437" t="s">
        <v>16</v>
      </c>
      <c r="D113" s="609" t="s">
        <v>633</v>
      </c>
      <c r="E113" s="438"/>
      <c r="F113" s="447"/>
      <c r="G113" s="448"/>
      <c r="H113" s="449"/>
      <c r="I113" s="450"/>
      <c r="J113" s="451">
        <f>J114</f>
        <v>45530</v>
      </c>
      <c r="K113" s="452"/>
      <c r="L113" s="180"/>
      <c r="M113" s="180"/>
      <c r="N113" s="220"/>
    </row>
    <row r="114" spans="1:16" s="400" customFormat="1" ht="93.75" customHeight="1" thickBot="1" x14ac:dyDescent="0.35">
      <c r="A114" s="597" t="s">
        <v>262</v>
      </c>
      <c r="B114" s="346" t="s">
        <v>43</v>
      </c>
      <c r="C114" s="346" t="s">
        <v>18</v>
      </c>
      <c r="D114" s="374" t="s">
        <v>228</v>
      </c>
      <c r="E114" s="240" t="s">
        <v>181</v>
      </c>
      <c r="F114" s="378"/>
      <c r="G114" s="379"/>
      <c r="H114" s="379"/>
      <c r="I114" s="379"/>
      <c r="J114" s="336">
        <v>45530</v>
      </c>
      <c r="K114" s="380"/>
      <c r="L114" s="180"/>
      <c r="M114" s="180"/>
      <c r="N114" s="220"/>
    </row>
    <row r="115" spans="1:16" ht="21" thickBot="1" x14ac:dyDescent="0.3">
      <c r="A115" s="211" t="s">
        <v>182</v>
      </c>
      <c r="B115" s="99" t="s">
        <v>182</v>
      </c>
      <c r="C115" s="99" t="s">
        <v>182</v>
      </c>
      <c r="D115" s="98" t="s">
        <v>138</v>
      </c>
      <c r="E115" s="116" t="s">
        <v>182</v>
      </c>
      <c r="F115" s="117" t="s">
        <v>182</v>
      </c>
      <c r="G115" s="118" t="s">
        <v>182</v>
      </c>
      <c r="H115" s="118" t="s">
        <v>182</v>
      </c>
      <c r="I115" s="118" t="s">
        <v>182</v>
      </c>
      <c r="J115" s="421">
        <f>J24+J42+J49+J54+J58+J46+J103+J33+J106+J112+J109</f>
        <v>105961935</v>
      </c>
      <c r="K115" s="119" t="s">
        <v>182</v>
      </c>
    </row>
    <row r="116" spans="1:16" ht="20.25" x14ac:dyDescent="0.25">
      <c r="A116" s="212"/>
      <c r="B116" s="213"/>
      <c r="C116" s="213"/>
      <c r="D116" s="214"/>
      <c r="E116" s="215"/>
      <c r="F116" s="216"/>
      <c r="G116" s="217"/>
      <c r="H116" s="217"/>
      <c r="I116" s="217"/>
      <c r="J116" s="120"/>
      <c r="K116" s="218"/>
    </row>
    <row r="117" spans="1:16" s="125" customFormat="1" ht="49.9" customHeight="1" x14ac:dyDescent="0.3">
      <c r="A117" s="844" t="s">
        <v>365</v>
      </c>
      <c r="B117" s="844"/>
      <c r="C117" s="844"/>
      <c r="D117" s="844"/>
      <c r="E117" s="844"/>
      <c r="F117" s="844"/>
      <c r="G117" s="844"/>
      <c r="H117" s="844"/>
      <c r="I117" s="844"/>
      <c r="J117" s="844"/>
      <c r="K117" s="121"/>
      <c r="L117" s="180"/>
      <c r="M117" s="180"/>
      <c r="N117" s="180"/>
      <c r="O117" s="123"/>
      <c r="P117" s="124"/>
    </row>
    <row r="118" spans="1:16" s="125" customFormat="1" ht="17.25" customHeight="1" x14ac:dyDescent="0.3">
      <c r="A118" s="844"/>
      <c r="B118" s="844"/>
      <c r="C118" s="844"/>
      <c r="D118" s="844"/>
      <c r="E118" s="844"/>
      <c r="F118" s="844"/>
      <c r="G118" s="844"/>
      <c r="H118" s="844"/>
      <c r="I118" s="844"/>
      <c r="J118" s="844"/>
      <c r="K118" s="121"/>
      <c r="L118" s="180"/>
      <c r="M118" s="180"/>
      <c r="N118" s="180"/>
      <c r="O118" s="123"/>
      <c r="P118" s="124"/>
    </row>
    <row r="119" spans="1:16" ht="63" customHeight="1" x14ac:dyDescent="0.25">
      <c r="J119" s="558"/>
    </row>
    <row r="120" spans="1:16" s="60" customFormat="1" ht="20.25" x14ac:dyDescent="0.3">
      <c r="A120" s="126"/>
      <c r="B120" s="126"/>
      <c r="G120" s="219"/>
      <c r="J120" s="337"/>
      <c r="L120" s="180"/>
      <c r="M120" s="180"/>
      <c r="N120" s="180"/>
    </row>
    <row r="121" spans="1:16" s="128" customFormat="1" ht="21" x14ac:dyDescent="0.35">
      <c r="A121" s="127"/>
      <c r="B121" s="127"/>
      <c r="L121" s="180"/>
      <c r="M121" s="180"/>
      <c r="N121" s="180"/>
    </row>
    <row r="122" spans="1:16" s="220" customFormat="1" ht="20.25" x14ac:dyDescent="0.3">
      <c r="B122" s="221"/>
      <c r="C122" s="222"/>
      <c r="E122" s="223"/>
      <c r="F122" s="222"/>
      <c r="G122" s="219"/>
      <c r="H122" s="219"/>
      <c r="I122" s="219"/>
      <c r="J122" s="422"/>
      <c r="K122" s="224"/>
      <c r="L122" s="180"/>
      <c r="M122" s="180"/>
      <c r="N122" s="180"/>
    </row>
    <row r="123" spans="1:16" x14ac:dyDescent="0.25">
      <c r="B123" s="180"/>
      <c r="C123" s="180"/>
      <c r="D123" s="180"/>
      <c r="E123" s="180"/>
      <c r="F123" s="180"/>
      <c r="G123" s="180"/>
      <c r="H123" s="180"/>
      <c r="I123" s="180"/>
      <c r="J123" s="180"/>
      <c r="K123" s="180"/>
    </row>
    <row r="124" spans="1:16" x14ac:dyDescent="0.25">
      <c r="B124" s="180"/>
      <c r="C124" s="180"/>
      <c r="D124" s="180"/>
      <c r="E124" s="180"/>
      <c r="F124" s="180"/>
      <c r="G124" s="180"/>
      <c r="H124" s="180"/>
      <c r="I124" s="180"/>
      <c r="J124" s="180"/>
      <c r="K124" s="180"/>
    </row>
  </sheetData>
  <mergeCells count="99">
    <mergeCell ref="A117:J117"/>
    <mergeCell ref="A118:J118"/>
    <mergeCell ref="F97:F98"/>
    <mergeCell ref="A101:A102"/>
    <mergeCell ref="B101:B102"/>
    <mergeCell ref="C101:C102"/>
    <mergeCell ref="D101:D102"/>
    <mergeCell ref="F101:F102"/>
    <mergeCell ref="A99:A100"/>
    <mergeCell ref="B99:B100"/>
    <mergeCell ref="C99:C100"/>
    <mergeCell ref="D99:D100"/>
    <mergeCell ref="F99:F100"/>
    <mergeCell ref="A94:A95"/>
    <mergeCell ref="B94:B95"/>
    <mergeCell ref="C94:C95"/>
    <mergeCell ref="D94:D95"/>
    <mergeCell ref="A97:A98"/>
    <mergeCell ref="B97:B98"/>
    <mergeCell ref="C97:C98"/>
    <mergeCell ref="D97:D98"/>
    <mergeCell ref="A91:A92"/>
    <mergeCell ref="B91:B92"/>
    <mergeCell ref="C91:C92"/>
    <mergeCell ref="D91:D92"/>
    <mergeCell ref="F91:F92"/>
    <mergeCell ref="A87:A90"/>
    <mergeCell ref="B87:B90"/>
    <mergeCell ref="C87:C90"/>
    <mergeCell ref="D87:D90"/>
    <mergeCell ref="F87:F90"/>
    <mergeCell ref="A85:A86"/>
    <mergeCell ref="B85:B86"/>
    <mergeCell ref="C85:C86"/>
    <mergeCell ref="D85:D86"/>
    <mergeCell ref="F85:F86"/>
    <mergeCell ref="A81:A82"/>
    <mergeCell ref="B81:B82"/>
    <mergeCell ref="C81:C82"/>
    <mergeCell ref="D81:D82"/>
    <mergeCell ref="F81:F82"/>
    <mergeCell ref="A79:A80"/>
    <mergeCell ref="B79:B80"/>
    <mergeCell ref="C79:C80"/>
    <mergeCell ref="D79:D80"/>
    <mergeCell ref="F79:F80"/>
    <mergeCell ref="F70:F71"/>
    <mergeCell ref="A73:A76"/>
    <mergeCell ref="B73:B76"/>
    <mergeCell ref="C73:C76"/>
    <mergeCell ref="D73:D76"/>
    <mergeCell ref="F73:F76"/>
    <mergeCell ref="D63:D65"/>
    <mergeCell ref="F63:F64"/>
    <mergeCell ref="C68:C69"/>
    <mergeCell ref="D68:D69"/>
    <mergeCell ref="F68:F69"/>
    <mergeCell ref="A20:C20"/>
    <mergeCell ref="I14:J14"/>
    <mergeCell ref="K21:K22"/>
    <mergeCell ref="F77:F78"/>
    <mergeCell ref="B66:B67"/>
    <mergeCell ref="C66:C67"/>
    <mergeCell ref="D66:D67"/>
    <mergeCell ref="B68:B69"/>
    <mergeCell ref="A61:A62"/>
    <mergeCell ref="B61:B62"/>
    <mergeCell ref="C61:C62"/>
    <mergeCell ref="D61:D62"/>
    <mergeCell ref="F61:F62"/>
    <mergeCell ref="A63:A65"/>
    <mergeCell ref="B63:B65"/>
    <mergeCell ref="C63:C65"/>
    <mergeCell ref="A77:A78"/>
    <mergeCell ref="B77:B78"/>
    <mergeCell ref="C77:C78"/>
    <mergeCell ref="D77:D78"/>
    <mergeCell ref="A66:A67"/>
    <mergeCell ref="A68:A69"/>
    <mergeCell ref="A70:A71"/>
    <mergeCell ref="B70:B71"/>
    <mergeCell ref="C70:C71"/>
    <mergeCell ref="D70:D71"/>
    <mergeCell ref="I6:J6"/>
    <mergeCell ref="A18:K18"/>
    <mergeCell ref="A19:C19"/>
    <mergeCell ref="D19:K19"/>
    <mergeCell ref="A21:A22"/>
    <mergeCell ref="B21:B22"/>
    <mergeCell ref="C21:C22"/>
    <mergeCell ref="D21:D22"/>
    <mergeCell ref="E21:E22"/>
    <mergeCell ref="F21:F22"/>
    <mergeCell ref="G21:G22"/>
    <mergeCell ref="H21:H22"/>
    <mergeCell ref="I21:I22"/>
    <mergeCell ref="J21:J22"/>
    <mergeCell ref="I10:K10"/>
    <mergeCell ref="I11:K11"/>
  </mergeCells>
  <hyperlinks>
    <hyperlink ref="D39" r:id="rId1" location="n8" display="https://zakon.rada.gov.ua/rada/show/988-2016-%D1%80 - n8" xr:uid="{00000000-0004-0000-0500-000000000000}"/>
    <hyperlink ref="D40" r:id="rId2" location="n8" display="https://zakon.rada.gov.ua/rada/show/988-2016-%D1%80 - n8" xr:uid="{00000000-0004-0000-0500-000001000000}"/>
  </hyperlinks>
  <pageMargins left="0.78740157480314965" right="0.78740157480314965" top="1.1811023622047245" bottom="0.39370078740157483" header="0.31496062992125984" footer="0.31496062992125984"/>
  <pageSetup paperSize="9" scale="55"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3"/>
  <sheetViews>
    <sheetView tabSelected="1" view="pageBreakPreview" zoomScale="110" zoomScaleNormal="100" zoomScaleSheetLayoutView="110" workbookViewId="0">
      <selection activeCell="E6" sqref="E6:F6"/>
    </sheetView>
  </sheetViews>
  <sheetFormatPr defaultColWidth="9.28515625" defaultRowHeight="15.75" x14ac:dyDescent="0.25"/>
  <cols>
    <col min="1" max="1" width="12.7109375" style="54" customWidth="1"/>
    <col min="2" max="2" width="13" style="54" customWidth="1"/>
    <col min="3" max="3" width="11.85546875" style="627" customWidth="1"/>
    <col min="4" max="4" width="26.7109375" style="54" customWidth="1"/>
    <col min="5" max="5" width="42.5703125" style="54" customWidth="1"/>
    <col min="6" max="6" width="16.85546875" style="54" customWidth="1"/>
    <col min="7" max="256" width="9.28515625" style="54"/>
    <col min="257" max="257" width="12.7109375" style="54" customWidth="1"/>
    <col min="258" max="258" width="13" style="54" customWidth="1"/>
    <col min="259" max="259" width="11.85546875" style="54" customWidth="1"/>
    <col min="260" max="260" width="26.7109375" style="54" customWidth="1"/>
    <col min="261" max="261" width="36.42578125" style="54" customWidth="1"/>
    <col min="262" max="262" width="13.28515625" style="54" customWidth="1"/>
    <col min="263" max="512" width="9.28515625" style="54"/>
    <col min="513" max="513" width="12.7109375" style="54" customWidth="1"/>
    <col min="514" max="514" width="13" style="54" customWidth="1"/>
    <col min="515" max="515" width="11.85546875" style="54" customWidth="1"/>
    <col min="516" max="516" width="26.7109375" style="54" customWidth="1"/>
    <col min="517" max="517" width="36.42578125" style="54" customWidth="1"/>
    <col min="518" max="518" width="13.28515625" style="54" customWidth="1"/>
    <col min="519" max="768" width="9.28515625" style="54"/>
    <col min="769" max="769" width="12.7109375" style="54" customWidth="1"/>
    <col min="770" max="770" width="13" style="54" customWidth="1"/>
    <col min="771" max="771" width="11.85546875" style="54" customWidth="1"/>
    <col min="772" max="772" width="26.7109375" style="54" customWidth="1"/>
    <col min="773" max="773" width="36.42578125" style="54" customWidth="1"/>
    <col min="774" max="774" width="13.28515625" style="54" customWidth="1"/>
    <col min="775" max="1024" width="9.28515625" style="54"/>
    <col min="1025" max="1025" width="12.7109375" style="54" customWidth="1"/>
    <col min="1026" max="1026" width="13" style="54" customWidth="1"/>
    <col min="1027" max="1027" width="11.85546875" style="54" customWidth="1"/>
    <col min="1028" max="1028" width="26.7109375" style="54" customWidth="1"/>
    <col min="1029" max="1029" width="36.42578125" style="54" customWidth="1"/>
    <col min="1030" max="1030" width="13.28515625" style="54" customWidth="1"/>
    <col min="1031" max="1280" width="9.28515625" style="54"/>
    <col min="1281" max="1281" width="12.7109375" style="54" customWidth="1"/>
    <col min="1282" max="1282" width="13" style="54" customWidth="1"/>
    <col min="1283" max="1283" width="11.85546875" style="54" customWidth="1"/>
    <col min="1284" max="1284" width="26.7109375" style="54" customWidth="1"/>
    <col min="1285" max="1285" width="36.42578125" style="54" customWidth="1"/>
    <col min="1286" max="1286" width="13.28515625" style="54" customWidth="1"/>
    <col min="1287" max="1536" width="9.28515625" style="54"/>
    <col min="1537" max="1537" width="12.7109375" style="54" customWidth="1"/>
    <col min="1538" max="1538" width="13" style="54" customWidth="1"/>
    <col min="1539" max="1539" width="11.85546875" style="54" customWidth="1"/>
    <col min="1540" max="1540" width="26.7109375" style="54" customWidth="1"/>
    <col min="1541" max="1541" width="36.42578125" style="54" customWidth="1"/>
    <col min="1542" max="1542" width="13.28515625" style="54" customWidth="1"/>
    <col min="1543" max="1792" width="9.28515625" style="54"/>
    <col min="1793" max="1793" width="12.7109375" style="54" customWidth="1"/>
    <col min="1794" max="1794" width="13" style="54" customWidth="1"/>
    <col min="1795" max="1795" width="11.85546875" style="54" customWidth="1"/>
    <col min="1796" max="1796" width="26.7109375" style="54" customWidth="1"/>
    <col min="1797" max="1797" width="36.42578125" style="54" customWidth="1"/>
    <col min="1798" max="1798" width="13.28515625" style="54" customWidth="1"/>
    <col min="1799" max="2048" width="9.28515625" style="54"/>
    <col min="2049" max="2049" width="12.7109375" style="54" customWidth="1"/>
    <col min="2050" max="2050" width="13" style="54" customWidth="1"/>
    <col min="2051" max="2051" width="11.85546875" style="54" customWidth="1"/>
    <col min="2052" max="2052" width="26.7109375" style="54" customWidth="1"/>
    <col min="2053" max="2053" width="36.42578125" style="54" customWidth="1"/>
    <col min="2054" max="2054" width="13.28515625" style="54" customWidth="1"/>
    <col min="2055" max="2304" width="9.28515625" style="54"/>
    <col min="2305" max="2305" width="12.7109375" style="54" customWidth="1"/>
    <col min="2306" max="2306" width="13" style="54" customWidth="1"/>
    <col min="2307" max="2307" width="11.85546875" style="54" customWidth="1"/>
    <col min="2308" max="2308" width="26.7109375" style="54" customWidth="1"/>
    <col min="2309" max="2309" width="36.42578125" style="54" customWidth="1"/>
    <col min="2310" max="2310" width="13.28515625" style="54" customWidth="1"/>
    <col min="2311" max="2560" width="9.28515625" style="54"/>
    <col min="2561" max="2561" width="12.7109375" style="54" customWidth="1"/>
    <col min="2562" max="2562" width="13" style="54" customWidth="1"/>
    <col min="2563" max="2563" width="11.85546875" style="54" customWidth="1"/>
    <col min="2564" max="2564" width="26.7109375" style="54" customWidth="1"/>
    <col min="2565" max="2565" width="36.42578125" style="54" customWidth="1"/>
    <col min="2566" max="2566" width="13.28515625" style="54" customWidth="1"/>
    <col min="2567" max="2816" width="9.28515625" style="54"/>
    <col min="2817" max="2817" width="12.7109375" style="54" customWidth="1"/>
    <col min="2818" max="2818" width="13" style="54" customWidth="1"/>
    <col min="2819" max="2819" width="11.85546875" style="54" customWidth="1"/>
    <col min="2820" max="2820" width="26.7109375" style="54" customWidth="1"/>
    <col min="2821" max="2821" width="36.42578125" style="54" customWidth="1"/>
    <col min="2822" max="2822" width="13.28515625" style="54" customWidth="1"/>
    <col min="2823" max="3072" width="9.28515625" style="54"/>
    <col min="3073" max="3073" width="12.7109375" style="54" customWidth="1"/>
    <col min="3074" max="3074" width="13" style="54" customWidth="1"/>
    <col min="3075" max="3075" width="11.85546875" style="54" customWidth="1"/>
    <col min="3076" max="3076" width="26.7109375" style="54" customWidth="1"/>
    <col min="3077" max="3077" width="36.42578125" style="54" customWidth="1"/>
    <col min="3078" max="3078" width="13.28515625" style="54" customWidth="1"/>
    <col min="3079" max="3328" width="9.28515625" style="54"/>
    <col min="3329" max="3329" width="12.7109375" style="54" customWidth="1"/>
    <col min="3330" max="3330" width="13" style="54" customWidth="1"/>
    <col min="3331" max="3331" width="11.85546875" style="54" customWidth="1"/>
    <col min="3332" max="3332" width="26.7109375" style="54" customWidth="1"/>
    <col min="3333" max="3333" width="36.42578125" style="54" customWidth="1"/>
    <col min="3334" max="3334" width="13.28515625" style="54" customWidth="1"/>
    <col min="3335" max="3584" width="9.28515625" style="54"/>
    <col min="3585" max="3585" width="12.7109375" style="54" customWidth="1"/>
    <col min="3586" max="3586" width="13" style="54" customWidth="1"/>
    <col min="3587" max="3587" width="11.85546875" style="54" customWidth="1"/>
    <col min="3588" max="3588" width="26.7109375" style="54" customWidth="1"/>
    <col min="3589" max="3589" width="36.42578125" style="54" customWidth="1"/>
    <col min="3590" max="3590" width="13.28515625" style="54" customWidth="1"/>
    <col min="3591" max="3840" width="9.28515625" style="54"/>
    <col min="3841" max="3841" width="12.7109375" style="54" customWidth="1"/>
    <col min="3842" max="3842" width="13" style="54" customWidth="1"/>
    <col min="3843" max="3843" width="11.85546875" style="54" customWidth="1"/>
    <col min="3844" max="3844" width="26.7109375" style="54" customWidth="1"/>
    <col min="3845" max="3845" width="36.42578125" style="54" customWidth="1"/>
    <col min="3846" max="3846" width="13.28515625" style="54" customWidth="1"/>
    <col min="3847" max="4096" width="9.28515625" style="54"/>
    <col min="4097" max="4097" width="12.7109375" style="54" customWidth="1"/>
    <col min="4098" max="4098" width="13" style="54" customWidth="1"/>
    <col min="4099" max="4099" width="11.85546875" style="54" customWidth="1"/>
    <col min="4100" max="4100" width="26.7109375" style="54" customWidth="1"/>
    <col min="4101" max="4101" width="36.42578125" style="54" customWidth="1"/>
    <col min="4102" max="4102" width="13.28515625" style="54" customWidth="1"/>
    <col min="4103" max="4352" width="9.28515625" style="54"/>
    <col min="4353" max="4353" width="12.7109375" style="54" customWidth="1"/>
    <col min="4354" max="4354" width="13" style="54" customWidth="1"/>
    <col min="4355" max="4355" width="11.85546875" style="54" customWidth="1"/>
    <col min="4356" max="4356" width="26.7109375" style="54" customWidth="1"/>
    <col min="4357" max="4357" width="36.42578125" style="54" customWidth="1"/>
    <col min="4358" max="4358" width="13.28515625" style="54" customWidth="1"/>
    <col min="4359" max="4608" width="9.28515625" style="54"/>
    <col min="4609" max="4609" width="12.7109375" style="54" customWidth="1"/>
    <col min="4610" max="4610" width="13" style="54" customWidth="1"/>
    <col min="4611" max="4611" width="11.85546875" style="54" customWidth="1"/>
    <col min="4612" max="4612" width="26.7109375" style="54" customWidth="1"/>
    <col min="4613" max="4613" width="36.42578125" style="54" customWidth="1"/>
    <col min="4614" max="4614" width="13.28515625" style="54" customWidth="1"/>
    <col min="4615" max="4864" width="9.28515625" style="54"/>
    <col min="4865" max="4865" width="12.7109375" style="54" customWidth="1"/>
    <col min="4866" max="4866" width="13" style="54" customWidth="1"/>
    <col min="4867" max="4867" width="11.85546875" style="54" customWidth="1"/>
    <col min="4868" max="4868" width="26.7109375" style="54" customWidth="1"/>
    <col min="4869" max="4869" width="36.42578125" style="54" customWidth="1"/>
    <col min="4870" max="4870" width="13.28515625" style="54" customWidth="1"/>
    <col min="4871" max="5120" width="9.28515625" style="54"/>
    <col min="5121" max="5121" width="12.7109375" style="54" customWidth="1"/>
    <col min="5122" max="5122" width="13" style="54" customWidth="1"/>
    <col min="5123" max="5123" width="11.85546875" style="54" customWidth="1"/>
    <col min="5124" max="5124" width="26.7109375" style="54" customWidth="1"/>
    <col min="5125" max="5125" width="36.42578125" style="54" customWidth="1"/>
    <col min="5126" max="5126" width="13.28515625" style="54" customWidth="1"/>
    <col min="5127" max="5376" width="9.28515625" style="54"/>
    <col min="5377" max="5377" width="12.7109375" style="54" customWidth="1"/>
    <col min="5378" max="5378" width="13" style="54" customWidth="1"/>
    <col min="5379" max="5379" width="11.85546875" style="54" customWidth="1"/>
    <col min="5380" max="5380" width="26.7109375" style="54" customWidth="1"/>
    <col min="5381" max="5381" width="36.42578125" style="54" customWidth="1"/>
    <col min="5382" max="5382" width="13.28515625" style="54" customWidth="1"/>
    <col min="5383" max="5632" width="9.28515625" style="54"/>
    <col min="5633" max="5633" width="12.7109375" style="54" customWidth="1"/>
    <col min="5634" max="5634" width="13" style="54" customWidth="1"/>
    <col min="5635" max="5635" width="11.85546875" style="54" customWidth="1"/>
    <col min="5636" max="5636" width="26.7109375" style="54" customWidth="1"/>
    <col min="5637" max="5637" width="36.42578125" style="54" customWidth="1"/>
    <col min="5638" max="5638" width="13.28515625" style="54" customWidth="1"/>
    <col min="5639" max="5888" width="9.28515625" style="54"/>
    <col min="5889" max="5889" width="12.7109375" style="54" customWidth="1"/>
    <col min="5890" max="5890" width="13" style="54" customWidth="1"/>
    <col min="5891" max="5891" width="11.85546875" style="54" customWidth="1"/>
    <col min="5892" max="5892" width="26.7109375" style="54" customWidth="1"/>
    <col min="5893" max="5893" width="36.42578125" style="54" customWidth="1"/>
    <col min="5894" max="5894" width="13.28515625" style="54" customWidth="1"/>
    <col min="5895" max="6144" width="9.28515625" style="54"/>
    <col min="6145" max="6145" width="12.7109375" style="54" customWidth="1"/>
    <col min="6146" max="6146" width="13" style="54" customWidth="1"/>
    <col min="6147" max="6147" width="11.85546875" style="54" customWidth="1"/>
    <col min="6148" max="6148" width="26.7109375" style="54" customWidth="1"/>
    <col min="6149" max="6149" width="36.42578125" style="54" customWidth="1"/>
    <col min="6150" max="6150" width="13.28515625" style="54" customWidth="1"/>
    <col min="6151" max="6400" width="9.28515625" style="54"/>
    <col min="6401" max="6401" width="12.7109375" style="54" customWidth="1"/>
    <col min="6402" max="6402" width="13" style="54" customWidth="1"/>
    <col min="6403" max="6403" width="11.85546875" style="54" customWidth="1"/>
    <col min="6404" max="6404" width="26.7109375" style="54" customWidth="1"/>
    <col min="6405" max="6405" width="36.42578125" style="54" customWidth="1"/>
    <col min="6406" max="6406" width="13.28515625" style="54" customWidth="1"/>
    <col min="6407" max="6656" width="9.28515625" style="54"/>
    <col min="6657" max="6657" width="12.7109375" style="54" customWidth="1"/>
    <col min="6658" max="6658" width="13" style="54" customWidth="1"/>
    <col min="6659" max="6659" width="11.85546875" style="54" customWidth="1"/>
    <col min="6660" max="6660" width="26.7109375" style="54" customWidth="1"/>
    <col min="6661" max="6661" width="36.42578125" style="54" customWidth="1"/>
    <col min="6662" max="6662" width="13.28515625" style="54" customWidth="1"/>
    <col min="6663" max="6912" width="9.28515625" style="54"/>
    <col min="6913" max="6913" width="12.7109375" style="54" customWidth="1"/>
    <col min="6914" max="6914" width="13" style="54" customWidth="1"/>
    <col min="6915" max="6915" width="11.85546875" style="54" customWidth="1"/>
    <col min="6916" max="6916" width="26.7109375" style="54" customWidth="1"/>
    <col min="6917" max="6917" width="36.42578125" style="54" customWidth="1"/>
    <col min="6918" max="6918" width="13.28515625" style="54" customWidth="1"/>
    <col min="6919" max="7168" width="9.28515625" style="54"/>
    <col min="7169" max="7169" width="12.7109375" style="54" customWidth="1"/>
    <col min="7170" max="7170" width="13" style="54" customWidth="1"/>
    <col min="7171" max="7171" width="11.85546875" style="54" customWidth="1"/>
    <col min="7172" max="7172" width="26.7109375" style="54" customWidth="1"/>
    <col min="7173" max="7173" width="36.42578125" style="54" customWidth="1"/>
    <col min="7174" max="7174" width="13.28515625" style="54" customWidth="1"/>
    <col min="7175" max="7424" width="9.28515625" style="54"/>
    <col min="7425" max="7425" width="12.7109375" style="54" customWidth="1"/>
    <col min="7426" max="7426" width="13" style="54" customWidth="1"/>
    <col min="7427" max="7427" width="11.85546875" style="54" customWidth="1"/>
    <col min="7428" max="7428" width="26.7109375" style="54" customWidth="1"/>
    <col min="7429" max="7429" width="36.42578125" style="54" customWidth="1"/>
    <col min="7430" max="7430" width="13.28515625" style="54" customWidth="1"/>
    <col min="7431" max="7680" width="9.28515625" style="54"/>
    <col min="7681" max="7681" width="12.7109375" style="54" customWidth="1"/>
    <col min="7682" max="7682" width="13" style="54" customWidth="1"/>
    <col min="7683" max="7683" width="11.85546875" style="54" customWidth="1"/>
    <col min="7684" max="7684" width="26.7109375" style="54" customWidth="1"/>
    <col min="7685" max="7685" width="36.42578125" style="54" customWidth="1"/>
    <col min="7686" max="7686" width="13.28515625" style="54" customWidth="1"/>
    <col min="7687" max="7936" width="9.28515625" style="54"/>
    <col min="7937" max="7937" width="12.7109375" style="54" customWidth="1"/>
    <col min="7938" max="7938" width="13" style="54" customWidth="1"/>
    <col min="7939" max="7939" width="11.85546875" style="54" customWidth="1"/>
    <col min="7940" max="7940" width="26.7109375" style="54" customWidth="1"/>
    <col min="7941" max="7941" width="36.42578125" style="54" customWidth="1"/>
    <col min="7942" max="7942" width="13.28515625" style="54" customWidth="1"/>
    <col min="7943" max="8192" width="9.28515625" style="54"/>
    <col min="8193" max="8193" width="12.7109375" style="54" customWidth="1"/>
    <col min="8194" max="8194" width="13" style="54" customWidth="1"/>
    <col min="8195" max="8195" width="11.85546875" style="54" customWidth="1"/>
    <col min="8196" max="8196" width="26.7109375" style="54" customWidth="1"/>
    <col min="8197" max="8197" width="36.42578125" style="54" customWidth="1"/>
    <col min="8198" max="8198" width="13.28515625" style="54" customWidth="1"/>
    <col min="8199" max="8448" width="9.28515625" style="54"/>
    <col min="8449" max="8449" width="12.7109375" style="54" customWidth="1"/>
    <col min="8450" max="8450" width="13" style="54" customWidth="1"/>
    <col min="8451" max="8451" width="11.85546875" style="54" customWidth="1"/>
    <col min="8452" max="8452" width="26.7109375" style="54" customWidth="1"/>
    <col min="8453" max="8453" width="36.42578125" style="54" customWidth="1"/>
    <col min="8454" max="8454" width="13.28515625" style="54" customWidth="1"/>
    <col min="8455" max="8704" width="9.28515625" style="54"/>
    <col min="8705" max="8705" width="12.7109375" style="54" customWidth="1"/>
    <col min="8706" max="8706" width="13" style="54" customWidth="1"/>
    <col min="8707" max="8707" width="11.85546875" style="54" customWidth="1"/>
    <col min="8708" max="8708" width="26.7109375" style="54" customWidth="1"/>
    <col min="8709" max="8709" width="36.42578125" style="54" customWidth="1"/>
    <col min="8710" max="8710" width="13.28515625" style="54" customWidth="1"/>
    <col min="8711" max="8960" width="9.28515625" style="54"/>
    <col min="8961" max="8961" width="12.7109375" style="54" customWidth="1"/>
    <col min="8962" max="8962" width="13" style="54" customWidth="1"/>
    <col min="8963" max="8963" width="11.85546875" style="54" customWidth="1"/>
    <col min="8964" max="8964" width="26.7109375" style="54" customWidth="1"/>
    <col min="8965" max="8965" width="36.42578125" style="54" customWidth="1"/>
    <col min="8966" max="8966" width="13.28515625" style="54" customWidth="1"/>
    <col min="8967" max="9216" width="9.28515625" style="54"/>
    <col min="9217" max="9217" width="12.7109375" style="54" customWidth="1"/>
    <col min="9218" max="9218" width="13" style="54" customWidth="1"/>
    <col min="9219" max="9219" width="11.85546875" style="54" customWidth="1"/>
    <col min="9220" max="9220" width="26.7109375" style="54" customWidth="1"/>
    <col min="9221" max="9221" width="36.42578125" style="54" customWidth="1"/>
    <col min="9222" max="9222" width="13.28515625" style="54" customWidth="1"/>
    <col min="9223" max="9472" width="9.28515625" style="54"/>
    <col min="9473" max="9473" width="12.7109375" style="54" customWidth="1"/>
    <col min="9474" max="9474" width="13" style="54" customWidth="1"/>
    <col min="9475" max="9475" width="11.85546875" style="54" customWidth="1"/>
    <col min="9476" max="9476" width="26.7109375" style="54" customWidth="1"/>
    <col min="9477" max="9477" width="36.42578125" style="54" customWidth="1"/>
    <col min="9478" max="9478" width="13.28515625" style="54" customWidth="1"/>
    <col min="9479" max="9728" width="9.28515625" style="54"/>
    <col min="9729" max="9729" width="12.7109375" style="54" customWidth="1"/>
    <col min="9730" max="9730" width="13" style="54" customWidth="1"/>
    <col min="9731" max="9731" width="11.85546875" style="54" customWidth="1"/>
    <col min="9732" max="9732" width="26.7109375" style="54" customWidth="1"/>
    <col min="9733" max="9733" width="36.42578125" style="54" customWidth="1"/>
    <col min="9734" max="9734" width="13.28515625" style="54" customWidth="1"/>
    <col min="9735" max="9984" width="9.28515625" style="54"/>
    <col min="9985" max="9985" width="12.7109375" style="54" customWidth="1"/>
    <col min="9986" max="9986" width="13" style="54" customWidth="1"/>
    <col min="9987" max="9987" width="11.85546875" style="54" customWidth="1"/>
    <col min="9988" max="9988" width="26.7109375" style="54" customWidth="1"/>
    <col min="9989" max="9989" width="36.42578125" style="54" customWidth="1"/>
    <col min="9990" max="9990" width="13.28515625" style="54" customWidth="1"/>
    <col min="9991" max="10240" width="9.28515625" style="54"/>
    <col min="10241" max="10241" width="12.7109375" style="54" customWidth="1"/>
    <col min="10242" max="10242" width="13" style="54" customWidth="1"/>
    <col min="10243" max="10243" width="11.85546875" style="54" customWidth="1"/>
    <col min="10244" max="10244" width="26.7109375" style="54" customWidth="1"/>
    <col min="10245" max="10245" width="36.42578125" style="54" customWidth="1"/>
    <col min="10246" max="10246" width="13.28515625" style="54" customWidth="1"/>
    <col min="10247" max="10496" width="9.28515625" style="54"/>
    <col min="10497" max="10497" width="12.7109375" style="54" customWidth="1"/>
    <col min="10498" max="10498" width="13" style="54" customWidth="1"/>
    <col min="10499" max="10499" width="11.85546875" style="54" customWidth="1"/>
    <col min="10500" max="10500" width="26.7109375" style="54" customWidth="1"/>
    <col min="10501" max="10501" width="36.42578125" style="54" customWidth="1"/>
    <col min="10502" max="10502" width="13.28515625" style="54" customWidth="1"/>
    <col min="10503" max="10752" width="9.28515625" style="54"/>
    <col min="10753" max="10753" width="12.7109375" style="54" customWidth="1"/>
    <col min="10754" max="10754" width="13" style="54" customWidth="1"/>
    <col min="10755" max="10755" width="11.85546875" style="54" customWidth="1"/>
    <col min="10756" max="10756" width="26.7109375" style="54" customWidth="1"/>
    <col min="10757" max="10757" width="36.42578125" style="54" customWidth="1"/>
    <col min="10758" max="10758" width="13.28515625" style="54" customWidth="1"/>
    <col min="10759" max="11008" width="9.28515625" style="54"/>
    <col min="11009" max="11009" width="12.7109375" style="54" customWidth="1"/>
    <col min="11010" max="11010" width="13" style="54" customWidth="1"/>
    <col min="11011" max="11011" width="11.85546875" style="54" customWidth="1"/>
    <col min="11012" max="11012" width="26.7109375" style="54" customWidth="1"/>
    <col min="11013" max="11013" width="36.42578125" style="54" customWidth="1"/>
    <col min="11014" max="11014" width="13.28515625" style="54" customWidth="1"/>
    <col min="11015" max="11264" width="9.28515625" style="54"/>
    <col min="11265" max="11265" width="12.7109375" style="54" customWidth="1"/>
    <col min="11266" max="11266" width="13" style="54" customWidth="1"/>
    <col min="11267" max="11267" width="11.85546875" style="54" customWidth="1"/>
    <col min="11268" max="11268" width="26.7109375" style="54" customWidth="1"/>
    <col min="11269" max="11269" width="36.42578125" style="54" customWidth="1"/>
    <col min="11270" max="11270" width="13.28515625" style="54" customWidth="1"/>
    <col min="11271" max="11520" width="9.28515625" style="54"/>
    <col min="11521" max="11521" width="12.7109375" style="54" customWidth="1"/>
    <col min="11522" max="11522" width="13" style="54" customWidth="1"/>
    <col min="11523" max="11523" width="11.85546875" style="54" customWidth="1"/>
    <col min="11524" max="11524" width="26.7109375" style="54" customWidth="1"/>
    <col min="11525" max="11525" width="36.42578125" style="54" customWidth="1"/>
    <col min="11526" max="11526" width="13.28515625" style="54" customWidth="1"/>
    <col min="11527" max="11776" width="9.28515625" style="54"/>
    <col min="11777" max="11777" width="12.7109375" style="54" customWidth="1"/>
    <col min="11778" max="11778" width="13" style="54" customWidth="1"/>
    <col min="11779" max="11779" width="11.85546875" style="54" customWidth="1"/>
    <col min="11780" max="11780" width="26.7109375" style="54" customWidth="1"/>
    <col min="11781" max="11781" width="36.42578125" style="54" customWidth="1"/>
    <col min="11782" max="11782" width="13.28515625" style="54" customWidth="1"/>
    <col min="11783" max="12032" width="9.28515625" style="54"/>
    <col min="12033" max="12033" width="12.7109375" style="54" customWidth="1"/>
    <col min="12034" max="12034" width="13" style="54" customWidth="1"/>
    <col min="12035" max="12035" width="11.85546875" style="54" customWidth="1"/>
    <col min="12036" max="12036" width="26.7109375" style="54" customWidth="1"/>
    <col min="12037" max="12037" width="36.42578125" style="54" customWidth="1"/>
    <col min="12038" max="12038" width="13.28515625" style="54" customWidth="1"/>
    <col min="12039" max="12288" width="9.28515625" style="54"/>
    <col min="12289" max="12289" width="12.7109375" style="54" customWidth="1"/>
    <col min="12290" max="12290" width="13" style="54" customWidth="1"/>
    <col min="12291" max="12291" width="11.85546875" style="54" customWidth="1"/>
    <col min="12292" max="12292" width="26.7109375" style="54" customWidth="1"/>
    <col min="12293" max="12293" width="36.42578125" style="54" customWidth="1"/>
    <col min="12294" max="12294" width="13.28515625" style="54" customWidth="1"/>
    <col min="12295" max="12544" width="9.28515625" style="54"/>
    <col min="12545" max="12545" width="12.7109375" style="54" customWidth="1"/>
    <col min="12546" max="12546" width="13" style="54" customWidth="1"/>
    <col min="12547" max="12547" width="11.85546875" style="54" customWidth="1"/>
    <col min="12548" max="12548" width="26.7109375" style="54" customWidth="1"/>
    <col min="12549" max="12549" width="36.42578125" style="54" customWidth="1"/>
    <col min="12550" max="12550" width="13.28515625" style="54" customWidth="1"/>
    <col min="12551" max="12800" width="9.28515625" style="54"/>
    <col min="12801" max="12801" width="12.7109375" style="54" customWidth="1"/>
    <col min="12802" max="12802" width="13" style="54" customWidth="1"/>
    <col min="12803" max="12803" width="11.85546875" style="54" customWidth="1"/>
    <col min="12804" max="12804" width="26.7109375" style="54" customWidth="1"/>
    <col min="12805" max="12805" width="36.42578125" style="54" customWidth="1"/>
    <col min="12806" max="12806" width="13.28515625" style="54" customWidth="1"/>
    <col min="12807" max="13056" width="9.28515625" style="54"/>
    <col min="13057" max="13057" width="12.7109375" style="54" customWidth="1"/>
    <col min="13058" max="13058" width="13" style="54" customWidth="1"/>
    <col min="13059" max="13059" width="11.85546875" style="54" customWidth="1"/>
    <col min="13060" max="13060" width="26.7109375" style="54" customWidth="1"/>
    <col min="13061" max="13061" width="36.42578125" style="54" customWidth="1"/>
    <col min="13062" max="13062" width="13.28515625" style="54" customWidth="1"/>
    <col min="13063" max="13312" width="9.28515625" style="54"/>
    <col min="13313" max="13313" width="12.7109375" style="54" customWidth="1"/>
    <col min="13314" max="13314" width="13" style="54" customWidth="1"/>
    <col min="13315" max="13315" width="11.85546875" style="54" customWidth="1"/>
    <col min="13316" max="13316" width="26.7109375" style="54" customWidth="1"/>
    <col min="13317" max="13317" width="36.42578125" style="54" customWidth="1"/>
    <col min="13318" max="13318" width="13.28515625" style="54" customWidth="1"/>
    <col min="13319" max="13568" width="9.28515625" style="54"/>
    <col min="13569" max="13569" width="12.7109375" style="54" customWidth="1"/>
    <col min="13570" max="13570" width="13" style="54" customWidth="1"/>
    <col min="13571" max="13571" width="11.85546875" style="54" customWidth="1"/>
    <col min="13572" max="13572" width="26.7109375" style="54" customWidth="1"/>
    <col min="13573" max="13573" width="36.42578125" style="54" customWidth="1"/>
    <col min="13574" max="13574" width="13.28515625" style="54" customWidth="1"/>
    <col min="13575" max="13824" width="9.28515625" style="54"/>
    <col min="13825" max="13825" width="12.7109375" style="54" customWidth="1"/>
    <col min="13826" max="13826" width="13" style="54" customWidth="1"/>
    <col min="13827" max="13827" width="11.85546875" style="54" customWidth="1"/>
    <col min="13828" max="13828" width="26.7109375" style="54" customWidth="1"/>
    <col min="13829" max="13829" width="36.42578125" style="54" customWidth="1"/>
    <col min="13830" max="13830" width="13.28515625" style="54" customWidth="1"/>
    <col min="13831" max="14080" width="9.28515625" style="54"/>
    <col min="14081" max="14081" width="12.7109375" style="54" customWidth="1"/>
    <col min="14082" max="14082" width="13" style="54" customWidth="1"/>
    <col min="14083" max="14083" width="11.85546875" style="54" customWidth="1"/>
    <col min="14084" max="14084" width="26.7109375" style="54" customWidth="1"/>
    <col min="14085" max="14085" width="36.42578125" style="54" customWidth="1"/>
    <col min="14086" max="14086" width="13.28515625" style="54" customWidth="1"/>
    <col min="14087" max="14336" width="9.28515625" style="54"/>
    <col min="14337" max="14337" width="12.7109375" style="54" customWidth="1"/>
    <col min="14338" max="14338" width="13" style="54" customWidth="1"/>
    <col min="14339" max="14339" width="11.85546875" style="54" customWidth="1"/>
    <col min="14340" max="14340" width="26.7109375" style="54" customWidth="1"/>
    <col min="14341" max="14341" width="36.42578125" style="54" customWidth="1"/>
    <col min="14342" max="14342" width="13.28515625" style="54" customWidth="1"/>
    <col min="14343" max="14592" width="9.28515625" style="54"/>
    <col min="14593" max="14593" width="12.7109375" style="54" customWidth="1"/>
    <col min="14594" max="14594" width="13" style="54" customWidth="1"/>
    <col min="14595" max="14595" width="11.85546875" style="54" customWidth="1"/>
    <col min="14596" max="14596" width="26.7109375" style="54" customWidth="1"/>
    <col min="14597" max="14597" width="36.42578125" style="54" customWidth="1"/>
    <col min="14598" max="14598" width="13.28515625" style="54" customWidth="1"/>
    <col min="14599" max="14848" width="9.28515625" style="54"/>
    <col min="14849" max="14849" width="12.7109375" style="54" customWidth="1"/>
    <col min="14850" max="14850" width="13" style="54" customWidth="1"/>
    <col min="14851" max="14851" width="11.85546875" style="54" customWidth="1"/>
    <col min="14852" max="14852" width="26.7109375" style="54" customWidth="1"/>
    <col min="14853" max="14853" width="36.42578125" style="54" customWidth="1"/>
    <col min="14854" max="14854" width="13.28515625" style="54" customWidth="1"/>
    <col min="14855" max="15104" width="9.28515625" style="54"/>
    <col min="15105" max="15105" width="12.7109375" style="54" customWidth="1"/>
    <col min="15106" max="15106" width="13" style="54" customWidth="1"/>
    <col min="15107" max="15107" width="11.85546875" style="54" customWidth="1"/>
    <col min="15108" max="15108" width="26.7109375" style="54" customWidth="1"/>
    <col min="15109" max="15109" width="36.42578125" style="54" customWidth="1"/>
    <col min="15110" max="15110" width="13.28515625" style="54" customWidth="1"/>
    <col min="15111" max="15360" width="9.28515625" style="54"/>
    <col min="15361" max="15361" width="12.7109375" style="54" customWidth="1"/>
    <col min="15362" max="15362" width="13" style="54" customWidth="1"/>
    <col min="15363" max="15363" width="11.85546875" style="54" customWidth="1"/>
    <col min="15364" max="15364" width="26.7109375" style="54" customWidth="1"/>
    <col min="15365" max="15365" width="36.42578125" style="54" customWidth="1"/>
    <col min="15366" max="15366" width="13.28515625" style="54" customWidth="1"/>
    <col min="15367" max="15616" width="9.28515625" style="54"/>
    <col min="15617" max="15617" width="12.7109375" style="54" customWidth="1"/>
    <col min="15618" max="15618" width="13" style="54" customWidth="1"/>
    <col min="15619" max="15619" width="11.85546875" style="54" customWidth="1"/>
    <col min="15620" max="15620" width="26.7109375" style="54" customWidth="1"/>
    <col min="15621" max="15621" width="36.42578125" style="54" customWidth="1"/>
    <col min="15622" max="15622" width="13.28515625" style="54" customWidth="1"/>
    <col min="15623" max="15872" width="9.28515625" style="54"/>
    <col min="15873" max="15873" width="12.7109375" style="54" customWidth="1"/>
    <col min="15874" max="15874" width="13" style="54" customWidth="1"/>
    <col min="15875" max="15875" width="11.85546875" style="54" customWidth="1"/>
    <col min="15876" max="15876" width="26.7109375" style="54" customWidth="1"/>
    <col min="15877" max="15877" width="36.42578125" style="54" customWidth="1"/>
    <col min="15878" max="15878" width="13.28515625" style="54" customWidth="1"/>
    <col min="15879" max="16128" width="9.28515625" style="54"/>
    <col min="16129" max="16129" width="12.7109375" style="54" customWidth="1"/>
    <col min="16130" max="16130" width="13" style="54" customWidth="1"/>
    <col min="16131" max="16131" width="11.85546875" style="54" customWidth="1"/>
    <col min="16132" max="16132" width="26.7109375" style="54" customWidth="1"/>
    <col min="16133" max="16133" width="36.42578125" style="54" customWidth="1"/>
    <col min="16134" max="16134" width="13.28515625" style="54" customWidth="1"/>
    <col min="16135" max="16384" width="9.28515625" style="54"/>
  </cols>
  <sheetData>
    <row r="1" spans="5:6" x14ac:dyDescent="0.25">
      <c r="E1" s="3" t="s">
        <v>647</v>
      </c>
      <c r="F1" s="4"/>
    </row>
    <row r="2" spans="5:6" ht="15.6" customHeight="1" x14ac:dyDescent="0.25">
      <c r="E2" s="3" t="s">
        <v>359</v>
      </c>
      <c r="F2" s="4"/>
    </row>
    <row r="3" spans="5:6" ht="15" customHeight="1" x14ac:dyDescent="0.25">
      <c r="E3" s="3" t="s">
        <v>609</v>
      </c>
      <c r="F3" s="4"/>
    </row>
    <row r="4" spans="5:6" x14ac:dyDescent="0.25">
      <c r="E4" s="367" t="s">
        <v>686</v>
      </c>
      <c r="F4" s="7"/>
    </row>
    <row r="5" spans="5:6" x14ac:dyDescent="0.25">
      <c r="E5" s="6" t="s">
        <v>682</v>
      </c>
      <c r="F5" s="368"/>
    </row>
    <row r="6" spans="5:6" x14ac:dyDescent="0.25">
      <c r="E6" s="745" t="s">
        <v>651</v>
      </c>
      <c r="F6" s="745"/>
    </row>
    <row r="7" spans="5:6" ht="15.6" customHeight="1" x14ac:dyDescent="0.25"/>
    <row r="8" spans="5:6" ht="15.6" customHeight="1" x14ac:dyDescent="0.25">
      <c r="E8" s="529" t="s">
        <v>648</v>
      </c>
    </row>
    <row r="9" spans="5:6" ht="15.6" customHeight="1" x14ac:dyDescent="0.25">
      <c r="E9" s="94" t="s">
        <v>360</v>
      </c>
    </row>
    <row r="10" spans="5:6" ht="15.6" customHeight="1" x14ac:dyDescent="0.25">
      <c r="E10" s="5" t="s">
        <v>640</v>
      </c>
    </row>
    <row r="11" spans="5:6" ht="15.6" customHeight="1" x14ac:dyDescent="0.25">
      <c r="E11" s="5" t="s">
        <v>315</v>
      </c>
    </row>
    <row r="12" spans="5:6" ht="15.6" customHeight="1" x14ac:dyDescent="0.25">
      <c r="E12" s="6" t="s">
        <v>641</v>
      </c>
    </row>
    <row r="13" spans="5:6" ht="15.6" customHeight="1" x14ac:dyDescent="0.25">
      <c r="E13" s="564" t="s">
        <v>375</v>
      </c>
    </row>
    <row r="14" spans="5:6" ht="15.6" customHeight="1" x14ac:dyDescent="0.25">
      <c r="E14" s="628" t="s">
        <v>649</v>
      </c>
    </row>
    <row r="15" spans="5:6" ht="15.6" customHeight="1" x14ac:dyDescent="0.25">
      <c r="E15" s="628"/>
    </row>
    <row r="16" spans="5:6" ht="15.6" customHeight="1" x14ac:dyDescent="0.25"/>
    <row r="17" spans="1:6" s="629" customFormat="1" ht="45.6" customHeight="1" x14ac:dyDescent="0.3">
      <c r="A17" s="786" t="s">
        <v>642</v>
      </c>
      <c r="B17" s="786"/>
      <c r="C17" s="786"/>
      <c r="D17" s="786"/>
      <c r="E17" s="786"/>
      <c r="F17" s="786"/>
    </row>
    <row r="18" spans="1:6" s="629" customFormat="1" ht="26.25" customHeight="1" x14ac:dyDescent="0.3">
      <c r="A18" s="787">
        <v>15591000000</v>
      </c>
      <c r="B18" s="787"/>
      <c r="C18" s="787"/>
      <c r="D18" s="177"/>
      <c r="E18" s="177"/>
      <c r="F18" s="177"/>
    </row>
    <row r="19" spans="1:6" s="629" customFormat="1" ht="17.850000000000001" customHeight="1" thickBot="1" x14ac:dyDescent="0.35">
      <c r="A19" s="805" t="s">
        <v>0</v>
      </c>
      <c r="B19" s="805"/>
      <c r="C19" s="805"/>
      <c r="D19" s="177"/>
      <c r="E19" s="177"/>
      <c r="F19" s="630" t="s">
        <v>1</v>
      </c>
    </row>
    <row r="20" spans="1:6" ht="22.7" customHeight="1" x14ac:dyDescent="0.25">
      <c r="A20" s="863" t="s">
        <v>10</v>
      </c>
      <c r="B20" s="865" t="s">
        <v>11</v>
      </c>
      <c r="C20" s="867" t="s">
        <v>165</v>
      </c>
      <c r="D20" s="869" t="s">
        <v>166</v>
      </c>
      <c r="E20" s="793" t="s">
        <v>643</v>
      </c>
      <c r="F20" s="806" t="s">
        <v>644</v>
      </c>
    </row>
    <row r="21" spans="1:6" ht="99" customHeight="1" thickBot="1" x14ac:dyDescent="0.3">
      <c r="A21" s="864"/>
      <c r="B21" s="866"/>
      <c r="C21" s="868"/>
      <c r="D21" s="870"/>
      <c r="E21" s="794"/>
      <c r="F21" s="807"/>
    </row>
    <row r="22" spans="1:6" s="635" customFormat="1" ht="15.75" customHeight="1" thickBot="1" x14ac:dyDescent="0.3">
      <c r="A22" s="631" t="s">
        <v>173</v>
      </c>
      <c r="B22" s="632" t="s">
        <v>174</v>
      </c>
      <c r="C22" s="633" t="s">
        <v>175</v>
      </c>
      <c r="D22" s="178" t="s">
        <v>208</v>
      </c>
      <c r="E22" s="178" t="s">
        <v>176</v>
      </c>
      <c r="F22" s="634" t="s">
        <v>177</v>
      </c>
    </row>
    <row r="23" spans="1:6" s="640" customFormat="1" ht="51" customHeight="1" thickBot="1" x14ac:dyDescent="0.35">
      <c r="A23" s="636">
        <v>1200000</v>
      </c>
      <c r="B23" s="637"/>
      <c r="C23" s="638"/>
      <c r="D23" s="853" t="s">
        <v>653</v>
      </c>
      <c r="E23" s="853"/>
      <c r="F23" s="639">
        <f>F24</f>
        <v>394100</v>
      </c>
    </row>
    <row r="24" spans="1:6" s="645" customFormat="1" ht="45.6" customHeight="1" thickBot="1" x14ac:dyDescent="0.35">
      <c r="A24" s="641">
        <v>1210000</v>
      </c>
      <c r="B24" s="642"/>
      <c r="C24" s="643"/>
      <c r="D24" s="854" t="s">
        <v>624</v>
      </c>
      <c r="E24" s="854"/>
      <c r="F24" s="644">
        <f>F25+F28</f>
        <v>394100</v>
      </c>
    </row>
    <row r="25" spans="1:6" s="629" customFormat="1" ht="42" customHeight="1" x14ac:dyDescent="0.3">
      <c r="A25" s="855" t="s">
        <v>132</v>
      </c>
      <c r="B25" s="857">
        <v>8340</v>
      </c>
      <c r="C25" s="859" t="s">
        <v>134</v>
      </c>
      <c r="D25" s="861" t="s">
        <v>135</v>
      </c>
      <c r="E25" s="646" t="s">
        <v>645</v>
      </c>
      <c r="F25" s="647">
        <f>F26+F27</f>
        <v>345500</v>
      </c>
    </row>
    <row r="26" spans="1:6" s="645" customFormat="1" ht="21.75" customHeight="1" x14ac:dyDescent="0.3">
      <c r="A26" s="856"/>
      <c r="B26" s="858"/>
      <c r="C26" s="860"/>
      <c r="D26" s="862"/>
      <c r="E26" s="648" t="s">
        <v>14</v>
      </c>
      <c r="F26" s="649">
        <f>62956+210500</f>
        <v>273456</v>
      </c>
    </row>
    <row r="27" spans="1:6" s="645" customFormat="1" ht="21.75" customHeight="1" x14ac:dyDescent="0.3">
      <c r="A27" s="856"/>
      <c r="B27" s="858"/>
      <c r="C27" s="860"/>
      <c r="D27" s="862"/>
      <c r="E27" s="648" t="s">
        <v>217</v>
      </c>
      <c r="F27" s="649">
        <f>137244-65200</f>
        <v>72044</v>
      </c>
    </row>
    <row r="28" spans="1:6" s="629" customFormat="1" ht="60" customHeight="1" x14ac:dyDescent="0.3">
      <c r="A28" s="856"/>
      <c r="B28" s="858"/>
      <c r="C28" s="860"/>
      <c r="D28" s="862"/>
      <c r="E28" s="179" t="s">
        <v>646</v>
      </c>
      <c r="F28" s="650">
        <f>F29</f>
        <v>48600</v>
      </c>
    </row>
    <row r="29" spans="1:6" s="629" customFormat="1" ht="19.5" thickBot="1" x14ac:dyDescent="0.35">
      <c r="A29" s="856"/>
      <c r="B29" s="858"/>
      <c r="C29" s="860"/>
      <c r="D29" s="862"/>
      <c r="E29" s="648" t="s">
        <v>14</v>
      </c>
      <c r="F29" s="651">
        <v>48600</v>
      </c>
    </row>
    <row r="30" spans="1:6" s="625" customFormat="1" ht="18" customHeight="1" thickBot="1" x14ac:dyDescent="0.25">
      <c r="A30" s="636" t="s">
        <v>182</v>
      </c>
      <c r="B30" s="637" t="s">
        <v>182</v>
      </c>
      <c r="C30" s="638" t="s">
        <v>182</v>
      </c>
      <c r="D30" s="652" t="s">
        <v>138</v>
      </c>
      <c r="E30" s="653" t="s">
        <v>182</v>
      </c>
      <c r="F30" s="654">
        <f>F23</f>
        <v>394100</v>
      </c>
    </row>
    <row r="31" spans="1:6" s="625" customFormat="1" ht="18" customHeight="1" x14ac:dyDescent="0.2">
      <c r="A31" s="626"/>
      <c r="B31" s="655"/>
      <c r="C31" s="656"/>
      <c r="D31" s="657"/>
      <c r="E31" s="658"/>
      <c r="F31" s="659"/>
    </row>
    <row r="32" spans="1:6" s="629" customFormat="1" ht="18.75" x14ac:dyDescent="0.3">
      <c r="B32" s="660"/>
      <c r="C32" s="661"/>
      <c r="D32" s="662"/>
      <c r="E32" s="663"/>
      <c r="F32" s="664"/>
    </row>
    <row r="33" spans="1:6" s="640" customFormat="1" ht="18.75" x14ac:dyDescent="0.3">
      <c r="A33" s="125" t="s">
        <v>363</v>
      </c>
      <c r="B33" s="125"/>
      <c r="C33" s="541"/>
      <c r="D33" s="121"/>
      <c r="E33" s="852" t="s">
        <v>311</v>
      </c>
      <c r="F33" s="852"/>
    </row>
  </sheetData>
  <mergeCells count="17">
    <mergeCell ref="A25:A29"/>
    <mergeCell ref="B25:B29"/>
    <mergeCell ref="C25:C29"/>
    <mergeCell ref="D25:D29"/>
    <mergeCell ref="A17:F17"/>
    <mergeCell ref="A18:C18"/>
    <mergeCell ref="A19:C19"/>
    <mergeCell ref="A20:A21"/>
    <mergeCell ref="B20:B21"/>
    <mergeCell ref="C20:C21"/>
    <mergeCell ref="D20:D21"/>
    <mergeCell ref="E20:E21"/>
    <mergeCell ref="F20:F21"/>
    <mergeCell ref="E33:F33"/>
    <mergeCell ref="E6:F6"/>
    <mergeCell ref="D23:E23"/>
    <mergeCell ref="D24:E24"/>
  </mergeCell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11</vt:i4>
      </vt:variant>
    </vt:vector>
  </HeadingPairs>
  <TitlesOfParts>
    <vt:vector size="18" baseType="lpstr">
      <vt:lpstr>дод 1 Доходи</vt:lpstr>
      <vt:lpstr>дод 2 Джерела</vt:lpstr>
      <vt:lpstr>дод 3 Видатки</vt:lpstr>
      <vt:lpstr>дод 4 Трансферти</vt:lpstr>
      <vt:lpstr>дод 5 Програми</vt:lpstr>
      <vt:lpstr>дод 6 Бюдж розвитку</vt:lpstr>
      <vt:lpstr>дод 7 ФОНС </vt:lpstr>
      <vt:lpstr>'дод 5 Програми'!_Hlk120021892</vt:lpstr>
      <vt:lpstr>'дод 5 Програми'!_Hlk125474567</vt:lpstr>
      <vt:lpstr>'дод 3 Видатки'!Заголовки_для_друку</vt:lpstr>
      <vt:lpstr>'дод 5 Програми'!Заголовки_для_друку</vt:lpstr>
      <vt:lpstr>'дод 6 Бюдж розвитку'!Заголовки_для_друку</vt:lpstr>
      <vt:lpstr>'дод 1 Доходи'!Область_друку</vt:lpstr>
      <vt:lpstr>'дод 2 Джерела'!Область_друку</vt:lpstr>
      <vt:lpstr>'дод 3 Видатки'!Область_друку</vt:lpstr>
      <vt:lpstr>'дод 4 Трансферти'!Область_друку</vt:lpstr>
      <vt:lpstr>'дод 5 Програми'!Область_друку</vt:lpstr>
      <vt:lpstr>'дод 6 Бюдж розвитку'!Область_друку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polzovatel</dc:creator>
  <cp:lastModifiedBy>User</cp:lastModifiedBy>
  <cp:lastPrinted>2025-12-22T07:36:44Z</cp:lastPrinted>
  <dcterms:created xsi:type="dcterms:W3CDTF">2021-12-17T13:26:15Z</dcterms:created>
  <dcterms:modified xsi:type="dcterms:W3CDTF">2025-12-22T07:36:45Z</dcterms:modified>
</cp:coreProperties>
</file>