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B-1-FIN-OTDEL\share\БЮДЖЕТ 2026 рік\Рішення Про бюджет на 2026 рік\2. Рішення 2026 рік №      -VIII від\"/>
    </mc:Choice>
  </mc:AlternateContent>
  <xr:revisionPtr revIDLastSave="0" documentId="13_ncr:1_{B890A047-6991-49B3-9A1A-839F42EAF12E}" xr6:coauthVersionLast="47" xr6:coauthVersionMax="47" xr10:uidLastSave="{00000000-0000-0000-0000-000000000000}"/>
  <bookViews>
    <workbookView xWindow="-120" yWindow="-120" windowWidth="29040" windowHeight="15720" tabRatio="778" activeTab="3" xr2:uid="{00000000-000D-0000-FFFF-FFFF00000000}"/>
  </bookViews>
  <sheets>
    <sheet name="дод 1 Доходи " sheetId="31" r:id="rId1"/>
    <sheet name="дод 2 Джерела" sheetId="25" r:id="rId2"/>
    <sheet name="дод. 3 Видатки" sheetId="26" r:id="rId3"/>
    <sheet name="дод.4 Трансферти" sheetId="28" r:id="rId4"/>
    <sheet name="дод.5 Пуб. інвестиції" sheetId="30" r:id="rId5"/>
    <sheet name="дод.6 Програми" sheetId="29" r:id="rId6"/>
    <sheet name="дод 7 Бюдж розвитку" sheetId="17" r:id="rId7"/>
  </sheets>
  <definedNames>
    <definedName name="_xlnm.Print_Titles" localSheetId="6">'дод 7 Бюдж розвитку'!$20:$22</definedName>
    <definedName name="_xlnm.Print_Area" localSheetId="1">'дод 2 Джерела'!$A$1:$F$38</definedName>
    <definedName name="_xlnm.Print_Area" localSheetId="6">'дод 7 Бюдж розвитку'!$A$1:$K$66</definedName>
    <definedName name="_xlnm.Print_Area" localSheetId="3">'дод.4 Трансферти'!$A$1:$D$66</definedName>
    <definedName name="_xlnm.Print_Area" localSheetId="4">'дод.5 Пуб. інвестиції'!$A$1:$M$43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17" l="1"/>
  <c r="J35" i="17"/>
  <c r="G86" i="29"/>
  <c r="J86" i="29"/>
  <c r="I86" i="29"/>
  <c r="H79" i="29"/>
  <c r="G79" i="29" s="1"/>
  <c r="H29" i="30"/>
  <c r="H41" i="30" s="1"/>
  <c r="I29" i="30"/>
  <c r="I41" i="30" s="1"/>
  <c r="F93" i="26"/>
  <c r="J99" i="26"/>
  <c r="K99" i="26"/>
  <c r="O99" i="26"/>
  <c r="E27" i="25"/>
  <c r="E34" i="25" s="1"/>
  <c r="D27" i="25"/>
  <c r="D34" i="25" s="1"/>
  <c r="E82" i="26"/>
  <c r="E85" i="31"/>
  <c r="F85" i="31"/>
  <c r="D85" i="31"/>
  <c r="C85" i="31"/>
  <c r="C73" i="31"/>
  <c r="D73" i="31"/>
  <c r="D70" i="31"/>
  <c r="C32" i="25"/>
  <c r="C33" i="25"/>
  <c r="E33" i="25"/>
  <c r="F33" i="25"/>
  <c r="E32" i="25"/>
  <c r="F32" i="25"/>
  <c r="D32" i="25"/>
  <c r="D33" i="25"/>
  <c r="C25" i="25"/>
  <c r="C26" i="25"/>
  <c r="F25" i="25"/>
  <c r="E25" i="25"/>
  <c r="F27" i="25"/>
  <c r="F34" i="25" s="1"/>
  <c r="D25" i="25"/>
  <c r="J41" i="30"/>
  <c r="K41" i="30"/>
  <c r="L41" i="30"/>
  <c r="M41" i="30"/>
  <c r="H40" i="30"/>
  <c r="I40" i="30"/>
  <c r="H36" i="30"/>
  <c r="I36" i="30"/>
  <c r="I34" i="30"/>
  <c r="H34" i="30" s="1"/>
  <c r="I33" i="30"/>
  <c r="H33" i="30" s="1"/>
  <c r="I88" i="29"/>
  <c r="G88" i="29" s="1"/>
  <c r="H98" i="29"/>
  <c r="G98" i="29"/>
  <c r="H99" i="29"/>
  <c r="I93" i="29"/>
  <c r="G93" i="29" s="1"/>
  <c r="I90" i="29"/>
  <c r="G90" i="29" s="1"/>
  <c r="I92" i="29"/>
  <c r="G92" i="29" s="1"/>
  <c r="I89" i="29"/>
  <c r="G89" i="29" s="1"/>
  <c r="G87" i="29"/>
  <c r="J87" i="29"/>
  <c r="I87" i="29"/>
  <c r="I74" i="29"/>
  <c r="J74" i="29" s="1"/>
  <c r="H100" i="29"/>
  <c r="G100" i="29" s="1"/>
  <c r="H73" i="29"/>
  <c r="H81" i="29"/>
  <c r="G81" i="29" s="1"/>
  <c r="H76" i="29"/>
  <c r="G76" i="29" s="1"/>
  <c r="H75" i="29"/>
  <c r="H69" i="29"/>
  <c r="G69" i="29" s="1"/>
  <c r="H68" i="29"/>
  <c r="G68" i="29" s="1"/>
  <c r="H66" i="29"/>
  <c r="G66" i="29" s="1"/>
  <c r="H67" i="29"/>
  <c r="G67" i="29" s="1"/>
  <c r="H63" i="29"/>
  <c r="G63" i="29" s="1"/>
  <c r="H62" i="29"/>
  <c r="G62" i="29"/>
  <c r="H61" i="29"/>
  <c r="G61" i="29" s="1"/>
  <c r="H58" i="29"/>
  <c r="G58" i="29" s="1"/>
  <c r="F24" i="25" l="1"/>
  <c r="E24" i="25"/>
  <c r="C27" i="25"/>
  <c r="C34" i="25" s="1"/>
  <c r="D24" i="25"/>
  <c r="I85" i="29"/>
  <c r="J88" i="29"/>
  <c r="G74" i="29"/>
  <c r="J89" i="29"/>
  <c r="J93" i="29"/>
  <c r="J92" i="29"/>
  <c r="G73" i="29"/>
  <c r="H57" i="29"/>
  <c r="H45" i="29"/>
  <c r="G47" i="29"/>
  <c r="H33" i="29"/>
  <c r="G33" i="29" s="1"/>
  <c r="H31" i="29"/>
  <c r="G31" i="29" s="1"/>
  <c r="H27" i="29"/>
  <c r="J26" i="29"/>
  <c r="I26" i="29"/>
  <c r="H25" i="29"/>
  <c r="G25" i="29" s="1"/>
  <c r="D49" i="28"/>
  <c r="D50" i="28"/>
  <c r="D33" i="28"/>
  <c r="D34" i="28"/>
  <c r="D46" i="28"/>
  <c r="D47" i="28"/>
  <c r="D28" i="28"/>
  <c r="D27" i="28" s="1"/>
  <c r="D32" i="28"/>
  <c r="D31" i="28" s="1"/>
  <c r="D44" i="28"/>
  <c r="D43" i="28" s="1"/>
  <c r="D36" i="28"/>
  <c r="D35" i="28" s="1"/>
  <c r="F23" i="25" l="1"/>
  <c r="F31" i="25"/>
  <c r="E23" i="25"/>
  <c r="E31" i="25"/>
  <c r="D31" i="25"/>
  <c r="D23" i="25"/>
  <c r="C24" i="25"/>
  <c r="C31" i="25" s="1"/>
  <c r="H23" i="29"/>
  <c r="O124" i="26"/>
  <c r="N124" i="26"/>
  <c r="M124" i="26"/>
  <c r="L124" i="26"/>
  <c r="J92" i="26"/>
  <c r="O92" i="26"/>
  <c r="K92" i="26"/>
  <c r="J52" i="26"/>
  <c r="H117" i="26"/>
  <c r="H115" i="26" s="1"/>
  <c r="H114" i="26" s="1"/>
  <c r="H78" i="26"/>
  <c r="G58" i="26"/>
  <c r="F40" i="26"/>
  <c r="E27" i="26"/>
  <c r="I27" i="26"/>
  <c r="F27" i="26"/>
  <c r="I115" i="26"/>
  <c r="F26" i="26"/>
  <c r="L97" i="26"/>
  <c r="M97" i="26"/>
  <c r="N97" i="26"/>
  <c r="O97" i="26"/>
  <c r="J98" i="26"/>
  <c r="J97" i="26" s="1"/>
  <c r="J124" i="26" s="1"/>
  <c r="O98" i="26"/>
  <c r="K98" i="26"/>
  <c r="K97" i="26" s="1"/>
  <c r="K124" i="26" s="1"/>
  <c r="O104" i="26"/>
  <c r="J104" i="26"/>
  <c r="K104" i="26"/>
  <c r="K103" i="26"/>
  <c r="O102" i="26"/>
  <c r="K102" i="26"/>
  <c r="J102" i="26"/>
  <c r="P102" i="26" s="1"/>
  <c r="K101" i="26"/>
  <c r="J101" i="26" s="1"/>
  <c r="M38" i="26"/>
  <c r="N38" i="26"/>
  <c r="K39" i="26"/>
  <c r="K38" i="26" s="1"/>
  <c r="L39" i="26"/>
  <c r="L38" i="26" s="1"/>
  <c r="M39" i="26"/>
  <c r="N39" i="26"/>
  <c r="L119" i="26"/>
  <c r="H120" i="26"/>
  <c r="H119" i="26" s="1"/>
  <c r="I120" i="26"/>
  <c r="I119" i="26" s="1"/>
  <c r="L120" i="26"/>
  <c r="M120" i="26"/>
  <c r="M119" i="26" s="1"/>
  <c r="N120" i="26"/>
  <c r="N119" i="26" s="1"/>
  <c r="J121" i="26"/>
  <c r="J120" i="26" s="1"/>
  <c r="J119" i="26" s="1"/>
  <c r="K121" i="26"/>
  <c r="K120" i="26" s="1"/>
  <c r="K119" i="26" s="1"/>
  <c r="G121" i="26"/>
  <c r="G120" i="26" s="1"/>
  <c r="G119" i="26" s="1"/>
  <c r="F121" i="26"/>
  <c r="E121" i="26" s="1"/>
  <c r="E118" i="26"/>
  <c r="F117" i="26"/>
  <c r="E117" i="26" s="1"/>
  <c r="F116" i="26"/>
  <c r="E116" i="26" s="1"/>
  <c r="N114" i="26"/>
  <c r="K115" i="26"/>
  <c r="K114" i="26" s="1"/>
  <c r="L115" i="26"/>
  <c r="L114" i="26" s="1"/>
  <c r="M115" i="26"/>
  <c r="M114" i="26" s="1"/>
  <c r="N115" i="26"/>
  <c r="K116" i="26"/>
  <c r="O116" i="26" s="1"/>
  <c r="O115" i="26" s="1"/>
  <c r="O114" i="26" s="1"/>
  <c r="I116" i="26"/>
  <c r="I114" i="26" s="1"/>
  <c r="G116" i="26"/>
  <c r="G115" i="26" s="1"/>
  <c r="G114" i="26" s="1"/>
  <c r="F30" i="25" l="1"/>
  <c r="F28" i="25"/>
  <c r="F35" i="25" s="1"/>
  <c r="E30" i="25"/>
  <c r="E28" i="25"/>
  <c r="E35" i="25" s="1"/>
  <c r="C23" i="25"/>
  <c r="C30" i="25" s="1"/>
  <c r="D28" i="25"/>
  <c r="D30" i="25"/>
  <c r="P52" i="26"/>
  <c r="J39" i="26"/>
  <c r="J38" i="26" s="1"/>
  <c r="O39" i="26"/>
  <c r="O38" i="26" s="1"/>
  <c r="O121" i="26"/>
  <c r="O120" i="26" s="1"/>
  <c r="O119" i="26" s="1"/>
  <c r="O101" i="26"/>
  <c r="J116" i="26"/>
  <c r="J115" i="26" s="1"/>
  <c r="J114" i="26" s="1"/>
  <c r="F115" i="26"/>
  <c r="E115" i="26" s="1"/>
  <c r="E114" i="26" s="1"/>
  <c r="F114" i="26"/>
  <c r="F111" i="26"/>
  <c r="F110" i="26" s="1"/>
  <c r="F109" i="26" s="1"/>
  <c r="I111" i="26"/>
  <c r="I110" i="26" s="1"/>
  <c r="I109" i="26" s="1"/>
  <c r="O109" i="26"/>
  <c r="H110" i="26"/>
  <c r="H109" i="26" s="1"/>
  <c r="J110" i="26"/>
  <c r="J109" i="26" s="1"/>
  <c r="K110" i="26"/>
  <c r="K109" i="26" s="1"/>
  <c r="L110" i="26"/>
  <c r="L109" i="26" s="1"/>
  <c r="M110" i="26"/>
  <c r="M109" i="26" s="1"/>
  <c r="N110" i="26"/>
  <c r="N109" i="26" s="1"/>
  <c r="O110" i="26"/>
  <c r="E112" i="26"/>
  <c r="E113" i="26"/>
  <c r="G111" i="26"/>
  <c r="G110" i="26" s="1"/>
  <c r="G109" i="26" s="1"/>
  <c r="G107" i="26"/>
  <c r="G106" i="26" s="1"/>
  <c r="G105" i="26" s="1"/>
  <c r="N105" i="26"/>
  <c r="H106" i="26"/>
  <c r="H105" i="26" s="1"/>
  <c r="I106" i="26"/>
  <c r="I105" i="26" s="1"/>
  <c r="L106" i="26"/>
  <c r="L105" i="26" s="1"/>
  <c r="M106" i="26"/>
  <c r="M105" i="26" s="1"/>
  <c r="N106" i="26"/>
  <c r="K108" i="26"/>
  <c r="K106" i="26" s="1"/>
  <c r="K105" i="26" s="1"/>
  <c r="F107" i="26"/>
  <c r="F106" i="26" s="1"/>
  <c r="F105" i="26" s="1"/>
  <c r="E93" i="26"/>
  <c r="E90" i="26"/>
  <c r="F90" i="26"/>
  <c r="H87" i="26"/>
  <c r="L87" i="26"/>
  <c r="M87" i="26"/>
  <c r="N87" i="26"/>
  <c r="F95" i="26"/>
  <c r="E95" i="26" s="1"/>
  <c r="P95" i="26" s="1"/>
  <c r="J91" i="26"/>
  <c r="J87" i="26" s="1"/>
  <c r="K91" i="26"/>
  <c r="O91" i="26" s="1"/>
  <c r="I91" i="26"/>
  <c r="F91" i="26"/>
  <c r="E91" i="26" s="1"/>
  <c r="G88" i="26"/>
  <c r="G87" i="26" s="1"/>
  <c r="F88" i="26"/>
  <c r="K88" i="26"/>
  <c r="J88" i="26" s="1"/>
  <c r="I88" i="26"/>
  <c r="I87" i="26" s="1"/>
  <c r="H25" i="26"/>
  <c r="H24" i="26" s="1"/>
  <c r="L25" i="26"/>
  <c r="L24" i="26" s="1"/>
  <c r="M25" i="26"/>
  <c r="M24" i="26" s="1"/>
  <c r="N25" i="26"/>
  <c r="N24" i="26" s="1"/>
  <c r="I39" i="26"/>
  <c r="I38" i="26" s="1"/>
  <c r="H56" i="26"/>
  <c r="H55" i="26" s="1"/>
  <c r="I56" i="26"/>
  <c r="I55" i="26" s="1"/>
  <c r="J56" i="26"/>
  <c r="J55" i="26" s="1"/>
  <c r="L56" i="26"/>
  <c r="L55" i="26" s="1"/>
  <c r="M56" i="26"/>
  <c r="M55" i="26" s="1"/>
  <c r="N56" i="26"/>
  <c r="N55" i="26" s="1"/>
  <c r="H67" i="26"/>
  <c r="L67" i="26"/>
  <c r="M67" i="26"/>
  <c r="N67" i="26"/>
  <c r="G79" i="26"/>
  <c r="F79" i="26"/>
  <c r="F85" i="26"/>
  <c r="E85" i="26" s="1"/>
  <c r="G84" i="26"/>
  <c r="F84" i="26"/>
  <c r="E84" i="26" s="1"/>
  <c r="G82" i="26"/>
  <c r="F82" i="26"/>
  <c r="E83" i="26"/>
  <c r="F83" i="26"/>
  <c r="J79" i="26"/>
  <c r="O79" i="26"/>
  <c r="K79" i="26"/>
  <c r="I79" i="26"/>
  <c r="O78" i="26"/>
  <c r="K78" i="26"/>
  <c r="J78" i="26"/>
  <c r="I78" i="26"/>
  <c r="G78" i="26"/>
  <c r="F78" i="26"/>
  <c r="E78" i="26" s="1"/>
  <c r="G77" i="26"/>
  <c r="O77" i="26"/>
  <c r="K77" i="26"/>
  <c r="J77" i="26" s="1"/>
  <c r="I77" i="26"/>
  <c r="F77" i="26"/>
  <c r="E77" i="26" s="1"/>
  <c r="O76" i="26"/>
  <c r="K76" i="26"/>
  <c r="J76" i="26" s="1"/>
  <c r="G76" i="26"/>
  <c r="F76" i="26"/>
  <c r="E76" i="26" s="1"/>
  <c r="N71" i="26"/>
  <c r="H72" i="26"/>
  <c r="H71" i="26" s="1"/>
  <c r="L72" i="26"/>
  <c r="L71" i="26" s="1"/>
  <c r="M72" i="26"/>
  <c r="M71" i="26" s="1"/>
  <c r="N72" i="26"/>
  <c r="J74" i="26"/>
  <c r="O74" i="26"/>
  <c r="K74" i="26"/>
  <c r="I74" i="26"/>
  <c r="G74" i="26"/>
  <c r="F74" i="26"/>
  <c r="G73" i="26"/>
  <c r="F73" i="26"/>
  <c r="E73" i="26" s="1"/>
  <c r="G69" i="26"/>
  <c r="F69" i="26"/>
  <c r="F68" i="26" s="1"/>
  <c r="F67" i="26" s="1"/>
  <c r="I69" i="26"/>
  <c r="O68" i="26"/>
  <c r="O67" i="26" s="1"/>
  <c r="K68" i="26"/>
  <c r="J68" i="26" s="1"/>
  <c r="J67" i="26" s="1"/>
  <c r="G68" i="26"/>
  <c r="G67" i="26" s="1"/>
  <c r="F57" i="26"/>
  <c r="F61" i="26"/>
  <c r="E61" i="26" s="1"/>
  <c r="G61" i="26"/>
  <c r="F66" i="26"/>
  <c r="E66" i="26" s="1"/>
  <c r="P66" i="26" s="1"/>
  <c r="F59" i="26"/>
  <c r="E59" i="26" s="1"/>
  <c r="P59" i="26" s="1"/>
  <c r="F60" i="26"/>
  <c r="K58" i="26"/>
  <c r="K56" i="26" s="1"/>
  <c r="K55" i="26" s="1"/>
  <c r="O58" i="26"/>
  <c r="O56" i="26" s="1"/>
  <c r="O55" i="26" s="1"/>
  <c r="F58" i="26"/>
  <c r="E58" i="26" s="1"/>
  <c r="G57" i="26"/>
  <c r="E57" i="26"/>
  <c r="F53" i="26"/>
  <c r="E53" i="26" s="1"/>
  <c r="P53" i="26" s="1"/>
  <c r="F51" i="26"/>
  <c r="E51" i="26" s="1"/>
  <c r="P51" i="26" s="1"/>
  <c r="F50" i="26"/>
  <c r="E50" i="26" s="1"/>
  <c r="P50" i="26" s="1"/>
  <c r="G48" i="26"/>
  <c r="F48" i="26"/>
  <c r="E48" i="26" s="1"/>
  <c r="P48" i="26" s="1"/>
  <c r="G47" i="26"/>
  <c r="F47" i="26"/>
  <c r="E47" i="26" s="1"/>
  <c r="G45" i="26"/>
  <c r="F45" i="26"/>
  <c r="E45" i="26" s="1"/>
  <c r="H42" i="26"/>
  <c r="F42" i="26"/>
  <c r="E42" i="26" s="1"/>
  <c r="G42" i="26"/>
  <c r="H41" i="26"/>
  <c r="F41" i="26"/>
  <c r="E41" i="26" s="1"/>
  <c r="G41" i="26"/>
  <c r="G49" i="26"/>
  <c r="F49" i="26"/>
  <c r="E49" i="26" s="1"/>
  <c r="G44" i="26"/>
  <c r="F44" i="26"/>
  <c r="E44" i="26" s="1"/>
  <c r="H40" i="26"/>
  <c r="G40" i="26"/>
  <c r="G39" i="26" s="1"/>
  <c r="G38" i="26" s="1"/>
  <c r="E40" i="26"/>
  <c r="F37" i="26"/>
  <c r="E37" i="26" s="1"/>
  <c r="F32" i="26"/>
  <c r="E32" i="26" s="1"/>
  <c r="E28" i="26"/>
  <c r="K28" i="26"/>
  <c r="O26" i="26"/>
  <c r="K26" i="26" s="1"/>
  <c r="J26" i="26" s="1"/>
  <c r="I26" i="26"/>
  <c r="I25" i="26" s="1"/>
  <c r="I24" i="26" s="1"/>
  <c r="I124" i="26" s="1"/>
  <c r="G26" i="26"/>
  <c r="G25" i="26" s="1"/>
  <c r="G24" i="26" s="1"/>
  <c r="D35" i="25" l="1"/>
  <c r="C28" i="25"/>
  <c r="C35" i="25" s="1"/>
  <c r="I72" i="26"/>
  <c r="E69" i="26"/>
  <c r="E68" i="26" s="1"/>
  <c r="E67" i="26" s="1"/>
  <c r="E107" i="26"/>
  <c r="E106" i="26" s="1"/>
  <c r="E105" i="26" s="1"/>
  <c r="G56" i="26"/>
  <c r="G55" i="26" s="1"/>
  <c r="O108" i="26"/>
  <c r="O106" i="26" s="1"/>
  <c r="O105" i="26" s="1"/>
  <c r="E111" i="26"/>
  <c r="E110" i="26" s="1"/>
  <c r="E109" i="26" s="1"/>
  <c r="J108" i="26"/>
  <c r="J106" i="26" s="1"/>
  <c r="J105" i="26" s="1"/>
  <c r="E74" i="26"/>
  <c r="E72" i="26" s="1"/>
  <c r="E71" i="26" s="1"/>
  <c r="E88" i="26"/>
  <c r="H39" i="26"/>
  <c r="H38" i="26" s="1"/>
  <c r="E79" i="26"/>
  <c r="K87" i="26"/>
  <c r="I68" i="26"/>
  <c r="I67" i="26" s="1"/>
  <c r="K67" i="26"/>
  <c r="F56" i="26"/>
  <c r="F55" i="26" s="1"/>
  <c r="F25" i="26"/>
  <c r="F24" i="26" s="1"/>
  <c r="O88" i="26"/>
  <c r="O87" i="26" s="1"/>
  <c r="F39" i="26"/>
  <c r="F38" i="26" s="1"/>
  <c r="E56" i="26"/>
  <c r="E55" i="26" s="1"/>
  <c r="K72" i="26"/>
  <c r="K71" i="26" s="1"/>
  <c r="I71" i="26"/>
  <c r="G72" i="26"/>
  <c r="G71" i="26" s="1"/>
  <c r="J72" i="26"/>
  <c r="J71" i="26" s="1"/>
  <c r="O72" i="26"/>
  <c r="O71" i="26" s="1"/>
  <c r="F72" i="26"/>
  <c r="F71" i="26" s="1"/>
  <c r="E26" i="26"/>
  <c r="C76" i="31"/>
  <c r="E73" i="31"/>
  <c r="C78" i="31"/>
  <c r="D74" i="31"/>
  <c r="C77" i="31"/>
  <c r="D79" i="31"/>
  <c r="C84" i="31"/>
  <c r="C80" i="31"/>
  <c r="C79" i="31" s="1"/>
  <c r="P72" i="26" l="1"/>
  <c r="D69" i="31"/>
  <c r="C74" i="31"/>
  <c r="I34" i="17"/>
  <c r="K34" i="17"/>
  <c r="G63" i="17"/>
  <c r="I63" i="17" s="1"/>
  <c r="J62" i="17"/>
  <c r="H62" i="17"/>
  <c r="G62" i="17"/>
  <c r="J58" i="17"/>
  <c r="I58" i="17"/>
  <c r="J53" i="17"/>
  <c r="H53" i="17"/>
  <c r="I53" i="17" s="1"/>
  <c r="K52" i="17"/>
  <c r="I52" i="17"/>
  <c r="J51" i="17"/>
  <c r="K51" i="17" s="1"/>
  <c r="I51" i="17"/>
  <c r="K45" i="17"/>
  <c r="I45" i="17"/>
  <c r="K43" i="17"/>
  <c r="I43" i="17"/>
  <c r="H42" i="17"/>
  <c r="J40" i="17"/>
  <c r="H40" i="17"/>
  <c r="I40" i="17" s="1"/>
  <c r="I37" i="17"/>
  <c r="H36" i="17"/>
  <c r="K35" i="17"/>
  <c r="I35" i="17"/>
  <c r="J31" i="17"/>
  <c r="J30" i="17" s="1"/>
  <c r="J29" i="17" s="1"/>
  <c r="J25" i="17"/>
  <c r="J24" i="17" s="1"/>
  <c r="K63" i="17" l="1"/>
  <c r="J33" i="17"/>
  <c r="I62" i="17"/>
  <c r="K53" i="17"/>
  <c r="K62" i="17"/>
  <c r="J32" i="17" l="1"/>
  <c r="J64" i="17" s="1"/>
  <c r="H22" i="29" l="1"/>
  <c r="I91" i="29"/>
  <c r="J91" i="29" s="1"/>
  <c r="J90" i="29"/>
  <c r="J85" i="29"/>
  <c r="J84" i="29" s="1"/>
  <c r="J103" i="29" s="1"/>
  <c r="I84" i="29"/>
  <c r="I103" i="29" s="1"/>
  <c r="G85" i="29"/>
  <c r="G84" i="29" s="1"/>
  <c r="H85" i="29"/>
  <c r="H84" i="29" s="1"/>
  <c r="G83" i="29"/>
  <c r="G82" i="29"/>
  <c r="H80" i="29"/>
  <c r="H71" i="29" s="1"/>
  <c r="G80" i="29"/>
  <c r="G78" i="29"/>
  <c r="G77" i="29"/>
  <c r="G75" i="29"/>
  <c r="J71" i="29"/>
  <c r="J70" i="29" s="1"/>
  <c r="I71" i="29"/>
  <c r="I70" i="29" s="1"/>
  <c r="H56" i="29"/>
  <c r="G57" i="29"/>
  <c r="G56" i="29" s="1"/>
  <c r="J56" i="29"/>
  <c r="I56" i="29"/>
  <c r="J54" i="29"/>
  <c r="J53" i="29" s="1"/>
  <c r="I54" i="29"/>
  <c r="I53" i="29" s="1"/>
  <c r="H54" i="29"/>
  <c r="H53" i="29" s="1"/>
  <c r="G54" i="29"/>
  <c r="G53" i="29" s="1"/>
  <c r="G52" i="29"/>
  <c r="G51" i="29"/>
  <c r="G50" i="29"/>
  <c r="G49" i="29"/>
  <c r="G45" i="29" s="1"/>
  <c r="J45" i="29"/>
  <c r="J44" i="29" s="1"/>
  <c r="I45" i="29"/>
  <c r="I44" i="29" s="1"/>
  <c r="H44" i="29"/>
  <c r="J35" i="29"/>
  <c r="J34" i="29" s="1"/>
  <c r="I35" i="29"/>
  <c r="I34" i="29" s="1"/>
  <c r="H35" i="29"/>
  <c r="H34" i="29" s="1"/>
  <c r="G35" i="29"/>
  <c r="G34" i="29" s="1"/>
  <c r="G28" i="29"/>
  <c r="G27" i="29"/>
  <c r="G26" i="29"/>
  <c r="G23" i="29" s="1"/>
  <c r="J23" i="29"/>
  <c r="J22" i="29" s="1"/>
  <c r="I23" i="29"/>
  <c r="I22" i="29" s="1"/>
  <c r="G71" i="29" l="1"/>
  <c r="H70" i="29"/>
  <c r="H103" i="29" s="1"/>
  <c r="G103" i="29" s="1"/>
  <c r="G22" i="29"/>
  <c r="G44" i="29"/>
  <c r="L98" i="26"/>
  <c r="M98" i="26"/>
  <c r="N98" i="26"/>
  <c r="J103" i="26"/>
  <c r="O103" i="26"/>
  <c r="K86" i="26"/>
  <c r="L86" i="26"/>
  <c r="M86" i="26"/>
  <c r="N86" i="26"/>
  <c r="O86" i="26"/>
  <c r="J86" i="26"/>
  <c r="P96" i="26"/>
  <c r="P93" i="26"/>
  <c r="P92" i="26"/>
  <c r="P91" i="26"/>
  <c r="P90" i="26"/>
  <c r="I86" i="26"/>
  <c r="G86" i="26"/>
  <c r="H86" i="26"/>
  <c r="J28" i="26"/>
  <c r="O28" i="26"/>
  <c r="O31" i="26"/>
  <c r="K31" i="26" s="1"/>
  <c r="K25" i="26" s="1"/>
  <c r="K24" i="26" s="1"/>
  <c r="E31" i="26"/>
  <c r="E25" i="26" s="1"/>
  <c r="E24" i="26" s="1"/>
  <c r="G70" i="29" l="1"/>
  <c r="O25" i="26"/>
  <c r="O24" i="26" s="1"/>
  <c r="J31" i="26"/>
  <c r="J25" i="26" s="1"/>
  <c r="P28" i="26"/>
  <c r="F94" i="26"/>
  <c r="F87" i="26" s="1"/>
  <c r="E94" i="26"/>
  <c r="E87" i="26" s="1"/>
  <c r="F122" i="26"/>
  <c r="F120" i="26" s="1"/>
  <c r="F119" i="26" s="1"/>
  <c r="J24" i="26" l="1"/>
  <c r="F86" i="26"/>
  <c r="F124" i="26" s="1"/>
  <c r="E124" i="26" s="1"/>
  <c r="P124" i="26" s="1"/>
  <c r="P94" i="26"/>
  <c r="P87" i="26"/>
  <c r="P31" i="26"/>
  <c r="E122" i="26"/>
  <c r="C71" i="31"/>
  <c r="F79" i="31"/>
  <c r="E79" i="31"/>
  <c r="E70" i="31" s="1"/>
  <c r="E120" i="26" l="1"/>
  <c r="E119" i="26" s="1"/>
  <c r="P25" i="26"/>
  <c r="C70" i="31"/>
  <c r="E69" i="31"/>
  <c r="E86" i="26"/>
  <c r="P86" i="26" s="1"/>
  <c r="P65" i="26"/>
  <c r="P64" i="26"/>
  <c r="P63" i="26"/>
  <c r="P57" i="26"/>
  <c r="P56" i="26" l="1"/>
  <c r="I35" i="30"/>
  <c r="H35" i="30"/>
  <c r="G35" i="30"/>
  <c r="C75" i="31" l="1"/>
  <c r="C72" i="31"/>
  <c r="E67" i="31"/>
  <c r="C67" i="31" s="1"/>
  <c r="F66" i="31"/>
  <c r="F65" i="31" s="1"/>
  <c r="F68" i="31" s="1"/>
  <c r="E66" i="31"/>
  <c r="C66" i="31" s="1"/>
  <c r="C64" i="31"/>
  <c r="E63" i="31"/>
  <c r="C63" i="31" s="1"/>
  <c r="C62" i="31"/>
  <c r="C61" i="31"/>
  <c r="D60" i="31"/>
  <c r="C60" i="31" s="1"/>
  <c r="C59" i="31"/>
  <c r="C58" i="31"/>
  <c r="C57" i="31"/>
  <c r="C56" i="31"/>
  <c r="C55" i="31"/>
  <c r="D54" i="31"/>
  <c r="C54" i="31" s="1"/>
  <c r="C53" i="31"/>
  <c r="C52" i="31"/>
  <c r="C51" i="31"/>
  <c r="D50" i="31"/>
  <c r="C50" i="31" s="1"/>
  <c r="C48" i="31"/>
  <c r="E47" i="31"/>
  <c r="C47" i="31" s="1"/>
  <c r="C46" i="31"/>
  <c r="C45" i="31"/>
  <c r="C44" i="31"/>
  <c r="C43" i="31"/>
  <c r="C42" i="31"/>
  <c r="C41" i="31"/>
  <c r="C40" i="31"/>
  <c r="D39" i="31"/>
  <c r="C39" i="31" s="1"/>
  <c r="C38" i="31"/>
  <c r="C37" i="31"/>
  <c r="C36" i="31"/>
  <c r="C35" i="31"/>
  <c r="D34" i="31"/>
  <c r="C34" i="31" s="1"/>
  <c r="C33" i="31"/>
  <c r="D32" i="31"/>
  <c r="C32" i="31" s="1"/>
  <c r="C31" i="31"/>
  <c r="C30" i="31"/>
  <c r="C29" i="31"/>
  <c r="D28" i="31"/>
  <c r="C28" i="31" s="1"/>
  <c r="C27" i="31"/>
  <c r="D26" i="31"/>
  <c r="C26" i="31" s="1"/>
  <c r="C25" i="31"/>
  <c r="C24" i="31"/>
  <c r="D23" i="31"/>
  <c r="C23" i="31" s="1"/>
  <c r="E49" i="31" l="1"/>
  <c r="E22" i="31"/>
  <c r="E65" i="31"/>
  <c r="D22" i="31"/>
  <c r="D49" i="31"/>
  <c r="C49" i="31" s="1"/>
  <c r="C65" i="31"/>
  <c r="C69" i="31" l="1"/>
  <c r="E68" i="31"/>
  <c r="C22" i="31"/>
  <c r="D68" i="31"/>
  <c r="C68" i="31" l="1"/>
  <c r="P123" i="26"/>
  <c r="P122" i="26"/>
  <c r="P121" i="26"/>
  <c r="P120" i="26"/>
  <c r="P119" i="26"/>
  <c r="P118" i="26"/>
  <c r="P117" i="26"/>
  <c r="P116" i="26"/>
  <c r="P115" i="26"/>
  <c r="P114" i="26"/>
  <c r="P113" i="26"/>
  <c r="P112" i="26"/>
  <c r="P111" i="26"/>
  <c r="P110" i="26"/>
  <c r="P109" i="26"/>
  <c r="P108" i="26"/>
  <c r="P107" i="26"/>
  <c r="P106" i="26"/>
  <c r="P105" i="26"/>
  <c r="P104" i="26"/>
  <c r="P103" i="26"/>
  <c r="P101" i="26"/>
  <c r="P100" i="26"/>
  <c r="P99" i="26"/>
  <c r="P98" i="26"/>
  <c r="P97" i="26"/>
  <c r="P89" i="26"/>
  <c r="P88" i="26"/>
  <c r="P85" i="26"/>
  <c r="P84" i="26"/>
  <c r="P83" i="26"/>
  <c r="P82" i="26"/>
  <c r="P81" i="26"/>
  <c r="P80" i="26"/>
  <c r="P79" i="26"/>
  <c r="P78" i="26"/>
  <c r="P77" i="26"/>
  <c r="P76" i="26"/>
  <c r="P75" i="26"/>
  <c r="P74" i="26"/>
  <c r="P73" i="26"/>
  <c r="P71" i="26"/>
  <c r="P70" i="26"/>
  <c r="P69" i="26"/>
  <c r="P68" i="26"/>
  <c r="P67" i="26"/>
  <c r="P62" i="26"/>
  <c r="P61" i="26"/>
  <c r="P60" i="26"/>
  <c r="P58" i="26"/>
  <c r="P55" i="26"/>
  <c r="P54" i="26"/>
  <c r="P49" i="26"/>
  <c r="P47" i="26"/>
  <c r="P46" i="26"/>
  <c r="P45" i="26"/>
  <c r="P44" i="26"/>
  <c r="P42" i="26"/>
  <c r="P41" i="26"/>
  <c r="P40" i="26"/>
  <c r="P37" i="26"/>
  <c r="P36" i="26"/>
  <c r="P35" i="26"/>
  <c r="P34" i="26"/>
  <c r="P33" i="26"/>
  <c r="P32" i="26"/>
  <c r="P30" i="26"/>
  <c r="P29" i="26"/>
  <c r="P27" i="26"/>
  <c r="P26" i="26"/>
  <c r="P24" i="26"/>
  <c r="D29" i="28"/>
  <c r="D48" i="28" s="1"/>
  <c r="H124" i="26" l="1"/>
  <c r="G124" i="26"/>
  <c r="E43" i="26"/>
  <c r="P43" i="26" s="1"/>
  <c r="E38" i="26" l="1"/>
  <c r="P38" i="26" s="1"/>
  <c r="E39" i="26"/>
  <c r="P39" i="26" s="1"/>
  <c r="G40" i="30" l="1"/>
  <c r="H30" i="30"/>
  <c r="G99" i="29"/>
</calcChain>
</file>

<file path=xl/sharedStrings.xml><?xml version="1.0" encoding="utf-8"?>
<sst xmlns="http://schemas.openxmlformats.org/spreadsheetml/2006/main" count="1527" uniqueCount="677">
  <si>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</si>
  <si>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</si>
  <si>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</si>
  <si>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</si>
  <si>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видатки споживання</t>
  </si>
  <si>
    <t>0200000</t>
  </si>
  <si>
    <t/>
  </si>
  <si>
    <t>0210000</t>
  </si>
  <si>
    <t>0111</t>
  </si>
  <si>
    <t>0212010</t>
  </si>
  <si>
    <t>2010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</si>
  <si>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</si>
  <si>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</si>
  <si>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</si>
  <si>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</si>
  <si>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</si>
  <si>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0600000</t>
  </si>
  <si>
    <t>0610000</t>
  </si>
  <si>
    <t>0160</t>
  </si>
  <si>
    <t>0611010</t>
  </si>
  <si>
    <t>1010</t>
  </si>
  <si>
    <t>0910</t>
  </si>
  <si>
    <t>Надання дошкільної освіти</t>
  </si>
  <si>
    <t>0990</t>
  </si>
  <si>
    <t>0800000</t>
  </si>
  <si>
    <t>0810000</t>
  </si>
  <si>
    <t>0900000</t>
  </si>
  <si>
    <t>0910000</t>
  </si>
  <si>
    <t>1000000</t>
  </si>
  <si>
    <t>1010000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</si>
  <si>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</si>
  <si>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</si>
  <si>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</si>
  <si>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</si>
  <si>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</si>
  <si>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</si>
  <si>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</si>
  <si>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1200000</t>
  </si>
  <si>
    <t>1210000</t>
  </si>
  <si>
    <t>1216030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</si>
  <si>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</si>
  <si>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</si>
  <si>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</si>
  <si>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</si>
  <si>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0540</t>
  </si>
  <si>
    <t>Природоохоронні заходи за рахунок цільових фондів</t>
  </si>
  <si>
    <t>1500000</t>
  </si>
  <si>
    <t>1510000</t>
  </si>
  <si>
    <t>УСЬОГО</t>
  </si>
  <si>
    <t>Код 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</si>
  <si>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</si>
  <si>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 xml:space="preserve">Найменування  об'єкта  будівництва/вид будівельних робіт, у тому числі проектні роботи </t>
  </si>
  <si>
    <t>Загальна тривалість будівництва       ( рік початку і закінчення)</t>
  </si>
  <si>
    <t xml:space="preserve">Загальна вартість робіт, гривень </t>
  </si>
  <si>
    <t>Обсяг видатків бюджету розвитку, які спрямовані на будівництво об'єкта на початок бюджетного періоду,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</si>
  <si>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</si>
  <si>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об'єкта у бюджетному періоді, гривень</t>
  </si>
  <si>
    <t>Рівень  готовності об'єкта на кінець бюджетного періоду, %</t>
  </si>
  <si>
    <t>1</t>
  </si>
  <si>
    <t>2</t>
  </si>
  <si>
    <t>3</t>
  </si>
  <si>
    <t>5</t>
  </si>
  <si>
    <t>6</t>
  </si>
  <si>
    <t>7</t>
  </si>
  <si>
    <t>8</t>
  </si>
  <si>
    <t>9</t>
  </si>
  <si>
    <t>х</t>
  </si>
  <si>
    <t>4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</si>
  <si>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</si>
  <si>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</si>
  <si>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1559100000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</si>
  <si>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</si>
  <si>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</si>
  <si>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</si>
  <si>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0490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</si>
  <si>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</si>
  <si>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</si>
  <si>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0813105</t>
  </si>
  <si>
    <t>3105</t>
  </si>
  <si>
    <t>Надання реабілітаційних послуг особам з інвалідністю та дітям з інвалідністю</t>
  </si>
  <si>
    <t>0910160</t>
  </si>
  <si>
    <t>1600000</t>
  </si>
  <si>
    <t>1610000</t>
  </si>
  <si>
    <t>0217650</t>
  </si>
  <si>
    <t>Проведення експертної грошової оцінки земельної ділянки чи права на неї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</si>
  <si>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</si>
  <si>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</si>
  <si>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</si>
  <si>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 xml:space="preserve">Видатки на проведення експертної грошової оцінки земельних ділянок, що підлягають продажу </t>
  </si>
  <si>
    <t>проектні роботи</t>
  </si>
  <si>
    <t>Ігор ЧУГУННИКОВ</t>
  </si>
  <si>
    <t xml:space="preserve">Виконавчий комітет Південнівської міської ради Одеського району Одеської області </t>
  </si>
  <si>
    <t>Капітальні трансферти підприємствам (установам, організаціям)</t>
  </si>
  <si>
    <t>Управління соціальної політики Південнівської міської ради Одеського району Одеської області</t>
  </si>
  <si>
    <t>Служба у справах дітей Південнівської міської ради Одеського району Одеської області</t>
  </si>
  <si>
    <t>Управління культури, спорту та молодіжної політики Південнівської міської ради Одеського району Одеської області</t>
  </si>
  <si>
    <t xml:space="preserve">Управління житлово-комунального господарства Південнівської міської ради Одеського району Одеської області </t>
  </si>
  <si>
    <t xml:space="preserve">Управління капітального будівництва Південнівської міської ради Одеського району Одеської області </t>
  </si>
  <si>
    <t>проєктні роботи</t>
  </si>
  <si>
    <t>0443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</si>
  <si>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</si>
  <si>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Розроблення комплексних планів просторового розвитку територій територіальних громад</t>
  </si>
  <si>
    <t>1617351</t>
  </si>
  <si>
    <t>7351</t>
  </si>
  <si>
    <t>до рішення Південнівської   міської ради</t>
  </si>
  <si>
    <t>Секретар Південнівської  міської ради</t>
  </si>
  <si>
    <t xml:space="preserve">Секретар Південнівської  міської ради                                                                                                                                                       Ігор ЧУГУННИКОВ                                                         </t>
  </si>
  <si>
    <t>Виконавчий комітет Південнівської  міської ради Одеського району Одеської області</t>
  </si>
  <si>
    <t xml:space="preserve">"Про  бюджет Південнівської міської </t>
  </si>
  <si>
    <t>територіальної громади  на 2026 рік"</t>
  </si>
  <si>
    <t xml:space="preserve">Розподіл коштів бюджету розвитку на  2026 рік </t>
  </si>
  <si>
    <t>Фонд комунального майна Південнівської міської ради Одеського району Одеської області</t>
  </si>
  <si>
    <t>Управління економіки Південнівської міської ради Одеського району Одеської області</t>
  </si>
  <si>
    <t>Управління архітектури та містобудування Південнівської міської ради Одеського району Одеської області</t>
  </si>
  <si>
    <t>Фінансове управління Південнівської міської ради Одеського району Одеської області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</si>
  <si>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</si>
  <si>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</si>
  <si>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спеціалізованої освіти мистецькими школами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</si>
  <si>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</si>
  <si>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</si>
  <si>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1210160</t>
  </si>
  <si>
    <t>3100000</t>
  </si>
  <si>
    <t>3110000</t>
  </si>
  <si>
    <t>3110160</t>
  </si>
  <si>
    <t>3700000</t>
  </si>
  <si>
    <t>3710000</t>
  </si>
  <si>
    <t>3710160</t>
  </si>
  <si>
    <t>0960</t>
  </si>
  <si>
    <t>0828</t>
  </si>
  <si>
    <t>0829</t>
  </si>
  <si>
    <t>1510150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</si>
  <si>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18, в т.ч.: </t>
  </si>
  <si>
    <t xml:space="preserve">2025-2026 роки 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</si>
  <si>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(І черга. Третій поверх), в т.ч.:</t>
  </si>
  <si>
    <t xml:space="preserve">проєктні роботи 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</si>
  <si>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</si>
  <si>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</si>
  <si>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</si>
  <si>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області, в т.ч.: </t>
  </si>
  <si>
    <t xml:space="preserve">2017, 2020-2026 роки </t>
  </si>
  <si>
    <t xml:space="preserve">коригування проектної документації 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</si>
  <si>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область, в т.ч.:</t>
  </si>
  <si>
    <t>2024-2026 роки</t>
  </si>
  <si>
    <t>проєктно-вишукувальні роботи</t>
  </si>
  <si>
    <t>2025-2026 роки</t>
  </si>
  <si>
    <t>2026 рік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</si>
  <si>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кладовище, у т.ч.:</t>
  </si>
  <si>
    <t>2023-2026 роки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</si>
  <si>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</si>
  <si>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2019-2026 роки</t>
  </si>
  <si>
    <t>Управління житлово-комунального господарства Південнівської міської ради Одеського району Одеської області</t>
  </si>
  <si>
    <t>Управління капітального будівництва Південнівської міської ради Одеського району Одеської області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</si>
  <si>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</si>
  <si>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>Додаток 1</t>
  </si>
  <si>
    <t>(пункт 1)</t>
  </si>
  <si>
    <t>Доходи місцевого бюджету на 2026 рік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</si>
  <si>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</si>
  <si>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</si>
  <si>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</si>
  <si>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</si>
  <si>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</si>
  <si>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</si>
  <si>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</si>
  <si>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</si>
  <si>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</si>
  <si>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</si>
  <si>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</si>
  <si>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</si>
  <si>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</si>
  <si>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</si>
  <si>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</si>
  <si>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</si>
  <si>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</si>
  <si>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</si>
  <si>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</si>
  <si>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</si>
  <si>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</si>
  <si>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</si>
  <si>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</si>
  <si>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</si>
  <si>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</si>
  <si>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</si>
  <si>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</si>
  <si>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</si>
  <si>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</si>
  <si>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</si>
  <si>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</si>
  <si>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</si>
  <si>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</si>
  <si>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</si>
  <si>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</si>
  <si>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</si>
  <si>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</si>
  <si>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</si>
  <si>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</si>
  <si>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</si>
  <si>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</si>
  <si>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</si>
  <si>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</si>
  <si>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</si>
  <si>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</si>
  <si>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</si>
  <si>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</si>
  <si>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</si>
  <si>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</si>
  <si>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</si>
  <si>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</si>
  <si>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</si>
  <si>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</si>
  <si>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</si>
  <si>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</si>
  <si>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</si>
  <si>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</si>
  <si>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</si>
  <si>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</si>
  <si>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</si>
  <si>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</si>
  <si>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</si>
  <si>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</si>
  <si>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</si>
  <si>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</si>
  <si>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</si>
  <si>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</si>
  <si>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</si>
  <si>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</si>
  <si>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</si>
  <si>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</si>
  <si>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</si>
  <si>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</si>
  <si>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</si>
  <si>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</si>
  <si>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</si>
  <si>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22090000</t>
  </si>
  <si>
    <t>Державне мито</t>
  </si>
  <si>
    <t>24000000</t>
  </si>
  <si>
    <t>Інші неподаткові надходження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</si>
  <si>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</si>
  <si>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</si>
  <si>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</si>
  <si>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</si>
  <si>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</si>
  <si>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</si>
  <si>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</si>
  <si>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</si>
  <si>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</si>
  <si>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</si>
  <si>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</si>
  <si>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</si>
  <si>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</si>
  <si>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</si>
  <si>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</si>
  <si>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</si>
  <si>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</si>
  <si>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</si>
  <si>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</si>
  <si>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</si>
  <si>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X</t>
  </si>
  <si>
    <t>Разом доходів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</si>
  <si>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</t>
  </si>
  <si>
    <t xml:space="preserve">   Ігор ЧУГУННИКОВ            </t>
  </si>
  <si>
    <t>Додаток 2</t>
  </si>
  <si>
    <t>Фінансування 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</si>
  <si>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</si>
  <si>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</si>
  <si>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</si>
  <si>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</si>
  <si>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</si>
  <si>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</si>
  <si>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</si>
  <si>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</si>
  <si>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</si>
  <si>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</si>
  <si>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</si>
  <si>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</si>
  <si>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</si>
  <si>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</si>
  <si>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</si>
  <si>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</si>
  <si>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</si>
  <si>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</si>
  <si>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</si>
  <si>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</si>
  <si>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</si>
  <si>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Додаток 3</t>
  </si>
  <si>
    <t>РОЗПОДІЛ</t>
  </si>
  <si>
    <t>видатків місцевого бюджету на 2026 рік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</si>
  <si>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</si>
  <si>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</si>
  <si>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</si>
  <si>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з них</t>
  </si>
  <si>
    <t>видатки розвитку</t>
  </si>
  <si>
    <t>оплата праці</t>
  </si>
  <si>
    <t>комунальні послуги та енергоносії</t>
  </si>
  <si>
    <t>Виконавчий комітет Південнівської міської ради Одеського району Одеської області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</si>
  <si>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</si>
  <si>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</si>
  <si>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</si>
  <si>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</si>
  <si>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</si>
  <si>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</si>
  <si>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</si>
  <si>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</si>
  <si>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</si>
  <si>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</si>
  <si>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</si>
  <si>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</si>
  <si>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0217530</t>
  </si>
  <si>
    <t>7530</t>
  </si>
  <si>
    <t>0460</t>
  </si>
  <si>
    <t>Інші заходи у сфері зв`язку, телекомунікації та інформатики</t>
  </si>
  <si>
    <t>7650</t>
  </si>
  <si>
    <t>0217680</t>
  </si>
  <si>
    <t>7680</t>
  </si>
  <si>
    <t>Членські внески до асоціацій органів місцевого самоврядування</t>
  </si>
  <si>
    <t>0218230</t>
  </si>
  <si>
    <t>8230</t>
  </si>
  <si>
    <t>0380</t>
  </si>
  <si>
    <t>Інші заходи громадського порядку та безпеки</t>
  </si>
  <si>
    <t>0218410</t>
  </si>
  <si>
    <t>8410</t>
  </si>
  <si>
    <t>0830</t>
  </si>
  <si>
    <t>Фінансова підтримка медіа (засобів масової інформації)</t>
  </si>
  <si>
    <t>Управління освіти Південнівської міської ради Одеського районого Одеської області</t>
  </si>
  <si>
    <t>0610160</t>
  </si>
  <si>
    <t>0611021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</si>
  <si>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</si>
  <si>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</si>
  <si>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</si>
  <si>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</si>
  <si>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</si>
  <si>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</si>
  <si>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</si>
  <si>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</si>
  <si>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</si>
  <si>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</si>
  <si>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</si>
  <si>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</si>
  <si>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</si>
  <si>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</si>
  <si>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</si>
  <si>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</si>
  <si>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</si>
  <si>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</si>
  <si>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</si>
  <si>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</si>
  <si>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</si>
  <si>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</si>
  <si>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</si>
  <si>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1090</t>
  </si>
  <si>
    <t>0813242</t>
  </si>
  <si>
    <t>3242</t>
  </si>
  <si>
    <t>Служба у справах дітей Південнівськоїї міської ради Одеського району Одеської області</t>
  </si>
  <si>
    <t>0913112</t>
  </si>
  <si>
    <t>3112</t>
  </si>
  <si>
    <t>Заходи державної політики з питань дітей та їх соціального захисту</t>
  </si>
  <si>
    <t>1010160</t>
  </si>
  <si>
    <t>1011080</t>
  </si>
  <si>
    <t>1080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</si>
  <si>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</si>
  <si>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</si>
  <si>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</si>
  <si>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1014060</t>
  </si>
  <si>
    <t>4060</t>
  </si>
  <si>
    <t>1014081</t>
  </si>
  <si>
    <t>4081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</si>
  <si>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</si>
  <si>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</si>
  <si>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</si>
  <si>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</si>
  <si>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</si>
  <si>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</si>
  <si>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</si>
  <si>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</si>
  <si>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</si>
  <si>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</si>
  <si>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</si>
  <si>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5041</t>
  </si>
  <si>
    <t>Розвиток та підтримка доступної спортивної інфраструктури</t>
  </si>
  <si>
    <t>1015061</t>
  </si>
  <si>
    <t>5061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</si>
  <si>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</si>
  <si>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</si>
  <si>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</si>
  <si>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1213210</t>
  </si>
  <si>
    <t>3210</t>
  </si>
  <si>
    <t>1050</t>
  </si>
  <si>
    <t>Організація та проведення громадських робіт</t>
  </si>
  <si>
    <t>1216013</t>
  </si>
  <si>
    <t>6013</t>
  </si>
  <si>
    <t>Забезпечення діяльності водопровідно-каналізаційного господарства</t>
  </si>
  <si>
    <t>1217461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</si>
  <si>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</si>
  <si>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</si>
  <si>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</si>
  <si>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</si>
  <si>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8340</t>
  </si>
  <si>
    <t>Управління капітального будівництва Південнівськоїї міської ради Одеського району Одеської області</t>
  </si>
  <si>
    <t>1510160</t>
  </si>
  <si>
    <t>1610160</t>
  </si>
  <si>
    <t>2700000</t>
  </si>
  <si>
    <t>Управління економіки Південнівськоїї міської ради Одеського району Одеської області</t>
  </si>
  <si>
    <t>2710000</t>
  </si>
  <si>
    <t>2710160</t>
  </si>
  <si>
    <t>2717413</t>
  </si>
  <si>
    <t>7413</t>
  </si>
  <si>
    <t>0451</t>
  </si>
  <si>
    <t>Інші заходи у сфері автотранспорту</t>
  </si>
  <si>
    <t>2717693</t>
  </si>
  <si>
    <t>7693</t>
  </si>
  <si>
    <t>Інші заходи, пов`язані з економічною діяльністю</t>
  </si>
  <si>
    <t>3117693</t>
  </si>
  <si>
    <t>3118110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</si>
  <si>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</si>
  <si>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</si>
  <si>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</si>
  <si>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</si>
  <si>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</si>
  <si>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</si>
  <si>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загальний фонд</t>
  </si>
  <si>
    <t>спеціальний фонд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</si>
  <si>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</si>
  <si>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</si>
  <si>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</si>
  <si>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</si>
  <si>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</si>
  <si>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</si>
  <si>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</si>
  <si>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</si>
  <si>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</si>
  <si>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</si>
  <si>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</si>
  <si>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</si>
  <si>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</si>
  <si>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</si>
  <si>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</si>
  <si>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Додаток 7</t>
  </si>
  <si>
    <t>Розподіл витрат місцевого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</si>
  <si>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</si>
  <si>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</si>
  <si>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Програма розвитку та підтримки первинної медико-санітарної допомоги Южненської міської територіальної громади  на 2024-2026 роки</t>
  </si>
  <si>
    <t>Міська цільова програма "Громадське здоров'я" Южненської міської територіальної громади на 2024-2026 роки"</t>
  </si>
  <si>
    <t xml:space="preserve"> Комплексна цільова програма "Електронна громада" на 2024-2026 роки</t>
  </si>
  <si>
    <t>Міська програма підтримки суб’єкта у сфері аудіовізуальних медіа (КОМУНАЛЬНЕ НЕКОМЕРЦІЙНЕ ПІДПРИЄМСТВО "ТЕЛЕБАЧЕННЯ ГРОМАДИ"), засновником якого є Південнівська міська рада на 2024-2026 роки</t>
  </si>
  <si>
    <t>Рішення ЮМР від 29.08.2024 № 1820 -VIIІ</t>
  </si>
  <si>
    <t>Рішення ЮМР від 14.12.2023 року № 1561-VIIІ</t>
  </si>
  <si>
    <t>Програма  плану дій щодо реалізації  Конвенції ООН  про права дитини на 2024-2026 роки Южненської міської територіальної громади</t>
  </si>
  <si>
    <t>Програма розвитку культури в Южненській міській територіальній  громаді на 2025-2027 роки</t>
  </si>
  <si>
    <t>Рішення ЮМР від 06.06.2024 року №1729  -VIIІ з внесеними змінами від 24.12.2024 року №2010-VIII шляхом викладення в новій редакції</t>
  </si>
  <si>
    <t>'Рішення ЮМР від 06.06.2024 року №1729-VІІІ з внесеними змінами від 24.12.2024 року №2010-VIII шляхом викладення в новій редакції</t>
  </si>
  <si>
    <t>Рішення ЮМР від 06.06.2024 року №1729 - VIIІ з внесеними змінами від 24.12.2024 року №2010-VIII шляхом викладення в новій редакції</t>
  </si>
  <si>
    <t>Програма розвитку фізичної культури і спорту в Южненській міській територіальній  громаді на 2024-2026 роки</t>
  </si>
  <si>
    <t>Рішення ЮМР від 13.07.2023 року № 1401-VIІI з внесеними змінами  від 24.07.2025 року №2293-VIII шляхом викладення в новій редакції</t>
  </si>
  <si>
    <t>Рішення ЮМР від 13.07.2023 року № 1401-VIІI з внесеними змінами від 24.07.2025 року №2293-VIII шляхом викладення в новій редакції</t>
  </si>
  <si>
    <t>Програма розвитку фізичної культури в Южненській міській територіальній громаді на 2024-2026 роки</t>
  </si>
  <si>
    <t>Програма "Соціальний автобус"  на території Южненської міської  територіальної громади на 2024-2026 роки</t>
  </si>
  <si>
    <t>Рішення Южненської міської ради від 26.10.2023 року № 1503-VIIІ  з внесеними змінами  від 24.07.2025  року № 2292 -VIII, шляхом викладення у новій редакції</t>
  </si>
  <si>
    <t>Муніципальна інвестиційна програма розвитку Южненської міської територіальної громади на 2025-2027 роки</t>
  </si>
  <si>
    <t>Рішення ЮМР від 14.11.2024 року №1919-VIII з внесеними змінами від 10.04.2025 року № 2180-VIII  шляхом викладення у новій редакції</t>
  </si>
  <si>
    <t>Додаток 6</t>
  </si>
  <si>
    <t>Обсяги публічних інвестицій у розрізі публічних інвестиційних проєктів та програм публічних інвестицій у 2026 році</t>
  </si>
  <si>
    <t>грн</t>
  </si>
  <si>
    <t>КВК</t>
  </si>
  <si>
    <t>КПКВК</t>
  </si>
  <si>
    <t>Галузь (сектор)                                                                 (Додаток1 постанова Кабміну № 294 від 28.02.2025р.)</t>
  </si>
  <si>
    <t>Унікальний ідентифікатор проєкту/програми                                               (DREAM-UA-XXXXX-YYYYYYY*)</t>
  </si>
  <si>
    <t>Найменування публічного інвестиційного проєкту/програми публічних інвестицій</t>
  </si>
  <si>
    <t>Період реалізації публічного проєкту/програми публічних інвестицій (рік початку і завершення)</t>
  </si>
  <si>
    <t>Загальна вартість робіт, публічного інвестиційного проєкту/програми публічних інвестицій</t>
  </si>
  <si>
    <t>Обсяг бюджетних коштів, спрямованих на реалізацію публічного інвестиційного проєкту/програми публічних інвестицій у 2026 році</t>
  </si>
  <si>
    <t>в тому числі за рахунок</t>
  </si>
  <si>
    <t>коштів місцевого бюджету</t>
  </si>
  <si>
    <t xml:space="preserve">міжбюджетних трансфертів з державного бюджету </t>
  </si>
  <si>
    <t>міжбюджетних трансфертів з інших місцевих бюджетів</t>
  </si>
  <si>
    <t>місцевих запозичень</t>
  </si>
  <si>
    <t>інших джерел</t>
  </si>
  <si>
    <t>Муніципальна інфраструктура та послуги</t>
  </si>
  <si>
    <t>031225-CA59911B</t>
  </si>
  <si>
    <t>Капітальний ремонт (заміна) ліфту за адресою: вул. Будівельників, 19, місто Південне Одеського району Одеської області</t>
  </si>
  <si>
    <t>031225-496E19FA</t>
  </si>
  <si>
    <t>Капітальний ремонт (заміна) ліфту за адресою: проспект Миру, будинок 17А, місто Південне Одеського району Одеської області</t>
  </si>
  <si>
    <t>031225-7EDCC621</t>
  </si>
  <si>
    <t>Капітальний ремонт (заміна) ліфту за адресою: вул. Будівельників,  будинок 7, місто Південне Одеського району Одеської області</t>
  </si>
  <si>
    <t>021225-B1974241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</si>
  <si>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</t>
  </si>
  <si>
    <t>Освіта і наука</t>
  </si>
  <si>
    <t>021225-D724FAE9</t>
  </si>
  <si>
    <t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</t>
  </si>
  <si>
    <t>031225-4CAE40A1</t>
  </si>
  <si>
    <t>240925-6A88507E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</si>
  <si>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</t>
  </si>
  <si>
    <t>041225-85A951FB</t>
  </si>
  <si>
    <t>041225-2A6D1B25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</si>
  <si>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</si>
  <si>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041225-B0CEAE05</t>
  </si>
  <si>
    <t>Транспорт</t>
  </si>
  <si>
    <t>160925-9EAE8CCE</t>
  </si>
  <si>
    <t>Капітальний ремонт проїжджої частини вул. Приморської від вул. Будівельників до просп. Григорівського десанту м. Южного Одеської області</t>
  </si>
  <si>
    <t>Разом:</t>
  </si>
  <si>
    <t>(пункт 4)</t>
  </si>
  <si>
    <t xml:space="preserve"> Рішення ПМР від 24.07.2025 року № 2290-VIІI</t>
  </si>
  <si>
    <t>Рішення ЮМР від 23.08.2023 року № 1428-VIІI</t>
  </si>
  <si>
    <t>Програма  щодо відзначення, заохочення та вшанування пам'яті громадян, яким присвоєно звання 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</si>
  <si>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Програма соціального захисту окремих категорій населення Южненської міської територіальної громади на 2024-2026 роки</t>
  </si>
  <si>
    <t xml:space="preserve"> Програма щодо відзначення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</si>
  <si>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Рішення ПМР від 24.07.2025 року № 2290-VIIІ</t>
  </si>
  <si>
    <t xml:space="preserve"> Цільова програма "Соціальне таксі" на 2025-2026 рік</t>
  </si>
  <si>
    <t>Програма поховання померлих одиноких громадян, осіб без місця проживання, громадян, від поховання яких відмовились рідні та знайдених невпізнаних трупів на території Южненської міської територіальної громади на 2025-2027 роки</t>
  </si>
  <si>
    <t>Рішення ПМР від 24.12.2024 року №2023-VІІІ</t>
  </si>
  <si>
    <t>Програма з локалізації та ліквідації амброзії полинолистної на території Южненської міської територіальної громади на 2025-2027 роки</t>
  </si>
  <si>
    <t>Рішення ЮМР від 26.10.2023 року №1520-VІIІ з внесеними змінами від 23.10.2025 року №2382-VIII шляхом викладення у новій редакції</t>
  </si>
  <si>
    <t>Програма підтримки органу самоорганізації населення в місті Південному на 2026-2028 роки</t>
  </si>
  <si>
    <t xml:space="preserve">Рішення ПМР від 24.07.2025 року №2301-VІII </t>
  </si>
  <si>
    <t>Управління освіти Південнівської міської ради Одеського району Одеської області</t>
  </si>
  <si>
    <t>Програма проведення обов'язкових профілактичних медичних оглядів працівників комунального спеціалізованого закладу "ЦЕНТР КОМПЛЕКСНОЇ РЕАБІЛІТАЦІЇ ДЛЯ ОСІБ З ІНВАЛІДНІСТЮ" на 2024-2026 роки</t>
  </si>
  <si>
    <t>Рішення ЮМР від 06.06.2024 року №1729 - VIIІ з внесеними змінами від 24.12.2024 року№2010-VIIIшляхом викладення у новій редакції</t>
  </si>
  <si>
    <t xml:space="preserve"> Програма щодо відзначення,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 За заслуги перед Южненською міською територіальною громадою" на 2026-2028 роки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</si>
  <si>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області, у т.ч.: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</si>
  <si>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</si>
  <si>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Надання загальної середньої освіти закладами загальної середньої освіти</t>
  </si>
  <si>
    <t>0611031</t>
  </si>
  <si>
    <t>41033900</t>
  </si>
  <si>
    <t>Освітня субвенція з державного бюджету місцевим бюджетам </t>
  </si>
  <si>
    <t>99000000000</t>
  </si>
  <si>
    <t>41030000</t>
  </si>
  <si>
    <t>Субвенції з державного бюджету місцевим бюджетам</t>
  </si>
  <si>
    <t>Податок на нерухоме майно, відмінне від земельної ділянки</t>
  </si>
  <si>
    <t>Плата за землю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</si>
  <si>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області, в т.ч. :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</si>
  <si>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</si>
  <si>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</si>
  <si>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</si>
  <si>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</si>
  <si>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</si>
  <si>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</si>
  <si>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</si>
  <si>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</si>
  <si>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Інші субвенції з місцевого бюджету (пільгове медичне обслуговування громадян, які постраждали внаслідок Чорнобильської катастрофи)</t>
  </si>
  <si>
    <t>15100000000</t>
  </si>
  <si>
    <t>Обласний бюджет Одеської області</t>
  </si>
  <si>
    <t>Інші субвенції з місцевого бюджету (видатки на поховання учасників бойових дій та осіб з інвалідністю внаслідок війни)</t>
  </si>
  <si>
    <t>Інші субвенції з місцевого бюджету (компенсаційні виплати особам з інвалідністю на бензин,ремонт,технічне обслуговування автомобілів, мотоколясок і на транспортне обслуговування)</t>
  </si>
  <si>
    <t>Субвенції з місцевих бюджетів іншим місцевим бюджетам</t>
  </si>
  <si>
    <t>0813050</t>
  </si>
  <si>
    <t>Програма капітального ремонту (модернізації, заміни) ліфтів в місті Південному Одеського району, Одеської області на 2024-2026 роки</t>
  </si>
  <si>
    <t>Рішення ЮМР від 13.07.2023 року № 1404-VII з внесеними змінами від 23.10.2025 року  № 2365-VIIІ шляхом викладення у новій редакції</t>
  </si>
  <si>
    <t xml:space="preserve"> Рішення від 06.03.2025 року №2095-VIIІ  з внесеними змінами від 24.07.2025 року  № 2288-VIIІ шляхом викладення у новій редакції</t>
  </si>
  <si>
    <t>Програма капітального ремонту (модернізації, заміни) ліфтів в місті Південному Одеського району Одеської області на 2024-2026 роки</t>
  </si>
  <si>
    <t>Рішення ЮМР від 14.11.2024 року № 1968-VIІI з внесеними змінами від 23.10.2025 року № 2383-VIII  шляхом викладення в новій редакції</t>
  </si>
  <si>
    <t>Рішення ПМР від 24.07.2025 року №2310-VIIІ з внесеними змінами від  18.12.2025 року № 2458 -VIIІ шляхом викладення у новій редакції</t>
  </si>
  <si>
    <t>Рішення ПМР від 24.07.2025 року №2308-VIIІ з внесеними змінами від  18.12.2025 року № 2457 -VIIІ шляхом викладення у новій редакції</t>
  </si>
  <si>
    <t>Рішення ЮМР від 14.10.2024 року №1892-VІІІ з внесеними змінами  від 18.12.2025 року №2445- VIII, шляхом викладення у новій редакції</t>
  </si>
  <si>
    <t>Програма оздоровлення та відпочинку дітей Южненської міської територіальної громади на період 2025-2027 роки</t>
  </si>
  <si>
    <t>Рішення ЮМР від 29.08.2024 року  №1816- VIIІ з внесеними змінами від 18.12.2025 року  № 2449-VIIІ шляхом викладення у новій редакції</t>
  </si>
  <si>
    <t>Рішення ЮМР від 13.07.2023 року №1402 -VIIІ з внесеними змінами від 10.04.2025 року № 2183 -VIIІ шляхом викладення у новій редакції</t>
  </si>
  <si>
    <t>Рішення ЮМР від 24.12.2024 року № 2053-VIІI з внесеними змінами від 18.12.2025 року №2474-VIIІ шляхом викладення у новій редакції</t>
  </si>
  <si>
    <t>Рішення ЮМР від 29.08.2024 року №1856-VІII з внесеними змінами від 18.12.2025 року №2467-VІII, шляхом викладення у новій редакції</t>
  </si>
  <si>
    <t>Програма енергоефективності в житлово-комунальному господарстві та бюджетній сфері  Південнівскої міської територіальної громади на 2025-2027 рік</t>
  </si>
  <si>
    <t xml:space="preserve"> Рішення від 14.11.2024 року №1934-VIII з внесеними змінами від 18.12.2025 року № 2468-VIII  шляхом викладення в новій редакції</t>
  </si>
  <si>
    <t>Програма національно-патріотичного виховання дітей та молоді в Южненської міської територіальної громади на 2024-2026 роки</t>
  </si>
  <si>
    <t>0212170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</si>
  <si>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</si>
  <si>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</si>
  <si>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</si>
  <si>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</si>
  <si>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</si>
  <si>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2170</t>
  </si>
  <si>
    <t>6091</t>
  </si>
  <si>
    <t>1216091</t>
  </si>
  <si>
    <t>1300</t>
  </si>
  <si>
    <t>1511300</t>
  </si>
  <si>
    <t>1516091</t>
  </si>
  <si>
    <t>7480</t>
  </si>
  <si>
    <t>1517480</t>
  </si>
  <si>
    <t>'Підготовка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</si>
  <si>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від  18.12.2025  року</t>
  </si>
  <si>
    <t>№  2483-VIII</t>
  </si>
  <si>
    <t>Рішення ПМР від 24.07.2025 року №2290-VIIІ</t>
  </si>
  <si>
    <t>Програма підтримки та розвитку вторинної медичної допомоги Південнівської міської територіальної громади на  період 2026-2028 роки</t>
  </si>
  <si>
    <t>Програма місцевих стимулів для працівників Комунального некомерційного підприємства "Південнівська міська лікарня" Південнівської міської ради на 2026-2028 роки</t>
  </si>
  <si>
    <t>Програма забезпечення діяльності Південнівського комунального підприємства "Муніципальна варта" на 2025-2027 роки</t>
  </si>
  <si>
    <t>Програма розвитку освіти Південнівської міської територіальної громади  на 2025-2027 роки</t>
  </si>
  <si>
    <t>Програма національно-патріотичного виховання дітей та молоді в Южненській міської територіальної громади на 2024-2026 роки</t>
  </si>
  <si>
    <t>Цільова соціальна  програма Молодь Південнівської міської територіальної громади на 2025-2027 роки</t>
  </si>
  <si>
    <t>Програма реформування і розвитку житлово-комунального господарства Південнівської міської територіальної громади на 2025-2027 роки</t>
  </si>
  <si>
    <t>Рішення ЮМР від 06.06.2024 року №1735-VIII з внесеними змінами від 18.12.2025 року №2466-VIII шляхом викладення в новій редакції</t>
  </si>
  <si>
    <t>Програма створення та використання місцевого матеріального резерву для запобігання виникненню надзвичайних ситуацій і ліквідації їх наслідків на території Південнівської міської територіальної громади Одеського району Одеської області на 2026-2028 роки</t>
  </si>
  <si>
    <t xml:space="preserve">Рішення ПМР від 18.12.2025 року № 2462-VIІI </t>
  </si>
  <si>
    <t>Програма розвитку інфраструктури Південнівської міської територіальної громади на 2025-2027 роки</t>
  </si>
  <si>
    <t>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Південівської міської територіальної громади на 2026-2028 роки</t>
  </si>
  <si>
    <t>Рішення ПМР від 23.10.2025  року № 2377-VIІI  з внесеними змінами від 18.12.2025 року №2472-VІII, шляхом викладення у новій редакції</t>
  </si>
  <si>
    <t>від   18.12.2025  року</t>
  </si>
  <si>
    <t>№ 2483 -VIII</t>
  </si>
  <si>
    <t>№ 2483-VIII</t>
  </si>
  <si>
    <t>Рішення ЮМР від 06.06.2024 року №1735-VIIІ з внесеними змінами від  18.12.2025 року № 2466-VIIІ шляхом викладення у новій редакції</t>
  </si>
  <si>
    <t>Рішення ЮМР від 23.08.2023 року №1431- VIIІ з внесеними змінами від  23.10.2025 року   № 2366 -VIIІ шляхом викладення у новій редакції</t>
  </si>
  <si>
    <t>Рішення ЮМР від 23.08.2023 року №1433- VIIІ з внесеними змінами від  24.12.2024 року   №2030 -VIIІ шляхом викладення у новій редакції</t>
  </si>
  <si>
    <t>Рішення ЮМР від 26.10.2023 року №1511-VIII з внесеними змінами від 23.10.2025 року №2368-VIII шляхом викладення у новій редакції</t>
  </si>
  <si>
    <t>Рішення ЮМР від 24.12.2024 року №2040-VIІІ з внесеними змінами від  18.12.2025 року № 2473 -VIIІ шляхом викладення у новій редакції</t>
  </si>
  <si>
    <t>Рішення ЮМР від 14.12.2023 року №1567-VIIІ  з внесеними змінами  від  29.08.2024 року №1849-VIII шляхом викладення у новій редакції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</si>
  <si>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</si>
  <si>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функціонування територій, ная ких ведуться бойові дії</t>
  </si>
  <si>
    <t>Капітальний ремонт частини 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 .Южне, Одеського району, Одеської області, у т.ч.:</t>
  </si>
  <si>
    <t>авторський нагляд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</si>
  <si>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</si>
  <si>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18, в т.ч.:</t>
  </si>
  <si>
    <t>1512170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</si>
  <si>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19, у т.ч.:</t>
  </si>
  <si>
    <t xml:space="preserve"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 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</si>
  <si>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</si>
  <si>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Капітальний ремонт (заміна віконних блоків) пошкоджених  внаслідок збройної агресії об’єктів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</si>
  <si>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</si>
  <si>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кладовище. Додаткові роботи </t>
  </si>
  <si>
    <t>до рішення Південнівської міської ради</t>
  </si>
  <si>
    <t xml:space="preserve">від </t>
  </si>
  <si>
    <t xml:space="preserve">№  </t>
  </si>
  <si>
    <t>(пункти 1.1)</t>
  </si>
  <si>
    <t>"Додаток 1</t>
  </si>
  <si>
    <t>від 18.12.2025  року</t>
  </si>
  <si>
    <t>(пункт 1)"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</si>
  <si>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</si>
  <si>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</si>
  <si>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</si>
  <si>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</si>
  <si>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</si>
  <si>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</si>
  <si>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(пункти 1.2)</t>
  </si>
  <si>
    <t>"Додаток 3</t>
  </si>
  <si>
    <t>(пункт 2)"</t>
  </si>
  <si>
    <t>від                           року</t>
  </si>
  <si>
    <t>№       -VIII</t>
  </si>
  <si>
    <t>0611152</t>
  </si>
  <si>
    <t>Забезпечення діяльності інклюзивно-ресурсних центрів за рахунок освітньої субвенції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</si>
  <si>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</si>
  <si>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</si>
  <si>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</si>
  <si>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</si>
  <si>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</si>
  <si>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</si>
  <si>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0813032</t>
  </si>
  <si>
    <t>Надання пільг окремим категоріям громадян з оплати послуг зв'язку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</si>
  <si>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</si>
  <si>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</si>
  <si>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</si>
  <si>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Охорона та раціональне використання природних ресурсів</t>
  </si>
  <si>
    <t>0511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</si>
  <si>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</si>
  <si>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</si>
  <si>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Додаток 4</t>
  </si>
  <si>
    <t>(пункти 1.4)</t>
  </si>
  <si>
    <t xml:space="preserve"> "Про  бюджет Південнівської міської </t>
  </si>
  <si>
    <t xml:space="preserve"> територіальної громади  на 2026 рік"</t>
  </si>
  <si>
    <t xml:space="preserve"> від  18.12.2025  року</t>
  </si>
  <si>
    <t xml:space="preserve"> № 2483-VIII</t>
  </si>
  <si>
    <t xml:space="preserve"> (пункт 3)</t>
  </si>
  <si>
    <t>Додаток 5</t>
  </si>
  <si>
    <t>41059300</t>
  </si>
  <si>
    <t>"Додаток 8</t>
  </si>
  <si>
    <t>(пункт 6)"</t>
  </si>
  <si>
    <t>"Додаток 7</t>
  </si>
  <si>
    <t>(пункт 5)"</t>
  </si>
  <si>
    <t>Рішення ПМР від 18.12.2025 року 2456-VIIІ</t>
  </si>
  <si>
    <t>Програма надання пільг на оплату послуг зв'язку на 2026-2027 роки</t>
  </si>
  <si>
    <t>Екологічна програма заходів з охорони навколишнього природного середовища Южненської міської територіальної громади на 2024-2026 роки</t>
  </si>
  <si>
    <t>Капітальний ремонт (заміна) ліфту за адресою: проспект Миру, будинок 26 (3 під'їзд), місто Південне Одеського району Одеської області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</si>
  <si>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</si>
  <si>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18.</t>
  </si>
  <si>
    <t>Капітальний ремонт частини 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 .Южне, Одеського району, Одеської області.</t>
  </si>
  <si>
    <t>Капітальний ремонт (заміна віконних блоків) пошкоджених  внаслідок збройної агресії об’єктів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8.</t>
  </si>
  <si>
    <t>090326-031DFD12</t>
  </si>
  <si>
    <t>090326-97ADA8B7</t>
  </si>
  <si>
    <t>090326-4F782FED</t>
  </si>
  <si>
    <t>040326-86D8BECB</t>
  </si>
  <si>
    <t>030326-1F750FC0</t>
  </si>
  <si>
    <t>190126-CEA2F787</t>
  </si>
  <si>
    <t>Інші заходи та заклади у сфері соціального захисту і соціального забезпечення</t>
  </si>
  <si>
    <t>Розвиток здібностей у дітей та молоді з фізичної культури та спорту комунальними дитячо-юнацькими спортивними школами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</si>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</sst>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\ _г_р_н_._-;\-* #,##0.00\ _г_р_н_._-;_-* &quot;-&quot;??\ _г_р_н_._-;_-@_-"/>
    <numFmt numFmtId="166" formatCode="_-* #,##0\ _г_р_н_._-;\-* #,##0\ _г_р_н_._-;_-* &quot;-&quot;??\ _г_р_н_._-;_-@_-"/>
    <numFmt numFmtId="167" formatCode="#,##0.00;\-#,##0.00;#,&quot;-&quot;"/>
    <numFmt numFmtId="168" formatCode="#,##0;\-#,##0;#,&quot;-&quot;"/>
    <numFmt numFmtId="169" formatCode="_-* #,##0\ _₴_-;\-* #,##0\ _₴_-;_-* &quot;-&quot;??\ _₴_-;_-@_-"/>
  </numFmts>
  <fonts count="40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0" fillId="0" borderId="0" applyFont="0" applyFill="0" applyBorder="0" applyAlignment="0" applyProtection="0"/>
    <xf numFmtId="0" fontId="12" fillId="0" borderId="0"/>
    <xf numFmtId="0" fontId="10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  <xf numFmtId="164" fontId="12" fillId="0" borderId="0" applyFont="0" applyFill="0" applyBorder="0" applyAlignment="0" applyProtection="0"/>
  </cellStyleXfs>
  <cellXfs count="490">
    <xf numFmtId="0" fontId="0" fillId="0" borderId="0" xfId="0"/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7" fillId="0" borderId="2" xfId="0" applyFont="1" applyBorder="1"/>
    <xf numFmtId="0" fontId="7" fillId="0" borderId="0" xfId="0" applyFont="1"/>
    <xf numFmtId="0" fontId="15" fillId="3" borderId="14" xfId="0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166" fontId="19" fillId="3" borderId="17" xfId="1" applyNumberFormat="1" applyFont="1" applyFill="1" applyBorder="1" applyAlignment="1">
      <alignment horizontal="right" vertical="center" wrapText="1"/>
    </xf>
    <xf numFmtId="9" fontId="15" fillId="3" borderId="18" xfId="0" applyNumberFormat="1" applyFont="1" applyFill="1" applyBorder="1" applyAlignment="1">
      <alignment horizontal="right" vertical="center" wrapText="1"/>
    </xf>
    <xf numFmtId="0" fontId="21" fillId="3" borderId="14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3" fontId="15" fillId="3" borderId="14" xfId="0" applyNumberFormat="1" applyFont="1" applyFill="1" applyBorder="1" applyAlignment="1">
      <alignment horizontal="center" vertical="center" wrapText="1"/>
    </xf>
    <xf numFmtId="9" fontId="15" fillId="3" borderId="15" xfId="0" applyNumberFormat="1" applyFont="1" applyFill="1" applyBorder="1" applyAlignment="1">
      <alignment horizontal="center" vertical="center" wrapText="1"/>
    </xf>
    <xf numFmtId="166" fontId="15" fillId="3" borderId="0" xfId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2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8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9" fontId="14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right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13" fillId="0" borderId="0" xfId="0" applyFont="1"/>
    <xf numFmtId="49" fontId="19" fillId="0" borderId="16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0" fontId="15" fillId="3" borderId="17" xfId="0" applyFont="1" applyFill="1" applyBorder="1" applyAlignment="1">
      <alignment horizontal="left" vertical="center" wrapText="1"/>
    </xf>
    <xf numFmtId="49" fontId="15" fillId="3" borderId="17" xfId="0" applyNumberFormat="1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right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right" vertical="center"/>
    </xf>
    <xf numFmtId="9" fontId="19" fillId="0" borderId="18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9" fontId="15" fillId="3" borderId="0" xfId="0" applyNumberFormat="1" applyFont="1" applyFill="1" applyAlignment="1">
      <alignment horizontal="center" vertical="center" wrapText="1"/>
    </xf>
    <xf numFmtId="0" fontId="20" fillId="0" borderId="0" xfId="0" applyFont="1"/>
    <xf numFmtId="166" fontId="20" fillId="0" borderId="1" xfId="1" applyNumberFormat="1" applyFont="1" applyFill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6" fontId="19" fillId="0" borderId="17" xfId="1" applyNumberFormat="1" applyFont="1" applyFill="1" applyBorder="1" applyAlignment="1">
      <alignment horizontal="righ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49" fontId="20" fillId="0" borderId="8" xfId="0" applyNumberFormat="1" applyFont="1" applyBorder="1" applyAlignment="1">
      <alignment horizontal="center" vertical="center"/>
    </xf>
    <xf numFmtId="9" fontId="20" fillId="0" borderId="9" xfId="0" applyNumberFormat="1" applyFont="1" applyBorder="1" applyAlignment="1">
      <alignment horizontal="righ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4" fillId="2" borderId="1" xfId="0" quotePrefix="1" applyFont="1" applyFill="1" applyBorder="1" applyAlignment="1">
      <alignment horizontal="center" vertical="center" wrapText="1"/>
    </xf>
    <xf numFmtId="49" fontId="26" fillId="0" borderId="17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right" vertical="center" wrapText="1"/>
    </xf>
    <xf numFmtId="9" fontId="15" fillId="3" borderId="9" xfId="0" applyNumberFormat="1" applyFont="1" applyFill="1" applyBorder="1" applyAlignment="1">
      <alignment horizontal="right" vertical="center" wrapText="1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 wrapText="1"/>
    </xf>
    <xf numFmtId="3" fontId="15" fillId="2" borderId="14" xfId="0" applyNumberFormat="1" applyFont="1" applyFill="1" applyBorder="1" applyAlignment="1">
      <alignment horizontal="right" vertical="center"/>
    </xf>
    <xf numFmtId="166" fontId="15" fillId="2" borderId="14" xfId="1" applyNumberFormat="1" applyFont="1" applyFill="1" applyBorder="1" applyAlignment="1">
      <alignment horizontal="right" vertical="center" wrapText="1"/>
    </xf>
    <xf numFmtId="9" fontId="15" fillId="2" borderId="15" xfId="0" applyNumberFormat="1" applyFont="1" applyFill="1" applyBorder="1" applyAlignment="1">
      <alignment horizontal="right" vertical="center"/>
    </xf>
    <xf numFmtId="0" fontId="13" fillId="2" borderId="0" xfId="0" applyFont="1" applyFill="1"/>
    <xf numFmtId="3" fontId="26" fillId="0" borderId="17" xfId="0" applyNumberFormat="1" applyFont="1" applyBorder="1" applyAlignment="1">
      <alignment vertical="center" wrapText="1"/>
    </xf>
    <xf numFmtId="3" fontId="20" fillId="2" borderId="1" xfId="0" applyNumberFormat="1" applyFont="1" applyFill="1" applyBorder="1" applyAlignment="1">
      <alignment horizontal="right" vertical="center"/>
    </xf>
    <xf numFmtId="3" fontId="19" fillId="2" borderId="1" xfId="0" applyNumberFormat="1" applyFont="1" applyFill="1" applyBorder="1" applyAlignment="1">
      <alignment horizontal="right" vertical="center"/>
    </xf>
    <xf numFmtId="49" fontId="20" fillId="2" borderId="8" xfId="0" applyNumberFormat="1" applyFont="1" applyFill="1" applyBorder="1" applyAlignment="1">
      <alignment horizontal="center" vertical="center"/>
    </xf>
    <xf numFmtId="3" fontId="18" fillId="2" borderId="14" xfId="0" quotePrefix="1" applyNumberFormat="1" applyFont="1" applyFill="1" applyBorder="1" applyAlignment="1">
      <alignment vertical="center" wrapText="1"/>
    </xf>
    <xf numFmtId="0" fontId="15" fillId="0" borderId="13" xfId="0" applyFont="1" applyBorder="1" applyAlignment="1">
      <alignment horizontal="center" vertical="center"/>
    </xf>
    <xf numFmtId="166" fontId="15" fillId="3" borderId="1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32" xfId="0" applyNumberFormat="1" applyFont="1" applyBorder="1" applyAlignment="1">
      <alignment horizontal="right" vertical="center"/>
    </xf>
    <xf numFmtId="9" fontId="20" fillId="0" borderId="17" xfId="0" applyNumberFormat="1" applyFont="1" applyBorder="1" applyAlignment="1">
      <alignment horizontal="right" vertical="center"/>
    </xf>
    <xf numFmtId="3" fontId="19" fillId="0" borderId="3" xfId="0" applyNumberFormat="1" applyFont="1" applyBorder="1" applyAlignment="1">
      <alignment horizontal="left" vertical="center" wrapText="1"/>
    </xf>
    <xf numFmtId="3" fontId="19" fillId="0" borderId="30" xfId="0" applyNumberFormat="1" applyFont="1" applyBorder="1" applyAlignment="1">
      <alignment horizontal="center" vertical="center" wrapText="1"/>
    </xf>
    <xf numFmtId="3" fontId="19" fillId="0" borderId="32" xfId="0" applyNumberFormat="1" applyFont="1" applyBorder="1" applyAlignment="1">
      <alignment horizontal="right" vertical="center"/>
    </xf>
    <xf numFmtId="9" fontId="19" fillId="0" borderId="17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vertical="center" wrapText="1"/>
    </xf>
    <xf numFmtId="3" fontId="19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9" fontId="19" fillId="0" borderId="9" xfId="0" applyNumberFormat="1" applyFont="1" applyBorder="1" applyAlignment="1">
      <alignment horizontal="right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9" fontId="19" fillId="0" borderId="9" xfId="0" applyNumberFormat="1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/>
    </xf>
    <xf numFmtId="9" fontId="1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left"/>
    </xf>
    <xf numFmtId="49" fontId="11" fillId="0" borderId="2" xfId="0" applyNumberFormat="1" applyFont="1" applyBorder="1" applyAlignment="1">
      <alignment vertical="center"/>
    </xf>
    <xf numFmtId="0" fontId="11" fillId="0" borderId="2" xfId="0" applyFont="1" applyBorder="1"/>
    <xf numFmtId="49" fontId="11" fillId="0" borderId="4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30" xfId="0" applyNumberFormat="1" applyFont="1" applyBorder="1" applyAlignment="1">
      <alignment horizontal="center" vertical="center" wrapText="1"/>
    </xf>
    <xf numFmtId="49" fontId="24" fillId="0" borderId="34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1" fillId="2" borderId="17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1" fillId="2" borderId="11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0" fontId="24" fillId="0" borderId="0" xfId="5" applyFont="1"/>
    <xf numFmtId="0" fontId="24" fillId="0" borderId="0" xfId="0" applyFont="1"/>
    <xf numFmtId="0" fontId="32" fillId="0" borderId="0" xfId="5" quotePrefix="1" applyFont="1" applyAlignment="1">
      <alignment horizontal="center"/>
    </xf>
    <xf numFmtId="0" fontId="24" fillId="0" borderId="0" xfId="5" applyFont="1" applyAlignment="1">
      <alignment horizontal="right"/>
    </xf>
    <xf numFmtId="0" fontId="24" fillId="0" borderId="1" xfId="5" applyFont="1" applyBorder="1" applyAlignment="1">
      <alignment horizontal="center" vertical="center" wrapText="1"/>
    </xf>
    <xf numFmtId="167" fontId="23" fillId="0" borderId="1" xfId="5" applyNumberFormat="1" applyFont="1" applyBorder="1" applyAlignment="1">
      <alignment horizontal="right" vertical="center"/>
    </xf>
    <xf numFmtId="167" fontId="24" fillId="0" borderId="1" xfId="5" applyNumberFormat="1" applyFont="1" applyBorder="1" applyAlignment="1">
      <alignment horizontal="right" vertical="center"/>
    </xf>
    <xf numFmtId="0" fontId="23" fillId="0" borderId="1" xfId="5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23" fillId="0" borderId="1" xfId="5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0" fontId="24" fillId="0" borderId="1" xfId="5" applyFont="1" applyBorder="1" applyAlignment="1">
      <alignment vertical="center" wrapText="1"/>
    </xf>
    <xf numFmtId="0" fontId="23" fillId="0" borderId="1" xfId="5" applyFont="1" applyBorder="1" applyAlignment="1">
      <alignment horizontal="center"/>
    </xf>
    <xf numFmtId="0" fontId="23" fillId="0" borderId="1" xfId="5" applyFont="1" applyBorder="1"/>
    <xf numFmtId="167" fontId="23" fillId="0" borderId="1" xfId="5" applyNumberFormat="1" applyFont="1" applyBorder="1" applyAlignment="1">
      <alignment horizontal="right"/>
    </xf>
    <xf numFmtId="0" fontId="3" fillId="0" borderId="0" xfId="6"/>
    <xf numFmtId="0" fontId="25" fillId="0" borderId="0" xfId="6" applyFont="1"/>
    <xf numFmtId="0" fontId="32" fillId="0" borderId="0" xfId="6" quotePrefix="1" applyFont="1" applyAlignment="1">
      <alignment horizontal="center"/>
    </xf>
    <xf numFmtId="0" fontId="24" fillId="0" borderId="0" xfId="6" applyFont="1"/>
    <xf numFmtId="0" fontId="3" fillId="0" borderId="0" xfId="6" applyAlignment="1">
      <alignment horizontal="right"/>
    </xf>
    <xf numFmtId="0" fontId="3" fillId="0" borderId="1" xfId="6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3" fillId="0" borderId="1" xfId="6" quotePrefix="1" applyFont="1" applyBorder="1" applyAlignment="1">
      <alignment vertical="center" wrapText="1"/>
    </xf>
    <xf numFmtId="167" fontId="23" fillId="0" borderId="1" xfId="6" applyNumberFormat="1" applyFont="1" applyBorder="1" applyAlignment="1">
      <alignment vertical="center"/>
    </xf>
    <xf numFmtId="0" fontId="24" fillId="0" borderId="1" xfId="6" applyFont="1" applyBorder="1" applyAlignment="1">
      <alignment horizontal="center" vertical="center" wrapText="1"/>
    </xf>
    <xf numFmtId="0" fontId="24" fillId="0" borderId="1" xfId="6" quotePrefix="1" applyFont="1" applyBorder="1" applyAlignment="1">
      <alignment vertical="center" wrapText="1"/>
    </xf>
    <xf numFmtId="167" fontId="24" fillId="0" borderId="1" xfId="6" applyNumberFormat="1" applyFont="1" applyBorder="1" applyAlignment="1">
      <alignment vertical="center"/>
    </xf>
    <xf numFmtId="0" fontId="23" fillId="0" borderId="1" xfId="6" applyFont="1" applyBorder="1" applyAlignment="1">
      <alignment vertical="center" wrapText="1"/>
    </xf>
    <xf numFmtId="0" fontId="2" fillId="0" borderId="0" xfId="7"/>
    <xf numFmtId="0" fontId="24" fillId="0" borderId="0" xfId="7" applyFont="1" applyAlignment="1">
      <alignment horizontal="left"/>
    </xf>
    <xf numFmtId="0" fontId="2" fillId="0" borderId="0" xfId="7" applyAlignment="1">
      <alignment horizontal="right"/>
    </xf>
    <xf numFmtId="0" fontId="24" fillId="0" borderId="0" xfId="7" applyFont="1"/>
    <xf numFmtId="0" fontId="24" fillId="0" borderId="0" xfId="7" applyFont="1" applyAlignment="1">
      <alignment horizontal="right"/>
    </xf>
    <xf numFmtId="0" fontId="24" fillId="0" borderId="3" xfId="7" applyFont="1" applyBorder="1" applyAlignment="1">
      <alignment horizontal="center" vertical="top" wrapText="1"/>
    </xf>
    <xf numFmtId="0" fontId="24" fillId="0" borderId="33" xfId="7" applyFont="1" applyBorder="1" applyAlignment="1">
      <alignment horizontal="center" vertical="top" wrapText="1"/>
    </xf>
    <xf numFmtId="0" fontId="24" fillId="0" borderId="30" xfId="7" applyFont="1" applyBorder="1" applyAlignment="1">
      <alignment horizontal="center" vertical="top" wrapText="1"/>
    </xf>
    <xf numFmtId="0" fontId="24" fillId="0" borderId="34" xfId="7" applyFont="1" applyBorder="1" applyAlignment="1">
      <alignment horizontal="center" vertical="top" wrapText="1"/>
    </xf>
    <xf numFmtId="0" fontId="23" fillId="0" borderId="3" xfId="7" applyFont="1" applyBorder="1" applyAlignment="1">
      <alignment horizontal="center" vertical="center"/>
    </xf>
    <xf numFmtId="0" fontId="23" fillId="0" borderId="33" xfId="7" applyFont="1" applyBorder="1" applyAlignment="1">
      <alignment horizontal="centerContinuous" vertical="center"/>
    </xf>
    <xf numFmtId="167" fontId="23" fillId="0" borderId="33" xfId="7" applyNumberFormat="1" applyFont="1" applyBorder="1" applyAlignment="1">
      <alignment horizontal="center" vertical="center"/>
    </xf>
    <xf numFmtId="0" fontId="24" fillId="0" borderId="30" xfId="7" applyFont="1" applyBorder="1" applyAlignment="1">
      <alignment horizontal="center" vertical="center"/>
    </xf>
    <xf numFmtId="0" fontId="24" fillId="0" borderId="30" xfId="7" applyFont="1" applyBorder="1" applyAlignment="1">
      <alignment horizontal="centerContinuous" vertical="center" wrapText="1"/>
    </xf>
    <xf numFmtId="0" fontId="24" fillId="0" borderId="34" xfId="7" applyFont="1" applyBorder="1" applyAlignment="1">
      <alignment horizontal="centerContinuous" vertical="center"/>
    </xf>
    <xf numFmtId="167" fontId="24" fillId="0" borderId="34" xfId="7" applyNumberFormat="1" applyFont="1" applyBorder="1" applyAlignment="1">
      <alignment horizontal="center" vertical="center"/>
    </xf>
    <xf numFmtId="167" fontId="24" fillId="0" borderId="33" xfId="7" applyNumberFormat="1" applyFont="1" applyBorder="1" applyAlignment="1">
      <alignment horizontal="center" vertical="center"/>
    </xf>
    <xf numFmtId="0" fontId="23" fillId="0" borderId="3" xfId="7" applyFont="1" applyBorder="1" applyAlignment="1">
      <alignment horizontal="center"/>
    </xf>
    <xf numFmtId="0" fontId="23" fillId="0" borderId="3" xfId="7" applyFont="1" applyBorder="1" applyAlignment="1">
      <alignment horizontal="left" vertical="center"/>
    </xf>
    <xf numFmtId="167" fontId="23" fillId="0" borderId="33" xfId="7" applyNumberFormat="1" applyFont="1" applyBorder="1" applyAlignment="1">
      <alignment horizontal="center"/>
    </xf>
    <xf numFmtId="0" fontId="24" fillId="0" borderId="1" xfId="7" applyFont="1" applyBorder="1" applyAlignment="1">
      <alignment horizontal="center" vertical="top" wrapText="1"/>
    </xf>
    <xf numFmtId="0" fontId="24" fillId="0" borderId="11" xfId="7" applyFont="1" applyBorder="1" applyAlignment="1">
      <alignment horizontal="center" vertical="top" wrapText="1"/>
    </xf>
    <xf numFmtId="0" fontId="23" fillId="0" borderId="1" xfId="7" applyFont="1" applyBorder="1" applyAlignment="1">
      <alignment horizontal="centerContinuous" vertical="center"/>
    </xf>
    <xf numFmtId="0" fontId="23" fillId="0" borderId="1" xfId="7" quotePrefix="1" applyFont="1" applyBorder="1" applyAlignment="1">
      <alignment horizontal="centerContinuous" vertical="center" wrapText="1"/>
    </xf>
    <xf numFmtId="167" fontId="23" fillId="0" borderId="1" xfId="7" applyNumberFormat="1" applyFont="1" applyBorder="1" applyAlignment="1">
      <alignment horizontal="center" vertical="center"/>
    </xf>
    <xf numFmtId="0" fontId="24" fillId="0" borderId="11" xfId="7" applyFont="1" applyBorder="1" applyAlignment="1">
      <alignment horizontal="centerContinuous" vertical="center"/>
    </xf>
    <xf numFmtId="0" fontId="24" fillId="0" borderId="11" xfId="7" applyFont="1" applyBorder="1" applyAlignment="1">
      <alignment horizontal="centerContinuous" vertical="center" wrapText="1"/>
    </xf>
    <xf numFmtId="167" fontId="24" fillId="0" borderId="11" xfId="7" applyNumberFormat="1" applyFont="1" applyBorder="1" applyAlignment="1">
      <alignment horizontal="center" vertical="center"/>
    </xf>
    <xf numFmtId="0" fontId="23" fillId="0" borderId="1" xfId="7" applyFont="1" applyBorder="1" applyAlignment="1">
      <alignment horizontal="center" vertical="center"/>
    </xf>
    <xf numFmtId="0" fontId="23" fillId="0" borderId="3" xfId="7" quotePrefix="1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/>
    </xf>
    <xf numFmtId="0" fontId="24" fillId="0" borderId="3" xfId="7" applyFont="1" applyBorder="1" applyAlignment="1">
      <alignment horizontal="center" vertical="center" wrapText="1"/>
    </xf>
    <xf numFmtId="167" fontId="24" fillId="0" borderId="1" xfId="7" applyNumberFormat="1" applyFont="1" applyBorder="1" applyAlignment="1">
      <alignment horizontal="center" vertical="center"/>
    </xf>
    <xf numFmtId="167" fontId="23" fillId="0" borderId="1" xfId="7" applyNumberFormat="1" applyFont="1" applyBorder="1" applyAlignment="1">
      <alignment horizontal="center"/>
    </xf>
    <xf numFmtId="0" fontId="34" fillId="0" borderId="0" xfId="7" quotePrefix="1" applyFont="1" applyAlignment="1">
      <alignment horizontal="center"/>
    </xf>
    <xf numFmtId="0" fontId="24" fillId="0" borderId="1" xfId="7" applyFont="1" applyBorder="1" applyAlignment="1">
      <alignment horizontal="center" vertical="center" wrapText="1"/>
    </xf>
    <xf numFmtId="0" fontId="24" fillId="0" borderId="1" xfId="7" quotePrefix="1" applyFont="1" applyBorder="1" applyAlignment="1">
      <alignment vertical="center" wrapText="1"/>
    </xf>
    <xf numFmtId="167" fontId="24" fillId="0" borderId="1" xfId="7" applyNumberFormat="1" applyFont="1" applyBorder="1" applyAlignment="1">
      <alignment horizontal="right" vertical="center"/>
    </xf>
    <xf numFmtId="0" fontId="11" fillId="0" borderId="0" xfId="5" applyFont="1"/>
    <xf numFmtId="0" fontId="11" fillId="0" borderId="0" xfId="7" applyFont="1"/>
    <xf numFmtId="0" fontId="24" fillId="2" borderId="1" xfId="7" quotePrefix="1" applyFont="1" applyFill="1" applyBorder="1" applyAlignment="1">
      <alignment vertical="center" wrapText="1"/>
    </xf>
    <xf numFmtId="167" fontId="24" fillId="2" borderId="1" xfId="7" applyNumberFormat="1" applyFont="1" applyFill="1" applyBorder="1" applyAlignment="1">
      <alignment horizontal="right" vertical="center"/>
    </xf>
    <xf numFmtId="49" fontId="24" fillId="0" borderId="1" xfId="6" applyNumberFormat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167" fontId="23" fillId="0" borderId="34" xfId="7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8" applyFont="1"/>
    <xf numFmtId="0" fontId="11" fillId="0" borderId="0" xfId="8" applyFont="1"/>
    <xf numFmtId="0" fontId="32" fillId="0" borderId="0" xfId="8" quotePrefix="1" applyFont="1" applyAlignment="1">
      <alignment horizontal="center"/>
    </xf>
    <xf numFmtId="0" fontId="24" fillId="0" borderId="0" xfId="8" applyFont="1" applyAlignment="1">
      <alignment horizontal="right"/>
    </xf>
    <xf numFmtId="0" fontId="24" fillId="0" borderId="1" xfId="8" applyFont="1" applyBorder="1" applyAlignment="1">
      <alignment horizontal="center" vertical="center" wrapText="1"/>
    </xf>
    <xf numFmtId="0" fontId="23" fillId="0" borderId="1" xfId="8" applyFont="1" applyBorder="1" applyAlignment="1">
      <alignment horizontal="center" vertical="center" wrapText="1"/>
    </xf>
    <xf numFmtId="0" fontId="23" fillId="0" borderId="1" xfId="8" quotePrefix="1" applyFont="1" applyBorder="1" applyAlignment="1">
      <alignment vertical="center" wrapText="1"/>
    </xf>
    <xf numFmtId="168" fontId="23" fillId="0" borderId="1" xfId="8" applyNumberFormat="1" applyFont="1" applyBorder="1" applyAlignment="1">
      <alignment horizontal="right" vertical="center"/>
    </xf>
    <xf numFmtId="0" fontId="39" fillId="0" borderId="1" xfId="8" applyFont="1" applyBorder="1" applyAlignment="1">
      <alignment horizontal="center" vertical="center" wrapText="1"/>
    </xf>
    <xf numFmtId="0" fontId="39" fillId="0" borderId="1" xfId="8" quotePrefix="1" applyFont="1" applyBorder="1" applyAlignment="1">
      <alignment vertical="center" wrapText="1"/>
    </xf>
    <xf numFmtId="168" fontId="39" fillId="0" borderId="1" xfId="8" applyNumberFormat="1" applyFont="1" applyBorder="1" applyAlignment="1">
      <alignment horizontal="right" vertical="center"/>
    </xf>
    <xf numFmtId="0" fontId="24" fillId="0" borderId="1" xfId="8" quotePrefix="1" applyFont="1" applyBorder="1" applyAlignment="1">
      <alignment vertical="center" wrapText="1"/>
    </xf>
    <xf numFmtId="168" fontId="24" fillId="0" borderId="1" xfId="8" applyNumberFormat="1" applyFont="1" applyBorder="1" applyAlignment="1">
      <alignment horizontal="right" vertical="center"/>
    </xf>
    <xf numFmtId="0" fontId="23" fillId="0" borderId="1" xfId="8" applyFont="1" applyBorder="1" applyAlignment="1">
      <alignment vertical="center" wrapText="1"/>
    </xf>
    <xf numFmtId="168" fontId="24" fillId="0" borderId="0" xfId="0" applyNumberFormat="1" applyFont="1"/>
    <xf numFmtId="49" fontId="24" fillId="2" borderId="8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quotePrefix="1" applyFont="1" applyFill="1" applyBorder="1" applyAlignment="1">
      <alignment vertical="center" wrapText="1"/>
    </xf>
    <xf numFmtId="49" fontId="24" fillId="2" borderId="1" xfId="0" quotePrefix="1" applyNumberFormat="1" applyFont="1" applyFill="1" applyBorder="1" applyAlignment="1">
      <alignment vertical="top" wrapText="1"/>
    </xf>
    <xf numFmtId="0" fontId="18" fillId="0" borderId="8" xfId="0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wrapText="1"/>
    </xf>
    <xf numFmtId="49" fontId="11" fillId="0" borderId="8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wrapText="1"/>
    </xf>
    <xf numFmtId="3" fontId="18" fillId="0" borderId="3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9" fontId="11" fillId="0" borderId="1" xfId="9" applyNumberFormat="1" applyFont="1" applyBorder="1" applyAlignment="1">
      <alignment horizontal="right" vertical="center" wrapText="1"/>
    </xf>
    <xf numFmtId="0" fontId="28" fillId="0" borderId="1" xfId="6" applyFont="1" applyBorder="1" applyAlignment="1">
      <alignment horizontal="center" vertical="center" wrapText="1"/>
    </xf>
    <xf numFmtId="0" fontId="28" fillId="0" borderId="1" xfId="6" quotePrefix="1" applyFont="1" applyBorder="1" applyAlignment="1">
      <alignment vertical="center" wrapText="1"/>
    </xf>
    <xf numFmtId="167" fontId="28" fillId="0" borderId="1" xfId="6" applyNumberFormat="1" applyFont="1" applyBorder="1" applyAlignment="1">
      <alignment vertical="center"/>
    </xf>
    <xf numFmtId="0" fontId="24" fillId="0" borderId="11" xfId="7" applyFont="1" applyBorder="1" applyAlignment="1">
      <alignment horizontal="center" vertical="center" wrapText="1"/>
    </xf>
    <xf numFmtId="0" fontId="24" fillId="0" borderId="11" xfId="7" quotePrefix="1" applyFont="1" applyBorder="1" applyAlignment="1">
      <alignment vertical="center" wrapText="1"/>
    </xf>
    <xf numFmtId="167" fontId="24" fillId="0" borderId="11" xfId="7" applyNumberFormat="1" applyFont="1" applyBorder="1" applyAlignment="1">
      <alignment horizontal="right" vertical="center"/>
    </xf>
    <xf numFmtId="0" fontId="23" fillId="0" borderId="13" xfId="7" applyFont="1" applyBorder="1" applyAlignment="1">
      <alignment horizontal="center" vertical="center" wrapText="1"/>
    </xf>
    <xf numFmtId="0" fontId="23" fillId="0" borderId="14" xfId="7" applyFont="1" applyBorder="1" applyAlignment="1">
      <alignment horizontal="center" vertical="center" wrapText="1"/>
    </xf>
    <xf numFmtId="0" fontId="23" fillId="0" borderId="14" xfId="7" applyFont="1" applyBorder="1" applyAlignment="1">
      <alignment vertical="center" wrapText="1"/>
    </xf>
    <xf numFmtId="167" fontId="23" fillId="0" borderId="14" xfId="7" applyNumberFormat="1" applyFont="1" applyBorder="1" applyAlignment="1">
      <alignment horizontal="right" vertical="center"/>
    </xf>
    <xf numFmtId="167" fontId="23" fillId="0" borderId="15" xfId="7" applyNumberFormat="1" applyFont="1" applyBorder="1" applyAlignment="1">
      <alignment horizontal="right" vertical="center"/>
    </xf>
    <xf numFmtId="0" fontId="24" fillId="0" borderId="8" xfId="7" applyFont="1" applyBorder="1" applyAlignment="1">
      <alignment horizontal="center" vertical="center" wrapText="1"/>
    </xf>
    <xf numFmtId="167" fontId="24" fillId="0" borderId="9" xfId="7" applyNumberFormat="1" applyFont="1" applyBorder="1" applyAlignment="1">
      <alignment horizontal="right" vertical="center"/>
    </xf>
    <xf numFmtId="0" fontId="24" fillId="0" borderId="10" xfId="7" applyFont="1" applyBorder="1" applyAlignment="1">
      <alignment horizontal="center" vertical="center" wrapText="1"/>
    </xf>
    <xf numFmtId="167" fontId="24" fillId="0" borderId="12" xfId="7" applyNumberFormat="1" applyFont="1" applyBorder="1" applyAlignment="1">
      <alignment horizontal="right" vertical="center"/>
    </xf>
    <xf numFmtId="0" fontId="28" fillId="0" borderId="16" xfId="7" applyFont="1" applyBorder="1" applyAlignment="1">
      <alignment horizontal="center" vertical="center" wrapText="1"/>
    </xf>
    <xf numFmtId="0" fontId="28" fillId="0" borderId="17" xfId="7" applyFont="1" applyBorder="1" applyAlignment="1">
      <alignment horizontal="center" vertical="center" wrapText="1"/>
    </xf>
    <xf numFmtId="0" fontId="28" fillId="0" borderId="17" xfId="7" quotePrefix="1" applyFont="1" applyBorder="1" applyAlignment="1">
      <alignment vertical="center" wrapText="1"/>
    </xf>
    <xf numFmtId="167" fontId="28" fillId="0" borderId="17" xfId="7" applyNumberFormat="1" applyFont="1" applyBorder="1" applyAlignment="1">
      <alignment horizontal="right" vertical="center"/>
    </xf>
    <xf numFmtId="167" fontId="28" fillId="0" borderId="18" xfId="7" applyNumberFormat="1" applyFont="1" applyBorder="1" applyAlignment="1">
      <alignment horizontal="right" vertical="center"/>
    </xf>
    <xf numFmtId="0" fontId="23" fillId="0" borderId="14" xfId="7" quotePrefix="1" applyFont="1" applyBorder="1" applyAlignment="1">
      <alignment vertical="center" wrapText="1"/>
    </xf>
    <xf numFmtId="0" fontId="35" fillId="0" borderId="21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 wrapText="1"/>
    </xf>
    <xf numFmtId="0" fontId="24" fillId="0" borderId="14" xfId="7" applyFont="1" applyBorder="1" applyAlignment="1">
      <alignment horizontal="center" vertical="center" wrapText="1"/>
    </xf>
    <xf numFmtId="0" fontId="24" fillId="0" borderId="14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18" fillId="0" borderId="14" xfId="0" quotePrefix="1" applyNumberFormat="1" applyFont="1" applyBorder="1" applyAlignment="1">
      <alignment vertical="center" wrapText="1"/>
    </xf>
    <xf numFmtId="0" fontId="15" fillId="3" borderId="14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right" vertical="center" wrapText="1"/>
    </xf>
    <xf numFmtId="166" fontId="15" fillId="3" borderId="14" xfId="1" applyNumberFormat="1" applyFont="1" applyFill="1" applyBorder="1" applyAlignment="1">
      <alignment horizontal="right" vertical="center" wrapText="1"/>
    </xf>
    <xf numFmtId="9" fontId="15" fillId="3" borderId="15" xfId="0" applyNumberFormat="1" applyFont="1" applyFill="1" applyBorder="1" applyAlignment="1">
      <alignment horizontal="right" vertical="center" wrapText="1"/>
    </xf>
    <xf numFmtId="0" fontId="26" fillId="0" borderId="17" xfId="0" applyFont="1" applyBorder="1" applyAlignment="1">
      <alignment vertical="center" wrapText="1"/>
    </xf>
    <xf numFmtId="0" fontId="15" fillId="3" borderId="17" xfId="0" applyFont="1" applyFill="1" applyBorder="1" applyAlignment="1">
      <alignment horizontal="center" vertical="center" wrapText="1"/>
    </xf>
    <xf numFmtId="3" fontId="19" fillId="3" borderId="17" xfId="0" applyNumberFormat="1" applyFont="1" applyFill="1" applyBorder="1" applyAlignment="1">
      <alignment horizontal="right" vertical="center" wrapText="1"/>
    </xf>
    <xf numFmtId="9" fontId="19" fillId="3" borderId="18" xfId="0" applyNumberFormat="1" applyFont="1" applyFill="1" applyBorder="1" applyAlignment="1">
      <alignment horizontal="right" vertical="center" wrapText="1"/>
    </xf>
    <xf numFmtId="49" fontId="15" fillId="0" borderId="28" xfId="0" applyNumberFormat="1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/>
    </xf>
    <xf numFmtId="0" fontId="18" fillId="0" borderId="14" xfId="0" quotePrefix="1" applyFont="1" applyBorder="1" applyAlignment="1">
      <alignment vertical="center" wrapText="1"/>
    </xf>
    <xf numFmtId="3" fontId="15" fillId="3" borderId="14" xfId="0" applyNumberFormat="1" applyFont="1" applyFill="1" applyBorder="1" applyAlignment="1">
      <alignment horizontal="right" vertical="center" wrapText="1"/>
    </xf>
    <xf numFmtId="3" fontId="15" fillId="3" borderId="29" xfId="0" applyNumberFormat="1" applyFont="1" applyFill="1" applyBorder="1" applyAlignment="1">
      <alignment horizontal="right" vertical="center" wrapText="1"/>
    </xf>
    <xf numFmtId="166" fontId="15" fillId="2" borderId="29" xfId="0" applyNumberFormat="1" applyFont="1" applyFill="1" applyBorder="1" applyAlignment="1">
      <alignment horizontal="right" vertical="center" wrapText="1"/>
    </xf>
    <xf numFmtId="0" fontId="35" fillId="0" borderId="20" xfId="7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/>
    </xf>
    <xf numFmtId="49" fontId="24" fillId="0" borderId="1" xfId="7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3" fontId="11" fillId="0" borderId="11" xfId="0" quotePrefix="1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3" fontId="20" fillId="0" borderId="1" xfId="0" applyNumberFormat="1" applyFont="1" applyFill="1" applyBorder="1" applyAlignment="1">
      <alignment horizontal="left" vertical="center" wrapText="1"/>
    </xf>
    <xf numFmtId="3" fontId="20" fillId="0" borderId="32" xfId="0" applyNumberFormat="1" applyFont="1" applyBorder="1" applyAlignment="1">
      <alignment horizontal="right" vertical="center" wrapText="1"/>
    </xf>
    <xf numFmtId="9" fontId="20" fillId="0" borderId="17" xfId="0" applyNumberFormat="1" applyFont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left" vertical="center" wrapText="1"/>
    </xf>
    <xf numFmtId="3" fontId="19" fillId="0" borderId="32" xfId="0" applyNumberFormat="1" applyFont="1" applyBorder="1" applyAlignment="1">
      <alignment horizontal="right" vertical="center" wrapText="1"/>
    </xf>
    <xf numFmtId="9" fontId="19" fillId="0" borderId="17" xfId="0" applyNumberFormat="1" applyFont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left" vertical="center" wrapText="1"/>
    </xf>
    <xf numFmtId="3" fontId="20" fillId="0" borderId="30" xfId="0" applyNumberFormat="1" applyFont="1" applyBorder="1" applyAlignment="1">
      <alignment horizontal="center" vertical="center" wrapText="1"/>
    </xf>
    <xf numFmtId="9" fontId="20" fillId="0" borderId="17" xfId="0" applyNumberFormat="1" applyFont="1" applyBorder="1" applyAlignment="1">
      <alignment horizontal="center" vertical="center"/>
    </xf>
    <xf numFmtId="3" fontId="20" fillId="2" borderId="1" xfId="0" applyNumberFormat="1" applyFont="1" applyFill="1" applyBorder="1" applyAlignment="1">
      <alignment vertical="center" wrapText="1"/>
    </xf>
    <xf numFmtId="3" fontId="20" fillId="2" borderId="30" xfId="0" applyNumberFormat="1" applyFont="1" applyFill="1" applyBorder="1" applyAlignment="1">
      <alignment horizontal="center" vertical="center" wrapText="1"/>
    </xf>
    <xf numFmtId="3" fontId="20" fillId="2" borderId="32" xfId="0" applyNumberFormat="1" applyFont="1" applyFill="1" applyBorder="1" applyAlignment="1">
      <alignment horizontal="right" vertical="center"/>
    </xf>
    <xf numFmtId="9" fontId="20" fillId="2" borderId="17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right" vertical="center" wrapText="1"/>
    </xf>
    <xf numFmtId="9" fontId="20" fillId="2" borderId="9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vertical="center" wrapText="1"/>
    </xf>
    <xf numFmtId="3" fontId="19" fillId="2" borderId="30" xfId="0" applyNumberFormat="1" applyFont="1" applyFill="1" applyBorder="1" applyAlignment="1">
      <alignment horizontal="center" vertical="center" wrapText="1"/>
    </xf>
    <xf numFmtId="3" fontId="19" fillId="2" borderId="32" xfId="0" applyNumberFormat="1" applyFont="1" applyFill="1" applyBorder="1" applyAlignment="1">
      <alignment horizontal="right" vertical="center"/>
    </xf>
    <xf numFmtId="9" fontId="19" fillId="2" borderId="17" xfId="0" applyNumberFormat="1" applyFont="1" applyFill="1" applyBorder="1" applyAlignment="1">
      <alignment horizontal="center" vertical="center"/>
    </xf>
    <xf numFmtId="9" fontId="19" fillId="2" borderId="9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3" fontId="11" fillId="0" borderId="1" xfId="0" quotePrefix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0" xfId="0" applyFont="1"/>
    <xf numFmtId="0" fontId="11" fillId="0" borderId="4" xfId="0" applyFont="1" applyBorder="1"/>
    <xf numFmtId="0" fontId="11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4" fillId="0" borderId="0" xfId="7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15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167" fontId="24" fillId="0" borderId="36" xfId="7" applyNumberFormat="1" applyFont="1" applyBorder="1" applyAlignment="1">
      <alignment horizontal="center" vertical="center"/>
    </xf>
    <xf numFmtId="167" fontId="23" fillId="0" borderId="36" xfId="7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wrapText="1"/>
    </xf>
    <xf numFmtId="0" fontId="23" fillId="0" borderId="36" xfId="7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24" fillId="0" borderId="8" xfId="7" applyNumberFormat="1" applyFont="1" applyBorder="1" applyAlignment="1">
      <alignment horizontal="center" vertical="center" wrapText="1"/>
    </xf>
    <xf numFmtId="0" fontId="11" fillId="0" borderId="1" xfId="7" quotePrefix="1" applyFont="1" applyBorder="1" applyAlignment="1">
      <alignment vertical="center" wrapText="1"/>
    </xf>
    <xf numFmtId="49" fontId="11" fillId="0" borderId="3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lef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23" fillId="0" borderId="0" xfId="8" applyFont="1" applyAlignment="1">
      <alignment horizontal="center"/>
    </xf>
    <xf numFmtId="0" fontId="24" fillId="0" borderId="0" xfId="8" applyFont="1" applyAlignment="1">
      <alignment horizontal="center"/>
    </xf>
    <xf numFmtId="0" fontId="24" fillId="0" borderId="1" xfId="8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8" fillId="0" borderId="0" xfId="5" applyFont="1" applyAlignment="1">
      <alignment horizontal="center"/>
    </xf>
    <xf numFmtId="0" fontId="23" fillId="0" borderId="3" xfId="5" applyFont="1" applyBorder="1" applyAlignment="1">
      <alignment horizontal="center" vertical="center"/>
    </xf>
    <xf numFmtId="0" fontId="24" fillId="0" borderId="4" xfId="5" applyFont="1" applyBorder="1"/>
    <xf numFmtId="0" fontId="24" fillId="0" borderId="33" xfId="5" applyFont="1" applyBorder="1"/>
    <xf numFmtId="0" fontId="23" fillId="0" borderId="0" xfId="5" applyFont="1" applyAlignment="1">
      <alignment horizontal="center"/>
    </xf>
    <xf numFmtId="0" fontId="24" fillId="0" borderId="0" xfId="5" applyFont="1" applyAlignment="1">
      <alignment horizontal="center"/>
    </xf>
    <xf numFmtId="0" fontId="24" fillId="0" borderId="1" xfId="5" applyFont="1" applyBorder="1" applyAlignment="1">
      <alignment horizontal="center" vertical="center" wrapText="1"/>
    </xf>
    <xf numFmtId="0" fontId="33" fillId="0" borderId="0" xfId="6" applyFont="1" applyAlignment="1">
      <alignment horizontal="center"/>
    </xf>
    <xf numFmtId="0" fontId="35" fillId="0" borderId="1" xfId="6" applyFont="1" applyBorder="1" applyAlignment="1">
      <alignment horizontal="center" vertical="center" wrapText="1"/>
    </xf>
    <xf numFmtId="0" fontId="5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0" fontId="2" fillId="0" borderId="0" xfId="7" applyAlignment="1">
      <alignment horizontal="right"/>
    </xf>
    <xf numFmtId="0" fontId="2" fillId="0" borderId="0" xfId="7"/>
    <xf numFmtId="0" fontId="23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32" fillId="0" borderId="0" xfId="7" quotePrefix="1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33" fillId="0" borderId="0" xfId="7" applyFont="1" applyAlignment="1">
      <alignment horizontal="center"/>
    </xf>
    <xf numFmtId="0" fontId="24" fillId="0" borderId="3" xfId="7" applyFont="1" applyBorder="1" applyAlignment="1">
      <alignment horizontal="center" vertical="top" wrapText="1"/>
    </xf>
    <xf numFmtId="0" fontId="24" fillId="0" borderId="33" xfId="7" applyFont="1" applyBorder="1" applyAlignment="1">
      <alignment horizontal="center" vertical="top" wrapText="1"/>
    </xf>
    <xf numFmtId="0" fontId="24" fillId="0" borderId="30" xfId="7" applyFont="1" applyBorder="1" applyAlignment="1">
      <alignment horizontal="center" vertical="top" wrapText="1"/>
    </xf>
    <xf numFmtId="0" fontId="24" fillId="0" borderId="34" xfId="7" applyFont="1" applyBorder="1" applyAlignment="1">
      <alignment horizontal="center" vertical="top" wrapText="1"/>
    </xf>
    <xf numFmtId="0" fontId="23" fillId="0" borderId="11" xfId="7" applyFont="1" applyBorder="1" applyAlignment="1">
      <alignment horizontal="center"/>
    </xf>
    <xf numFmtId="0" fontId="24" fillId="0" borderId="11" xfId="7" applyFont="1" applyBorder="1" applyAlignment="1">
      <alignment horizontal="center"/>
    </xf>
    <xf numFmtId="0" fontId="23" fillId="0" borderId="1" xfId="7" applyFont="1" applyBorder="1" applyAlignment="1">
      <alignment horizontal="center"/>
    </xf>
    <xf numFmtId="0" fontId="24" fillId="0" borderId="1" xfId="7" applyFont="1" applyBorder="1" applyAlignment="1">
      <alignment horizontal="center"/>
    </xf>
    <xf numFmtId="0" fontId="23" fillId="0" borderId="3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23" fillId="0" borderId="3" xfId="7" quotePrefix="1" applyFont="1" applyBorder="1" applyAlignment="1">
      <alignment horizontal="left" vertical="center" wrapText="1"/>
    </xf>
    <xf numFmtId="0" fontId="23" fillId="0" borderId="33" xfId="7" quotePrefix="1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9" fontId="14" fillId="0" borderId="20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5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0" fontId="35" fillId="0" borderId="5" xfId="7" applyFont="1" applyBorder="1" applyAlignment="1">
      <alignment horizontal="center" vertical="center" wrapText="1"/>
    </xf>
    <xf numFmtId="0" fontId="35" fillId="0" borderId="19" xfId="7" applyFont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20" xfId="7" applyFont="1" applyBorder="1" applyAlignment="1">
      <alignment horizontal="center" vertical="center" wrapText="1"/>
    </xf>
    <xf numFmtId="0" fontId="35" fillId="0" borderId="7" xfId="7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9" fontId="7" fillId="0" borderId="21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9" fontId="7" fillId="0" borderId="6" xfId="0" applyNumberFormat="1" applyFont="1" applyBorder="1" applyAlignment="1">
      <alignment horizontal="center" vertical="center" wrapText="1"/>
    </xf>
    <xf numFmtId="9" fontId="7" fillId="0" borderId="20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3" fontId="11" fillId="2" borderId="17" xfId="0" applyNumberFormat="1" applyFont="1" applyFill="1" applyBorder="1" applyAlignment="1">
      <alignment horizontal="center" vertical="center" wrapText="1"/>
    </xf>
    <xf numFmtId="3" fontId="11" fillId="0" borderId="11" xfId="0" quotePrefix="1" applyNumberFormat="1" applyFont="1" applyBorder="1" applyAlignment="1">
      <alignment horizontal="center" vertical="center" wrapText="1"/>
    </xf>
    <xf numFmtId="3" fontId="11" fillId="0" borderId="17" xfId="0" quotePrefix="1" applyNumberFormat="1" applyFont="1" applyBorder="1" applyAlignment="1">
      <alignment horizontal="center" vertical="center" wrapText="1"/>
    </xf>
    <xf numFmtId="0" fontId="30" fillId="0" borderId="16" xfId="0" applyFont="1" applyBorder="1"/>
    <xf numFmtId="0" fontId="30" fillId="0" borderId="17" xfId="0" applyFont="1" applyBorder="1"/>
    <xf numFmtId="0" fontId="31" fillId="0" borderId="17" xfId="0" applyFont="1" applyBorder="1"/>
    <xf numFmtId="0" fontId="20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</cellXfs>
  <cellStyles count="10">
    <cellStyle name="Звичайний" xfId="0" builtinId="0"/>
    <cellStyle name="Звичайний 2" xfId="5" xr:uid="{00000000-0005-0000-0000-000001000000}"/>
    <cellStyle name="Звичайний 2 2" xfId="8" xr:uid="{00000000-0005-0000-0000-000002000000}"/>
    <cellStyle name="Обычный 2" xfId="3" xr:uid="{00000000-0005-0000-0000-000003000000}"/>
    <cellStyle name="Обычный 3" xfId="6" xr:uid="{00000000-0005-0000-0000-000004000000}"/>
    <cellStyle name="Обычный 4" xfId="7" xr:uid="{00000000-0005-0000-0000-000005000000}"/>
    <cellStyle name="Обычный 9 2 4 2 2" xfId="2" xr:uid="{00000000-0005-0000-0000-000006000000}"/>
    <cellStyle name="Обычный_Dod do rish2006" xfId="4" xr:uid="{00000000-0005-0000-0000-000007000000}"/>
    <cellStyle name="Финансовый 2" xfId="1" xr:uid="{00000000-0005-0000-0000-000009000000}"/>
    <cellStyle name="Фінансовий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view="pageBreakPreview" zoomScale="80" zoomScaleNormal="86" zoomScaleSheetLayoutView="80" workbookViewId="0">
      <selection activeCell="E85" sqref="E85"/>
    </sheetView>
  </sheetViews>
  <sheetFormatPr defaultColWidth="9.140625" defaultRowHeight="18.75" x14ac:dyDescent="0.3"/>
  <cols>
    <col min="1" max="1" width="16.42578125" style="163" customWidth="1"/>
    <col min="2" max="2" width="47.7109375" style="163" customWidth="1"/>
    <col min="3" max="3" width="19.7109375" style="163" customWidth="1"/>
    <col min="4" max="4" width="19.85546875" style="163" customWidth="1"/>
    <col min="5" max="5" width="19" style="163" customWidth="1"/>
    <col min="6" max="6" width="18.85546875" style="163" customWidth="1"/>
    <col min="7" max="16384" width="9.140625" style="163"/>
  </cols>
  <sheetData>
    <row r="1" spans="1:6" x14ac:dyDescent="0.3">
      <c r="D1" s="323" t="s">
        <v>153</v>
      </c>
      <c r="E1" s="20"/>
      <c r="F1" s="350"/>
    </row>
    <row r="2" spans="1:6" x14ac:dyDescent="0.3">
      <c r="D2" s="323" t="s">
        <v>612</v>
      </c>
      <c r="E2" s="20"/>
      <c r="F2" s="350"/>
    </row>
    <row r="3" spans="1:6" x14ac:dyDescent="0.3">
      <c r="D3" s="117" t="s">
        <v>613</v>
      </c>
      <c r="E3" s="117"/>
      <c r="F3" s="350"/>
    </row>
    <row r="4" spans="1:6" x14ac:dyDescent="0.3">
      <c r="D4" s="119" t="s">
        <v>614</v>
      </c>
      <c r="E4" s="351"/>
      <c r="F4" s="350"/>
    </row>
    <row r="5" spans="1:6" x14ac:dyDescent="0.3">
      <c r="D5" s="375" t="s">
        <v>615</v>
      </c>
      <c r="E5" s="375"/>
      <c r="F5" s="350"/>
    </row>
    <row r="7" spans="1:6" x14ac:dyDescent="0.3">
      <c r="A7" s="238"/>
      <c r="B7" s="238"/>
      <c r="C7" s="238"/>
      <c r="D7" s="238" t="s">
        <v>616</v>
      </c>
      <c r="E7" s="238"/>
      <c r="F7" s="238"/>
    </row>
    <row r="8" spans="1:6" x14ac:dyDescent="0.3">
      <c r="A8" s="238"/>
      <c r="B8" s="238"/>
      <c r="C8" s="238"/>
      <c r="D8" s="115" t="s">
        <v>104</v>
      </c>
      <c r="E8" s="20"/>
      <c r="F8" s="116"/>
    </row>
    <row r="9" spans="1:6" x14ac:dyDescent="0.3">
      <c r="A9" s="238"/>
      <c r="B9" s="238"/>
      <c r="C9" s="238"/>
      <c r="D9" s="375" t="s">
        <v>108</v>
      </c>
      <c r="E9" s="375"/>
      <c r="F9" s="375"/>
    </row>
    <row r="10" spans="1:6" x14ac:dyDescent="0.3">
      <c r="A10" s="238"/>
      <c r="B10" s="238"/>
      <c r="C10" s="238"/>
      <c r="D10" s="375" t="s">
        <v>109</v>
      </c>
      <c r="E10" s="375"/>
      <c r="F10" s="375"/>
    </row>
    <row r="11" spans="1:6" x14ac:dyDescent="0.3">
      <c r="A11" s="238"/>
      <c r="B11" s="238"/>
      <c r="C11" s="238"/>
      <c r="D11" s="117" t="s">
        <v>617</v>
      </c>
      <c r="E11" s="118"/>
      <c r="F11" s="116"/>
    </row>
    <row r="12" spans="1:6" x14ac:dyDescent="0.3">
      <c r="A12" s="238"/>
      <c r="B12" s="238"/>
      <c r="C12" s="238"/>
      <c r="D12" s="119" t="s">
        <v>591</v>
      </c>
      <c r="E12" s="120"/>
      <c r="F12" s="116"/>
    </row>
    <row r="13" spans="1:6" x14ac:dyDescent="0.3">
      <c r="A13" s="238"/>
      <c r="B13" s="238"/>
      <c r="C13" s="238"/>
      <c r="D13" s="239" t="s">
        <v>618</v>
      </c>
      <c r="E13" s="238"/>
      <c r="F13" s="238"/>
    </row>
    <row r="15" spans="1:6" x14ac:dyDescent="0.3">
      <c r="A15" s="377" t="s">
        <v>155</v>
      </c>
      <c r="B15" s="378"/>
      <c r="C15" s="378"/>
      <c r="D15" s="378"/>
      <c r="E15" s="378"/>
      <c r="F15" s="378"/>
    </row>
    <row r="16" spans="1:6" x14ac:dyDescent="0.3">
      <c r="A16" s="240" t="s">
        <v>70</v>
      </c>
      <c r="B16" s="238"/>
      <c r="C16" s="238"/>
      <c r="D16" s="238"/>
      <c r="E16" s="238"/>
      <c r="F16" s="238"/>
    </row>
    <row r="17" spans="1:6" x14ac:dyDescent="0.3">
      <c r="A17" s="238" t="s">
        <v>0</v>
      </c>
      <c r="B17" s="238"/>
      <c r="C17" s="238"/>
      <c r="D17" s="238"/>
      <c r="E17" s="238"/>
      <c r="F17" s="241" t="s">
        <v>1</v>
      </c>
    </row>
    <row r="18" spans="1:6" x14ac:dyDescent="0.3">
      <c r="A18" s="379" t="s">
        <v>156</v>
      </c>
      <c r="B18" s="379" t="s">
        <v>157</v>
      </c>
      <c r="C18" s="379" t="s">
        <v>158</v>
      </c>
      <c r="D18" s="379" t="s">
        <v>159</v>
      </c>
      <c r="E18" s="379" t="s">
        <v>160</v>
      </c>
      <c r="F18" s="379"/>
    </row>
    <row r="19" spans="1:6" x14ac:dyDescent="0.3">
      <c r="A19" s="379"/>
      <c r="B19" s="379"/>
      <c r="C19" s="379"/>
      <c r="D19" s="379"/>
      <c r="E19" s="379" t="s">
        <v>161</v>
      </c>
      <c r="F19" s="379" t="s">
        <v>162</v>
      </c>
    </row>
    <row r="20" spans="1:6" x14ac:dyDescent="0.3">
      <c r="A20" s="379"/>
      <c r="B20" s="379"/>
      <c r="C20" s="379"/>
      <c r="D20" s="379"/>
      <c r="E20" s="379"/>
      <c r="F20" s="379"/>
    </row>
    <row r="21" spans="1:6" x14ac:dyDescent="0.3">
      <c r="A21" s="242">
        <v>1</v>
      </c>
      <c r="B21" s="242">
        <v>2</v>
      </c>
      <c r="C21" s="242">
        <v>3</v>
      </c>
      <c r="D21" s="242">
        <v>4</v>
      </c>
      <c r="E21" s="242">
        <v>5</v>
      </c>
      <c r="F21" s="242">
        <v>6</v>
      </c>
    </row>
    <row r="22" spans="1:6" x14ac:dyDescent="0.3">
      <c r="A22" s="243" t="s">
        <v>163</v>
      </c>
      <c r="B22" s="244" t="s">
        <v>164</v>
      </c>
      <c r="C22" s="245">
        <f>D22+E22</f>
        <v>598688400</v>
      </c>
      <c r="D22" s="245">
        <f>D23+D26+D28+D32</f>
        <v>598245000</v>
      </c>
      <c r="E22" s="245">
        <f>E47</f>
        <v>443400</v>
      </c>
      <c r="F22" s="245">
        <v>0</v>
      </c>
    </row>
    <row r="23" spans="1:6" ht="60.75" customHeight="1" x14ac:dyDescent="0.3">
      <c r="A23" s="246" t="s">
        <v>165</v>
      </c>
      <c r="B23" s="247" t="s">
        <v>166</v>
      </c>
      <c r="C23" s="248">
        <f>D23+E23</f>
        <v>358494900</v>
      </c>
      <c r="D23" s="248">
        <f>D24+D25</f>
        <v>358494900</v>
      </c>
      <c r="E23" s="245">
        <v>0</v>
      </c>
      <c r="F23" s="245">
        <v>0</v>
      </c>
    </row>
    <row r="24" spans="1:6" ht="37.5" x14ac:dyDescent="0.3">
      <c r="A24" s="242" t="s">
        <v>167</v>
      </c>
      <c r="B24" s="249" t="s">
        <v>168</v>
      </c>
      <c r="C24" s="250">
        <f>D24+E24</f>
        <v>358192600</v>
      </c>
      <c r="D24" s="250">
        <v>358192600</v>
      </c>
      <c r="E24" s="250">
        <v>0</v>
      </c>
      <c r="F24" s="245">
        <v>0</v>
      </c>
    </row>
    <row r="25" spans="1:6" ht="58.5" customHeight="1" x14ac:dyDescent="0.3">
      <c r="A25" s="242" t="s">
        <v>169</v>
      </c>
      <c r="B25" s="249" t="s">
        <v>170</v>
      </c>
      <c r="C25" s="250">
        <f t="shared" ref="C25:C27" si="0">D25+E25</f>
        <v>302300</v>
      </c>
      <c r="D25" s="250">
        <v>302300</v>
      </c>
      <c r="E25" s="250">
        <v>0</v>
      </c>
      <c r="F25" s="250">
        <v>0</v>
      </c>
    </row>
    <row r="26" spans="1:6" ht="58.5" x14ac:dyDescent="0.3">
      <c r="A26" s="246" t="s">
        <v>171</v>
      </c>
      <c r="B26" s="247" t="s">
        <v>172</v>
      </c>
      <c r="C26" s="248">
        <f t="shared" si="0"/>
        <v>2500</v>
      </c>
      <c r="D26" s="248">
        <f>D27</f>
        <v>2500</v>
      </c>
      <c r="E26" s="245">
        <v>0</v>
      </c>
      <c r="F26" s="245">
        <v>0</v>
      </c>
    </row>
    <row r="27" spans="1:6" ht="112.5" customHeight="1" x14ac:dyDescent="0.3">
      <c r="A27" s="242" t="s">
        <v>173</v>
      </c>
      <c r="B27" s="249" t="s">
        <v>174</v>
      </c>
      <c r="C27" s="250">
        <f t="shared" si="0"/>
        <v>2500</v>
      </c>
      <c r="D27" s="250">
        <v>2500</v>
      </c>
      <c r="E27" s="250">
        <v>0</v>
      </c>
      <c r="F27" s="250">
        <v>0</v>
      </c>
    </row>
    <row r="28" spans="1:6" ht="39" x14ac:dyDescent="0.3">
      <c r="A28" s="246" t="s">
        <v>175</v>
      </c>
      <c r="B28" s="247" t="s">
        <v>176</v>
      </c>
      <c r="C28" s="248">
        <f>D28+E28</f>
        <v>35217500</v>
      </c>
      <c r="D28" s="248">
        <f>D29+D30+D31</f>
        <v>35217500</v>
      </c>
      <c r="E28" s="245">
        <v>0</v>
      </c>
      <c r="F28" s="245">
        <v>0</v>
      </c>
    </row>
    <row r="29" spans="1:6" ht="50.25" customHeight="1" x14ac:dyDescent="0.3">
      <c r="A29" s="242" t="s">
        <v>177</v>
      </c>
      <c r="B29" s="249" t="s">
        <v>178</v>
      </c>
      <c r="C29" s="250">
        <f>D29+E29</f>
        <v>1206400</v>
      </c>
      <c r="D29" s="250">
        <v>1206400</v>
      </c>
      <c r="E29" s="250">
        <v>0</v>
      </c>
      <c r="F29" s="245">
        <v>0</v>
      </c>
    </row>
    <row r="30" spans="1:6" ht="58.5" customHeight="1" x14ac:dyDescent="0.3">
      <c r="A30" s="242" t="s">
        <v>179</v>
      </c>
      <c r="B30" s="249" t="s">
        <v>180</v>
      </c>
      <c r="C30" s="250">
        <f t="shared" ref="C30:C31" si="1">D30+E30</f>
        <v>12115300</v>
      </c>
      <c r="D30" s="250">
        <v>12115300</v>
      </c>
      <c r="E30" s="250">
        <v>0</v>
      </c>
      <c r="F30" s="245">
        <v>0</v>
      </c>
    </row>
    <row r="31" spans="1:6" ht="57.75" customHeight="1" x14ac:dyDescent="0.3">
      <c r="A31" s="242" t="s">
        <v>181</v>
      </c>
      <c r="B31" s="249" t="s">
        <v>182</v>
      </c>
      <c r="C31" s="250">
        <f t="shared" si="1"/>
        <v>21895800</v>
      </c>
      <c r="D31" s="250">
        <v>21895800</v>
      </c>
      <c r="E31" s="250">
        <v>0</v>
      </c>
      <c r="F31" s="245">
        <v>0</v>
      </c>
    </row>
    <row r="32" spans="1:6" ht="78.75" customHeight="1" x14ac:dyDescent="0.3">
      <c r="A32" s="246" t="s">
        <v>183</v>
      </c>
      <c r="B32" s="247" t="s">
        <v>184</v>
      </c>
      <c r="C32" s="248">
        <f>D32+E32</f>
        <v>204530100</v>
      </c>
      <c r="D32" s="248">
        <f>D33+D45+D46</f>
        <v>204530100</v>
      </c>
      <c r="E32" s="245">
        <v>0</v>
      </c>
      <c r="F32" s="245">
        <v>0</v>
      </c>
    </row>
    <row r="33" spans="1:6" x14ac:dyDescent="0.3">
      <c r="A33" s="242" t="s">
        <v>185</v>
      </c>
      <c r="B33" s="249" t="s">
        <v>186</v>
      </c>
      <c r="C33" s="250">
        <f>D33+E33</f>
        <v>160820300</v>
      </c>
      <c r="D33" s="250">
        <v>160820300</v>
      </c>
      <c r="E33" s="245">
        <v>0</v>
      </c>
      <c r="F33" s="245">
        <v>0</v>
      </c>
    </row>
    <row r="34" spans="1:6" ht="40.5" customHeight="1" x14ac:dyDescent="0.3">
      <c r="A34" s="243"/>
      <c r="B34" s="249" t="s">
        <v>525</v>
      </c>
      <c r="C34" s="250">
        <f>D34+E34</f>
        <v>12972100</v>
      </c>
      <c r="D34" s="250">
        <f>D35+D36+D37+D38</f>
        <v>12972100</v>
      </c>
      <c r="E34" s="245"/>
      <c r="F34" s="245"/>
    </row>
    <row r="35" spans="1:6" ht="78" customHeight="1" x14ac:dyDescent="0.3">
      <c r="A35" s="242" t="s">
        <v>187</v>
      </c>
      <c r="B35" s="249" t="s">
        <v>188</v>
      </c>
      <c r="C35" s="250">
        <f t="shared" ref="C35:C46" si="2">D35+E35</f>
        <v>62900</v>
      </c>
      <c r="D35" s="250">
        <v>62900</v>
      </c>
      <c r="E35" s="250">
        <v>0</v>
      </c>
      <c r="F35" s="250">
        <v>0</v>
      </c>
    </row>
    <row r="36" spans="1:6" ht="84" customHeight="1" x14ac:dyDescent="0.3">
      <c r="A36" s="242" t="s">
        <v>189</v>
      </c>
      <c r="B36" s="249" t="s">
        <v>190</v>
      </c>
      <c r="C36" s="250">
        <f t="shared" si="2"/>
        <v>976000</v>
      </c>
      <c r="D36" s="250">
        <v>976000</v>
      </c>
      <c r="E36" s="250">
        <v>0</v>
      </c>
      <c r="F36" s="250">
        <v>0</v>
      </c>
    </row>
    <row r="37" spans="1:6" ht="78.75" customHeight="1" x14ac:dyDescent="0.3">
      <c r="A37" s="242" t="s">
        <v>191</v>
      </c>
      <c r="B37" s="249" t="s">
        <v>192</v>
      </c>
      <c r="C37" s="250">
        <f t="shared" si="2"/>
        <v>2880600</v>
      </c>
      <c r="D37" s="250">
        <v>2880600</v>
      </c>
      <c r="E37" s="250">
        <v>0</v>
      </c>
      <c r="F37" s="250">
        <v>0</v>
      </c>
    </row>
    <row r="38" spans="1:6" ht="87.75" customHeight="1" x14ac:dyDescent="0.3">
      <c r="A38" s="242" t="s">
        <v>193</v>
      </c>
      <c r="B38" s="249" t="s">
        <v>194</v>
      </c>
      <c r="C38" s="250">
        <f t="shared" si="2"/>
        <v>9052600</v>
      </c>
      <c r="D38" s="250">
        <v>9052600</v>
      </c>
      <c r="E38" s="250">
        <v>0</v>
      </c>
      <c r="F38" s="250">
        <v>0</v>
      </c>
    </row>
    <row r="39" spans="1:6" x14ac:dyDescent="0.3">
      <c r="A39" s="242"/>
      <c r="B39" s="249" t="s">
        <v>526</v>
      </c>
      <c r="C39" s="250">
        <f t="shared" si="2"/>
        <v>147798200</v>
      </c>
      <c r="D39" s="250">
        <f>D40+D41+D42+D43</f>
        <v>147798200</v>
      </c>
      <c r="E39" s="250"/>
      <c r="F39" s="250"/>
    </row>
    <row r="40" spans="1:6" ht="29.25" customHeight="1" x14ac:dyDescent="0.3">
      <c r="A40" s="242" t="s">
        <v>195</v>
      </c>
      <c r="B40" s="249" t="s">
        <v>196</v>
      </c>
      <c r="C40" s="250">
        <f t="shared" si="2"/>
        <v>100910300</v>
      </c>
      <c r="D40" s="250">
        <v>100910300</v>
      </c>
      <c r="E40" s="250">
        <v>0</v>
      </c>
      <c r="F40" s="250">
        <v>0</v>
      </c>
    </row>
    <row r="41" spans="1:6" ht="26.25" customHeight="1" x14ac:dyDescent="0.3">
      <c r="A41" s="242" t="s">
        <v>197</v>
      </c>
      <c r="B41" s="249" t="s">
        <v>198</v>
      </c>
      <c r="C41" s="250">
        <f t="shared" si="2"/>
        <v>42514000</v>
      </c>
      <c r="D41" s="250">
        <v>42514000</v>
      </c>
      <c r="E41" s="250">
        <v>0</v>
      </c>
      <c r="F41" s="250">
        <v>0</v>
      </c>
    </row>
    <row r="42" spans="1:6" ht="23.25" customHeight="1" x14ac:dyDescent="0.3">
      <c r="A42" s="242" t="s">
        <v>199</v>
      </c>
      <c r="B42" s="249" t="s">
        <v>200</v>
      </c>
      <c r="C42" s="250">
        <f t="shared" si="2"/>
        <v>2012600</v>
      </c>
      <c r="D42" s="250">
        <v>2012600</v>
      </c>
      <c r="E42" s="250">
        <v>0</v>
      </c>
      <c r="F42" s="250">
        <v>0</v>
      </c>
    </row>
    <row r="43" spans="1:6" ht="26.25" customHeight="1" x14ac:dyDescent="0.3">
      <c r="A43" s="242" t="s">
        <v>201</v>
      </c>
      <c r="B43" s="249" t="s">
        <v>202</v>
      </c>
      <c r="C43" s="250">
        <f t="shared" si="2"/>
        <v>2361300</v>
      </c>
      <c r="D43" s="250">
        <v>2361300</v>
      </c>
      <c r="E43" s="250">
        <v>0</v>
      </c>
      <c r="F43" s="250">
        <v>0</v>
      </c>
    </row>
    <row r="44" spans="1:6" ht="25.5" customHeight="1" x14ac:dyDescent="0.3">
      <c r="A44" s="242" t="s">
        <v>203</v>
      </c>
      <c r="B44" s="249" t="s">
        <v>204</v>
      </c>
      <c r="C44" s="250">
        <f t="shared" si="2"/>
        <v>50000</v>
      </c>
      <c r="D44" s="250">
        <v>50000</v>
      </c>
      <c r="E44" s="250">
        <v>0</v>
      </c>
      <c r="F44" s="250">
        <v>0</v>
      </c>
    </row>
    <row r="45" spans="1:6" x14ac:dyDescent="0.3">
      <c r="A45" s="242" t="s">
        <v>205</v>
      </c>
      <c r="B45" s="249" t="s">
        <v>206</v>
      </c>
      <c r="C45" s="250">
        <f t="shared" si="2"/>
        <v>113800</v>
      </c>
      <c r="D45" s="250">
        <v>113800</v>
      </c>
      <c r="E45" s="250">
        <v>0</v>
      </c>
      <c r="F45" s="245">
        <v>0</v>
      </c>
    </row>
    <row r="46" spans="1:6" x14ac:dyDescent="0.3">
      <c r="A46" s="242" t="s">
        <v>207</v>
      </c>
      <c r="B46" s="249" t="s">
        <v>208</v>
      </c>
      <c r="C46" s="250">
        <f t="shared" si="2"/>
        <v>43596000</v>
      </c>
      <c r="D46" s="250">
        <v>43596000</v>
      </c>
      <c r="E46" s="250">
        <v>0</v>
      </c>
      <c r="F46" s="245">
        <v>0</v>
      </c>
    </row>
    <row r="47" spans="1:6" ht="19.5" x14ac:dyDescent="0.3">
      <c r="A47" s="246" t="s">
        <v>209</v>
      </c>
      <c r="B47" s="247" t="s">
        <v>210</v>
      </c>
      <c r="C47" s="248">
        <f>D47+E47</f>
        <v>443400</v>
      </c>
      <c r="D47" s="248">
        <v>0</v>
      </c>
      <c r="E47" s="248">
        <f>E48</f>
        <v>443400</v>
      </c>
      <c r="F47" s="245">
        <v>0</v>
      </c>
    </row>
    <row r="48" spans="1:6" x14ac:dyDescent="0.3">
      <c r="A48" s="242" t="s">
        <v>211</v>
      </c>
      <c r="B48" s="249" t="s">
        <v>212</v>
      </c>
      <c r="C48" s="250">
        <f>D48+E48</f>
        <v>443400</v>
      </c>
      <c r="D48" s="250">
        <v>0</v>
      </c>
      <c r="E48" s="250">
        <v>443400</v>
      </c>
      <c r="F48" s="245">
        <v>0</v>
      </c>
    </row>
    <row r="49" spans="1:6" x14ac:dyDescent="0.3">
      <c r="A49" s="243" t="s">
        <v>213</v>
      </c>
      <c r="B49" s="244" t="s">
        <v>214</v>
      </c>
      <c r="C49" s="245">
        <f>D49+E49</f>
        <v>21863500</v>
      </c>
      <c r="D49" s="245">
        <f>D50+D54+D60</f>
        <v>4908300</v>
      </c>
      <c r="E49" s="245">
        <f>E63</f>
        <v>16955200</v>
      </c>
      <c r="F49" s="245">
        <v>0</v>
      </c>
    </row>
    <row r="50" spans="1:6" ht="44.25" customHeight="1" x14ac:dyDescent="0.3">
      <c r="A50" s="246" t="s">
        <v>215</v>
      </c>
      <c r="B50" s="247" t="s">
        <v>216</v>
      </c>
      <c r="C50" s="248">
        <f>D50+E50</f>
        <v>1010700</v>
      </c>
      <c r="D50" s="248">
        <f>D51+D52+D53</f>
        <v>1010700</v>
      </c>
      <c r="E50" s="245">
        <v>0</v>
      </c>
      <c r="F50" s="245">
        <v>0</v>
      </c>
    </row>
    <row r="51" spans="1:6" ht="78" customHeight="1" x14ac:dyDescent="0.3">
      <c r="A51" s="242" t="s">
        <v>217</v>
      </c>
      <c r="B51" s="249" t="s">
        <v>218</v>
      </c>
      <c r="C51" s="250">
        <f>D51+E51</f>
        <v>161500</v>
      </c>
      <c r="D51" s="250">
        <v>161500</v>
      </c>
      <c r="E51" s="250">
        <v>0</v>
      </c>
      <c r="F51" s="250">
        <v>0</v>
      </c>
    </row>
    <row r="52" spans="1:6" ht="31.5" customHeight="1" x14ac:dyDescent="0.3">
      <c r="A52" s="242" t="s">
        <v>220</v>
      </c>
      <c r="B52" s="249" t="s">
        <v>221</v>
      </c>
      <c r="C52" s="250">
        <f t="shared" ref="C52:C53" si="3">D52+E52</f>
        <v>25000</v>
      </c>
      <c r="D52" s="250">
        <v>25000</v>
      </c>
      <c r="E52" s="250">
        <v>0</v>
      </c>
      <c r="F52" s="250">
        <v>0</v>
      </c>
    </row>
    <row r="53" spans="1:6" ht="99.75" customHeight="1" x14ac:dyDescent="0.3">
      <c r="A53" s="242" t="s">
        <v>222</v>
      </c>
      <c r="B53" s="249" t="s">
        <v>223</v>
      </c>
      <c r="C53" s="250">
        <f t="shared" si="3"/>
        <v>824200</v>
      </c>
      <c r="D53" s="250">
        <v>824200</v>
      </c>
      <c r="E53" s="250">
        <v>0</v>
      </c>
      <c r="F53" s="250">
        <v>0</v>
      </c>
    </row>
    <row r="54" spans="1:6" ht="66.75" customHeight="1" x14ac:dyDescent="0.3">
      <c r="A54" s="246" t="s">
        <v>224</v>
      </c>
      <c r="B54" s="247" t="s">
        <v>225</v>
      </c>
      <c r="C54" s="248">
        <f>D54+E54</f>
        <v>2875200</v>
      </c>
      <c r="D54" s="248">
        <f>D55+D56+D57+D58+D59</f>
        <v>2875200</v>
      </c>
      <c r="E54" s="245">
        <v>0</v>
      </c>
      <c r="F54" s="245">
        <v>0</v>
      </c>
    </row>
    <row r="55" spans="1:6" ht="98.25" customHeight="1" x14ac:dyDescent="0.3">
      <c r="A55" s="242" t="s">
        <v>226</v>
      </c>
      <c r="B55" s="249" t="s">
        <v>227</v>
      </c>
      <c r="C55" s="250">
        <f>D55+E55</f>
        <v>123200</v>
      </c>
      <c r="D55" s="250">
        <v>123200</v>
      </c>
      <c r="E55" s="250">
        <v>0</v>
      </c>
      <c r="F55" s="250">
        <v>0</v>
      </c>
    </row>
    <row r="56" spans="1:6" ht="37.5" x14ac:dyDescent="0.3">
      <c r="A56" s="242" t="s">
        <v>228</v>
      </c>
      <c r="B56" s="249" t="s">
        <v>68</v>
      </c>
      <c r="C56" s="250">
        <f t="shared" ref="C56:C72" si="4">D56+E56</f>
        <v>605400</v>
      </c>
      <c r="D56" s="250">
        <v>605400</v>
      </c>
      <c r="E56" s="250">
        <v>0</v>
      </c>
      <c r="F56" s="250">
        <v>0</v>
      </c>
    </row>
    <row r="57" spans="1:6" ht="56.25" customHeight="1" x14ac:dyDescent="0.3">
      <c r="A57" s="242" t="s">
        <v>229</v>
      </c>
      <c r="B57" s="249" t="s">
        <v>230</v>
      </c>
      <c r="C57" s="250">
        <f t="shared" si="4"/>
        <v>652300</v>
      </c>
      <c r="D57" s="250">
        <v>652300</v>
      </c>
      <c r="E57" s="250">
        <v>0</v>
      </c>
      <c r="F57" s="250">
        <v>0</v>
      </c>
    </row>
    <row r="58" spans="1:6" ht="73.5" customHeight="1" x14ac:dyDescent="0.3">
      <c r="A58" s="242" t="s">
        <v>231</v>
      </c>
      <c r="B58" s="249" t="s">
        <v>69</v>
      </c>
      <c r="C58" s="250">
        <f t="shared" si="4"/>
        <v>1160500</v>
      </c>
      <c r="D58" s="250">
        <v>1160500</v>
      </c>
      <c r="E58" s="250">
        <v>0</v>
      </c>
      <c r="F58" s="250">
        <v>0</v>
      </c>
    </row>
    <row r="59" spans="1:6" x14ac:dyDescent="0.3">
      <c r="A59" s="242" t="s">
        <v>232</v>
      </c>
      <c r="B59" s="249" t="s">
        <v>233</v>
      </c>
      <c r="C59" s="250">
        <f t="shared" si="4"/>
        <v>333800</v>
      </c>
      <c r="D59" s="250">
        <v>333800</v>
      </c>
      <c r="E59" s="245">
        <v>0</v>
      </c>
      <c r="F59" s="245">
        <v>0</v>
      </c>
    </row>
    <row r="60" spans="1:6" ht="31.5" customHeight="1" x14ac:dyDescent="0.3">
      <c r="A60" s="246" t="s">
        <v>234</v>
      </c>
      <c r="B60" s="247" t="s">
        <v>235</v>
      </c>
      <c r="C60" s="248">
        <f t="shared" si="4"/>
        <v>1022400</v>
      </c>
      <c r="D60" s="248">
        <f>D61+D62</f>
        <v>1022400</v>
      </c>
      <c r="E60" s="245">
        <v>0</v>
      </c>
      <c r="F60" s="245">
        <v>0</v>
      </c>
    </row>
    <row r="61" spans="1:6" x14ac:dyDescent="0.3">
      <c r="A61" s="242" t="s">
        <v>236</v>
      </c>
      <c r="B61" s="249" t="s">
        <v>219</v>
      </c>
      <c r="C61" s="250">
        <f t="shared" si="4"/>
        <v>556300</v>
      </c>
      <c r="D61" s="250">
        <v>556300</v>
      </c>
      <c r="E61" s="250">
        <v>0</v>
      </c>
      <c r="F61" s="250">
        <v>0</v>
      </c>
    </row>
    <row r="62" spans="1:6" ht="247.5" customHeight="1" x14ac:dyDescent="0.3">
      <c r="A62" s="242" t="s">
        <v>237</v>
      </c>
      <c r="B62" s="249" t="s">
        <v>238</v>
      </c>
      <c r="C62" s="250">
        <f t="shared" si="4"/>
        <v>466100</v>
      </c>
      <c r="D62" s="250">
        <v>466100</v>
      </c>
      <c r="E62" s="250">
        <v>0</v>
      </c>
      <c r="F62" s="250">
        <v>0</v>
      </c>
    </row>
    <row r="63" spans="1:6" ht="39" x14ac:dyDescent="0.3">
      <c r="A63" s="246" t="s">
        <v>239</v>
      </c>
      <c r="B63" s="247" t="s">
        <v>240</v>
      </c>
      <c r="C63" s="248">
        <f t="shared" si="4"/>
        <v>16955200</v>
      </c>
      <c r="D63" s="248">
        <v>0</v>
      </c>
      <c r="E63" s="248">
        <f>E64</f>
        <v>16955200</v>
      </c>
      <c r="F63" s="245">
        <v>0</v>
      </c>
    </row>
    <row r="64" spans="1:6" ht="56.25" customHeight="1" x14ac:dyDescent="0.3">
      <c r="A64" s="242" t="s">
        <v>241</v>
      </c>
      <c r="B64" s="249" t="s">
        <v>242</v>
      </c>
      <c r="C64" s="250">
        <f t="shared" si="4"/>
        <v>16955200</v>
      </c>
      <c r="D64" s="250">
        <v>0</v>
      </c>
      <c r="E64" s="250">
        <v>16955200</v>
      </c>
      <c r="F64" s="250">
        <v>0</v>
      </c>
    </row>
    <row r="65" spans="1:6" x14ac:dyDescent="0.3">
      <c r="A65" s="243" t="s">
        <v>243</v>
      </c>
      <c r="B65" s="244" t="s">
        <v>244</v>
      </c>
      <c r="C65" s="245">
        <f t="shared" si="4"/>
        <v>697600</v>
      </c>
      <c r="D65" s="245">
        <v>0</v>
      </c>
      <c r="E65" s="245">
        <f>E66</f>
        <v>697600</v>
      </c>
      <c r="F65" s="245">
        <f>F66</f>
        <v>697600</v>
      </c>
    </row>
    <row r="66" spans="1:6" ht="39" x14ac:dyDescent="0.3">
      <c r="A66" s="246" t="s">
        <v>245</v>
      </c>
      <c r="B66" s="247" t="s">
        <v>246</v>
      </c>
      <c r="C66" s="248">
        <f t="shared" si="4"/>
        <v>697600</v>
      </c>
      <c r="D66" s="248">
        <v>0</v>
      </c>
      <c r="E66" s="248">
        <f>E67</f>
        <v>697600</v>
      </c>
      <c r="F66" s="248">
        <f>F67</f>
        <v>697600</v>
      </c>
    </row>
    <row r="67" spans="1:6" ht="113.25" customHeight="1" x14ac:dyDescent="0.3">
      <c r="A67" s="242" t="s">
        <v>247</v>
      </c>
      <c r="B67" s="249" t="s">
        <v>248</v>
      </c>
      <c r="C67" s="250">
        <f t="shared" si="4"/>
        <v>697600</v>
      </c>
      <c r="D67" s="250">
        <v>0</v>
      </c>
      <c r="E67" s="250">
        <f>F67</f>
        <v>697600</v>
      </c>
      <c r="F67" s="250">
        <v>697600</v>
      </c>
    </row>
    <row r="68" spans="1:6" ht="44.25" customHeight="1" x14ac:dyDescent="0.3">
      <c r="A68" s="251"/>
      <c r="B68" s="251" t="s">
        <v>249</v>
      </c>
      <c r="C68" s="245">
        <f t="shared" si="4"/>
        <v>621249500</v>
      </c>
      <c r="D68" s="245">
        <f>D22+D49+D65</f>
        <v>603153300</v>
      </c>
      <c r="E68" s="245">
        <f>E22+E49+E65</f>
        <v>18096200</v>
      </c>
      <c r="F68" s="245">
        <f>F65</f>
        <v>697600</v>
      </c>
    </row>
    <row r="69" spans="1:6" x14ac:dyDescent="0.3">
      <c r="A69" s="243" t="s">
        <v>250</v>
      </c>
      <c r="B69" s="244" t="s">
        <v>251</v>
      </c>
      <c r="C69" s="245">
        <f>D69+E69</f>
        <v>131706528</v>
      </c>
      <c r="D69" s="245">
        <f>D70</f>
        <v>131132128</v>
      </c>
      <c r="E69" s="245">
        <f>E70</f>
        <v>574400</v>
      </c>
      <c r="F69" s="245">
        <v>0</v>
      </c>
    </row>
    <row r="70" spans="1:6" ht="30.75" customHeight="1" x14ac:dyDescent="0.3">
      <c r="A70" s="246" t="s">
        <v>252</v>
      </c>
      <c r="B70" s="247" t="s">
        <v>253</v>
      </c>
      <c r="C70" s="248">
        <f>D70+E70</f>
        <v>131706528</v>
      </c>
      <c r="D70" s="248">
        <f>D71+D73+D79</f>
        <v>131132128</v>
      </c>
      <c r="E70" s="248">
        <f>E71+E73+E79</f>
        <v>574400</v>
      </c>
      <c r="F70" s="245">
        <v>0</v>
      </c>
    </row>
    <row r="71" spans="1:6" ht="34.5" customHeight="1" x14ac:dyDescent="0.3">
      <c r="A71" s="243" t="s">
        <v>254</v>
      </c>
      <c r="B71" s="244" t="s">
        <v>255</v>
      </c>
      <c r="C71" s="245">
        <f>D71+E71</f>
        <v>34024600</v>
      </c>
      <c r="D71" s="245">
        <v>34024600</v>
      </c>
      <c r="E71" s="245">
        <v>0</v>
      </c>
      <c r="F71" s="245">
        <v>0</v>
      </c>
    </row>
    <row r="72" spans="1:6" ht="78.75" customHeight="1" x14ac:dyDescent="0.3">
      <c r="A72" s="242">
        <v>41020300</v>
      </c>
      <c r="B72" s="249" t="s">
        <v>600</v>
      </c>
      <c r="C72" s="250">
        <f t="shared" si="4"/>
        <v>34024600</v>
      </c>
      <c r="D72" s="250">
        <v>34024600</v>
      </c>
      <c r="E72" s="250">
        <v>0</v>
      </c>
      <c r="F72" s="250">
        <v>0</v>
      </c>
    </row>
    <row r="73" spans="1:6" ht="37.5" customHeight="1" x14ac:dyDescent="0.3">
      <c r="A73" s="373" t="s">
        <v>523</v>
      </c>
      <c r="B73" s="374" t="s">
        <v>524</v>
      </c>
      <c r="C73" s="245">
        <f>D73+E73</f>
        <v>95460700</v>
      </c>
      <c r="D73" s="245">
        <f>D75+D77+D74+D76</f>
        <v>94886300</v>
      </c>
      <c r="E73" s="245">
        <f>E78</f>
        <v>574400</v>
      </c>
      <c r="F73" s="250">
        <v>0</v>
      </c>
    </row>
    <row r="74" spans="1:6" ht="37.5" customHeight="1" x14ac:dyDescent="0.3">
      <c r="A74" s="237">
        <v>41031100</v>
      </c>
      <c r="B74" s="236" t="s">
        <v>622</v>
      </c>
      <c r="C74" s="250">
        <f>D74</f>
        <v>14228400</v>
      </c>
      <c r="D74" s="250">
        <f>14228400</f>
        <v>14228400</v>
      </c>
      <c r="E74" s="250"/>
      <c r="F74" s="250"/>
    </row>
    <row r="75" spans="1:6" ht="39" customHeight="1" x14ac:dyDescent="0.3">
      <c r="A75" s="237" t="s">
        <v>520</v>
      </c>
      <c r="B75" s="236" t="s">
        <v>521</v>
      </c>
      <c r="C75" s="250">
        <f>D75+E75</f>
        <v>71924600</v>
      </c>
      <c r="D75" s="250">
        <v>71924600</v>
      </c>
      <c r="E75" s="250">
        <v>0</v>
      </c>
      <c r="F75" s="250">
        <v>0</v>
      </c>
    </row>
    <row r="76" spans="1:6" ht="78.75" customHeight="1" x14ac:dyDescent="0.3">
      <c r="A76" s="237">
        <v>41035400</v>
      </c>
      <c r="B76" s="236" t="s">
        <v>624</v>
      </c>
      <c r="C76" s="250">
        <f>D76+E76</f>
        <v>413700</v>
      </c>
      <c r="D76" s="250">
        <v>413700</v>
      </c>
      <c r="E76" s="250"/>
      <c r="F76" s="250"/>
    </row>
    <row r="77" spans="1:6" ht="87.75" customHeight="1" x14ac:dyDescent="0.3">
      <c r="A77" s="237">
        <v>41036300</v>
      </c>
      <c r="B77" s="236" t="s">
        <v>621</v>
      </c>
      <c r="C77" s="250">
        <f>D77</f>
        <v>8319600</v>
      </c>
      <c r="D77" s="250">
        <v>8319600</v>
      </c>
      <c r="E77" s="250"/>
      <c r="F77" s="250"/>
    </row>
    <row r="78" spans="1:6" ht="87.75" customHeight="1" x14ac:dyDescent="0.3">
      <c r="A78" s="237">
        <v>41037400</v>
      </c>
      <c r="B78" s="236" t="s">
        <v>623</v>
      </c>
      <c r="C78" s="250">
        <f>D78+E78</f>
        <v>574400</v>
      </c>
      <c r="D78" s="250"/>
      <c r="E78" s="250">
        <v>574400</v>
      </c>
      <c r="F78" s="250"/>
    </row>
    <row r="79" spans="1:6" ht="39" customHeight="1" x14ac:dyDescent="0.3">
      <c r="A79" s="373">
        <v>41050000</v>
      </c>
      <c r="B79" s="374" t="s">
        <v>541</v>
      </c>
      <c r="C79" s="245">
        <f>C81+C82+C83+C80+C84</f>
        <v>2221228</v>
      </c>
      <c r="D79" s="245">
        <f>D81+D82+D83+D80+D84</f>
        <v>2221228</v>
      </c>
      <c r="E79" s="250">
        <f t="shared" ref="E79:F79" si="5">E81+E82+E83</f>
        <v>0</v>
      </c>
      <c r="F79" s="250">
        <f t="shared" si="5"/>
        <v>0</v>
      </c>
    </row>
    <row r="80" spans="1:6" ht="81" customHeight="1" x14ac:dyDescent="0.3">
      <c r="A80" s="237">
        <v>41051000</v>
      </c>
      <c r="B80" s="236" t="s">
        <v>619</v>
      </c>
      <c r="C80" s="250">
        <f>D80</f>
        <v>1474598</v>
      </c>
      <c r="D80" s="250">
        <v>1474598</v>
      </c>
      <c r="E80" s="250"/>
      <c r="F80" s="250"/>
    </row>
    <row r="81" spans="1:10" ht="85.5" customHeight="1" x14ac:dyDescent="0.3">
      <c r="A81" s="264">
        <v>41053900</v>
      </c>
      <c r="B81" s="265" t="s">
        <v>536</v>
      </c>
      <c r="C81" s="266">
        <v>148318</v>
      </c>
      <c r="D81" s="266">
        <v>148318</v>
      </c>
      <c r="E81" s="250"/>
      <c r="F81" s="250"/>
    </row>
    <row r="82" spans="1:10" ht="67.900000000000006" customHeight="1" x14ac:dyDescent="0.3">
      <c r="A82" s="264">
        <v>41053900</v>
      </c>
      <c r="B82" s="265" t="s">
        <v>539</v>
      </c>
      <c r="C82" s="266">
        <v>178853</v>
      </c>
      <c r="D82" s="266">
        <v>178853</v>
      </c>
      <c r="E82" s="250"/>
      <c r="F82" s="250"/>
    </row>
    <row r="83" spans="1:10" ht="103.5" customHeight="1" x14ac:dyDescent="0.3">
      <c r="A83" s="264">
        <v>41053900</v>
      </c>
      <c r="B83" s="265" t="s">
        <v>540</v>
      </c>
      <c r="C83" s="266">
        <v>19139</v>
      </c>
      <c r="D83" s="266">
        <v>19139</v>
      </c>
      <c r="E83" s="250"/>
      <c r="F83" s="250"/>
    </row>
    <row r="84" spans="1:10" ht="126" customHeight="1" x14ac:dyDescent="0.3">
      <c r="A84" s="352">
        <v>41059300</v>
      </c>
      <c r="B84" s="265" t="s">
        <v>620</v>
      </c>
      <c r="C84" s="266">
        <f>D84</f>
        <v>400320</v>
      </c>
      <c r="D84" s="266">
        <v>400320</v>
      </c>
      <c r="E84" s="250"/>
      <c r="F84" s="250"/>
    </row>
    <row r="85" spans="1:10" x14ac:dyDescent="0.3">
      <c r="A85" s="243" t="s">
        <v>256</v>
      </c>
      <c r="B85" s="251" t="s">
        <v>257</v>
      </c>
      <c r="C85" s="245">
        <f>D85+E85</f>
        <v>752956028</v>
      </c>
      <c r="D85" s="245">
        <f>D68+D69</f>
        <v>734285428</v>
      </c>
      <c r="E85" s="245">
        <f t="shared" ref="E85:F85" si="6">E68+E69</f>
        <v>18670600</v>
      </c>
      <c r="F85" s="245">
        <f t="shared" si="6"/>
        <v>697600</v>
      </c>
    </row>
    <row r="86" spans="1:10" x14ac:dyDescent="0.3">
      <c r="C86" s="252"/>
      <c r="D86" s="252"/>
      <c r="E86" s="252"/>
      <c r="F86" s="252"/>
    </row>
    <row r="87" spans="1:10" ht="18.75" customHeight="1" x14ac:dyDescent="0.3">
      <c r="A87" s="376" t="s">
        <v>258</v>
      </c>
      <c r="B87" s="376"/>
      <c r="C87" s="170"/>
      <c r="D87" s="170"/>
      <c r="E87" s="376" t="s">
        <v>259</v>
      </c>
      <c r="F87" s="376"/>
      <c r="G87" s="170"/>
      <c r="H87" s="170"/>
      <c r="I87" s="170"/>
      <c r="J87" s="170"/>
    </row>
  </sheetData>
  <mergeCells count="13">
    <mergeCell ref="D5:E5"/>
    <mergeCell ref="A87:B87"/>
    <mergeCell ref="E87:F87"/>
    <mergeCell ref="D9:F9"/>
    <mergeCell ref="D10:F10"/>
    <mergeCell ref="A15:F15"/>
    <mergeCell ref="A18:A20"/>
    <mergeCell ref="B18:B20"/>
    <mergeCell ref="C18:C20"/>
    <mergeCell ref="D18:D20"/>
    <mergeCell ref="E18:F18"/>
    <mergeCell ref="E19:E20"/>
    <mergeCell ref="F19:F20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2" manualBreakCount="2">
    <brk id="37" max="5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view="pageBreakPreview" topLeftCell="A28" zoomScaleNormal="100" zoomScaleSheetLayoutView="100" workbookViewId="0">
      <selection activeCell="D46" sqref="D46"/>
    </sheetView>
  </sheetViews>
  <sheetFormatPr defaultColWidth="9.140625" defaultRowHeight="18.75" x14ac:dyDescent="0.3"/>
  <cols>
    <col min="1" max="1" width="17.42578125" style="163" customWidth="1"/>
    <col min="2" max="2" width="34.85546875" style="163" customWidth="1"/>
    <col min="3" max="3" width="17.5703125" style="163" customWidth="1"/>
    <col min="4" max="4" width="18.85546875" style="163" bestFit="1" customWidth="1"/>
    <col min="5" max="6" width="18" style="163" bestFit="1" customWidth="1"/>
    <col min="7" max="16384" width="9.140625" style="163"/>
  </cols>
  <sheetData>
    <row r="1" spans="1:6" x14ac:dyDescent="0.3">
      <c r="D1" s="353" t="s">
        <v>260</v>
      </c>
      <c r="E1" s="20"/>
    </row>
    <row r="2" spans="1:6" x14ac:dyDescent="0.3">
      <c r="D2" s="353" t="s">
        <v>612</v>
      </c>
      <c r="E2" s="20"/>
    </row>
    <row r="3" spans="1:6" x14ac:dyDescent="0.3">
      <c r="D3" s="117" t="s">
        <v>613</v>
      </c>
      <c r="E3" s="117"/>
    </row>
    <row r="4" spans="1:6" x14ac:dyDescent="0.3">
      <c r="D4" s="119" t="s">
        <v>614</v>
      </c>
      <c r="E4" s="351"/>
    </row>
    <row r="5" spans="1:6" x14ac:dyDescent="0.3">
      <c r="D5" s="375" t="s">
        <v>615</v>
      </c>
      <c r="E5" s="375"/>
    </row>
    <row r="7" spans="1:6" x14ac:dyDescent="0.3">
      <c r="A7" s="162"/>
      <c r="B7" s="162"/>
      <c r="C7" s="162"/>
      <c r="D7" s="162" t="s">
        <v>260</v>
      </c>
      <c r="E7" s="162"/>
      <c r="F7" s="162"/>
    </row>
    <row r="8" spans="1:6" x14ac:dyDescent="0.3">
      <c r="A8" s="162"/>
      <c r="B8" s="162"/>
      <c r="C8" s="162"/>
      <c r="D8" s="115" t="s">
        <v>104</v>
      </c>
      <c r="E8" s="20"/>
      <c r="F8" s="116"/>
    </row>
    <row r="9" spans="1:6" x14ac:dyDescent="0.3">
      <c r="A9" s="162"/>
      <c r="B9" s="162"/>
      <c r="C9" s="162"/>
      <c r="D9" s="375" t="s">
        <v>108</v>
      </c>
      <c r="E9" s="375"/>
      <c r="F9" s="375"/>
    </row>
    <row r="10" spans="1:6" x14ac:dyDescent="0.3">
      <c r="A10" s="162"/>
      <c r="B10" s="162"/>
      <c r="C10" s="162"/>
      <c r="D10" s="375" t="s">
        <v>109</v>
      </c>
      <c r="E10" s="375"/>
      <c r="F10" s="375"/>
    </row>
    <row r="11" spans="1:6" x14ac:dyDescent="0.3">
      <c r="A11" s="162"/>
      <c r="B11" s="162"/>
      <c r="C11" s="162"/>
      <c r="D11" s="117" t="s">
        <v>574</v>
      </c>
      <c r="E11" s="118"/>
      <c r="F11" s="116"/>
    </row>
    <row r="12" spans="1:6" x14ac:dyDescent="0.3">
      <c r="A12" s="162"/>
      <c r="B12" s="162"/>
      <c r="C12" s="162"/>
      <c r="D12" s="119" t="s">
        <v>592</v>
      </c>
      <c r="E12" s="120"/>
      <c r="F12" s="116"/>
    </row>
    <row r="13" spans="1:6" x14ac:dyDescent="0.3">
      <c r="A13" s="162"/>
      <c r="B13" s="162"/>
      <c r="C13" s="162"/>
      <c r="D13" s="228" t="s">
        <v>154</v>
      </c>
      <c r="E13" s="162"/>
      <c r="F13" s="162"/>
    </row>
    <row r="15" spans="1:6" x14ac:dyDescent="0.3">
      <c r="A15" s="385" t="s">
        <v>261</v>
      </c>
      <c r="B15" s="386"/>
      <c r="C15" s="386"/>
      <c r="D15" s="386"/>
      <c r="E15" s="386"/>
      <c r="F15" s="386"/>
    </row>
    <row r="16" spans="1:6" x14ac:dyDescent="0.3">
      <c r="A16" s="164" t="s">
        <v>70</v>
      </c>
      <c r="B16" s="162"/>
      <c r="C16" s="162"/>
      <c r="D16" s="162"/>
      <c r="E16" s="162"/>
      <c r="F16" s="162"/>
    </row>
    <row r="17" spans="1:6" x14ac:dyDescent="0.3">
      <c r="A17" s="162" t="s">
        <v>0</v>
      </c>
      <c r="B17" s="162"/>
      <c r="C17" s="162"/>
      <c r="D17" s="162"/>
      <c r="E17" s="162"/>
      <c r="F17" s="165" t="s">
        <v>1</v>
      </c>
    </row>
    <row r="18" spans="1:6" x14ac:dyDescent="0.3">
      <c r="A18" s="387" t="s">
        <v>156</v>
      </c>
      <c r="B18" s="387" t="s">
        <v>262</v>
      </c>
      <c r="C18" s="387" t="s">
        <v>158</v>
      </c>
      <c r="D18" s="387" t="s">
        <v>159</v>
      </c>
      <c r="E18" s="387" t="s">
        <v>160</v>
      </c>
      <c r="F18" s="387"/>
    </row>
    <row r="19" spans="1:6" x14ac:dyDescent="0.3">
      <c r="A19" s="387"/>
      <c r="B19" s="387"/>
      <c r="C19" s="387"/>
      <c r="D19" s="387"/>
      <c r="E19" s="387" t="s">
        <v>161</v>
      </c>
      <c r="F19" s="387" t="s">
        <v>162</v>
      </c>
    </row>
    <row r="20" spans="1:6" x14ac:dyDescent="0.3">
      <c r="A20" s="387"/>
      <c r="B20" s="387"/>
      <c r="C20" s="387"/>
      <c r="D20" s="387"/>
      <c r="E20" s="387"/>
      <c r="F20" s="387"/>
    </row>
    <row r="21" spans="1:6" x14ac:dyDescent="0.3">
      <c r="A21" s="166">
        <v>1</v>
      </c>
      <c r="B21" s="166">
        <v>2</v>
      </c>
      <c r="C21" s="166">
        <v>3</v>
      </c>
      <c r="D21" s="166">
        <v>4</v>
      </c>
      <c r="E21" s="166">
        <v>5</v>
      </c>
      <c r="F21" s="166">
        <v>6</v>
      </c>
    </row>
    <row r="22" spans="1:6" x14ac:dyDescent="0.3">
      <c r="A22" s="382" t="s">
        <v>263</v>
      </c>
      <c r="B22" s="383"/>
      <c r="C22" s="383"/>
      <c r="D22" s="383"/>
      <c r="E22" s="383"/>
      <c r="F22" s="384"/>
    </row>
    <row r="23" spans="1:6" x14ac:dyDescent="0.3">
      <c r="A23" s="171" t="s">
        <v>264</v>
      </c>
      <c r="B23" s="169" t="s">
        <v>265</v>
      </c>
      <c r="C23" s="167">
        <f>D23+E23</f>
        <v>43043601</v>
      </c>
      <c r="D23" s="167">
        <f>D24</f>
        <v>3120060</v>
      </c>
      <c r="E23" s="167">
        <f t="shared" ref="E23:F23" si="0">E24</f>
        <v>39923541</v>
      </c>
      <c r="F23" s="167">
        <f t="shared" si="0"/>
        <v>39923541</v>
      </c>
    </row>
    <row r="24" spans="1:6" ht="56.25" x14ac:dyDescent="0.3">
      <c r="A24" s="171" t="s">
        <v>266</v>
      </c>
      <c r="B24" s="169" t="s">
        <v>267</v>
      </c>
      <c r="C24" s="167">
        <f t="shared" ref="C24:C28" si="1">D24+E24</f>
        <v>43043601</v>
      </c>
      <c r="D24" s="167">
        <f>D25-D26+D27</f>
        <v>3120060</v>
      </c>
      <c r="E24" s="167">
        <f t="shared" ref="E24:F24" si="2">E25-E26+E27</f>
        <v>39923541</v>
      </c>
      <c r="F24" s="167">
        <f t="shared" si="2"/>
        <v>39923541</v>
      </c>
    </row>
    <row r="25" spans="1:6" x14ac:dyDescent="0.3">
      <c r="A25" s="172" t="s">
        <v>268</v>
      </c>
      <c r="B25" s="173" t="s">
        <v>269</v>
      </c>
      <c r="C25" s="167">
        <f t="shared" si="1"/>
        <v>44043601</v>
      </c>
      <c r="D25" s="168">
        <f>1000000+28243601</f>
        <v>29243601</v>
      </c>
      <c r="E25" s="168">
        <f>0+14800000</f>
        <v>14800000</v>
      </c>
      <c r="F25" s="168">
        <f>E25</f>
        <v>14800000</v>
      </c>
    </row>
    <row r="26" spans="1:6" x14ac:dyDescent="0.3">
      <c r="A26" s="172" t="s">
        <v>270</v>
      </c>
      <c r="B26" s="173" t="s">
        <v>271</v>
      </c>
      <c r="C26" s="167">
        <f t="shared" si="1"/>
        <v>1000000</v>
      </c>
      <c r="D26" s="168">
        <v>1000000</v>
      </c>
      <c r="E26" s="168">
        <v>0</v>
      </c>
      <c r="F26" s="168">
        <v>0</v>
      </c>
    </row>
    <row r="27" spans="1:6" ht="88.5" customHeight="1" x14ac:dyDescent="0.3">
      <c r="A27" s="172" t="s">
        <v>272</v>
      </c>
      <c r="B27" s="173" t="s">
        <v>273</v>
      </c>
      <c r="C27" s="167">
        <f t="shared" si="1"/>
        <v>0</v>
      </c>
      <c r="D27" s="168">
        <f>-56734500+31610959</f>
        <v>-25123541</v>
      </c>
      <c r="E27" s="168">
        <f>56734500-31610959</f>
        <v>25123541</v>
      </c>
      <c r="F27" s="168">
        <f>E27</f>
        <v>25123541</v>
      </c>
    </row>
    <row r="28" spans="1:6" x14ac:dyDescent="0.3">
      <c r="A28" s="174" t="s">
        <v>256</v>
      </c>
      <c r="B28" s="175" t="s">
        <v>274</v>
      </c>
      <c r="C28" s="167">
        <f t="shared" si="1"/>
        <v>43043601</v>
      </c>
      <c r="D28" s="176">
        <f>D23</f>
        <v>3120060</v>
      </c>
      <c r="E28" s="176">
        <f t="shared" ref="E28:F28" si="3">E23</f>
        <v>39923541</v>
      </c>
      <c r="F28" s="176">
        <f t="shared" si="3"/>
        <v>39923541</v>
      </c>
    </row>
    <row r="29" spans="1:6" x14ac:dyDescent="0.3">
      <c r="A29" s="382" t="s">
        <v>275</v>
      </c>
      <c r="B29" s="383"/>
      <c r="C29" s="383"/>
      <c r="D29" s="383"/>
      <c r="E29" s="383"/>
      <c r="F29" s="384"/>
    </row>
    <row r="30" spans="1:6" ht="37.5" x14ac:dyDescent="0.3">
      <c r="A30" s="171" t="s">
        <v>276</v>
      </c>
      <c r="B30" s="169" t="s">
        <v>277</v>
      </c>
      <c r="C30" s="167">
        <f>C23</f>
        <v>43043601</v>
      </c>
      <c r="D30" s="167">
        <f>D23</f>
        <v>3120060</v>
      </c>
      <c r="E30" s="167">
        <f t="shared" ref="E30:F30" si="4">E23</f>
        <v>39923541</v>
      </c>
      <c r="F30" s="167">
        <f t="shared" si="4"/>
        <v>39923541</v>
      </c>
    </row>
    <row r="31" spans="1:6" ht="37.5" x14ac:dyDescent="0.3">
      <c r="A31" s="171" t="s">
        <v>278</v>
      </c>
      <c r="B31" s="169" t="s">
        <v>279</v>
      </c>
      <c r="C31" s="167">
        <f t="shared" ref="C31:C35" si="5">C24</f>
        <v>43043601</v>
      </c>
      <c r="D31" s="168">
        <f t="shared" ref="D31:F35" si="6">D24</f>
        <v>3120060</v>
      </c>
      <c r="E31" s="168">
        <f t="shared" si="6"/>
        <v>39923541</v>
      </c>
      <c r="F31" s="168">
        <f t="shared" si="6"/>
        <v>39923541</v>
      </c>
    </row>
    <row r="32" spans="1:6" x14ac:dyDescent="0.3">
      <c r="A32" s="172" t="s">
        <v>280</v>
      </c>
      <c r="B32" s="173" t="s">
        <v>269</v>
      </c>
      <c r="C32" s="167">
        <f t="shared" si="5"/>
        <v>44043601</v>
      </c>
      <c r="D32" s="168">
        <f t="shared" si="6"/>
        <v>29243601</v>
      </c>
      <c r="E32" s="168">
        <f t="shared" si="6"/>
        <v>14800000</v>
      </c>
      <c r="F32" s="168">
        <f t="shared" si="6"/>
        <v>14800000</v>
      </c>
    </row>
    <row r="33" spans="1:7" x14ac:dyDescent="0.3">
      <c r="A33" s="172" t="s">
        <v>281</v>
      </c>
      <c r="B33" s="173" t="s">
        <v>271</v>
      </c>
      <c r="C33" s="167">
        <f t="shared" si="5"/>
        <v>1000000</v>
      </c>
      <c r="D33" s="168">
        <f t="shared" si="6"/>
        <v>1000000</v>
      </c>
      <c r="E33" s="168">
        <f t="shared" si="6"/>
        <v>0</v>
      </c>
      <c r="F33" s="168">
        <f t="shared" si="6"/>
        <v>0</v>
      </c>
    </row>
    <row r="34" spans="1:7" ht="93.75" customHeight="1" x14ac:dyDescent="0.3">
      <c r="A34" s="172" t="s">
        <v>282</v>
      </c>
      <c r="B34" s="173" t="s">
        <v>273</v>
      </c>
      <c r="C34" s="167">
        <f t="shared" si="5"/>
        <v>0</v>
      </c>
      <c r="D34" s="168">
        <f t="shared" si="6"/>
        <v>-25123541</v>
      </c>
      <c r="E34" s="168">
        <f t="shared" si="6"/>
        <v>25123541</v>
      </c>
      <c r="F34" s="168">
        <f t="shared" si="6"/>
        <v>25123541</v>
      </c>
    </row>
    <row r="35" spans="1:7" x14ac:dyDescent="0.3">
      <c r="A35" s="174" t="s">
        <v>256</v>
      </c>
      <c r="B35" s="175" t="s">
        <v>274</v>
      </c>
      <c r="C35" s="167">
        <f t="shared" si="5"/>
        <v>43043601</v>
      </c>
      <c r="D35" s="167">
        <f t="shared" si="6"/>
        <v>3120060</v>
      </c>
      <c r="E35" s="167">
        <f t="shared" si="6"/>
        <v>39923541</v>
      </c>
      <c r="F35" s="167">
        <f t="shared" si="6"/>
        <v>39923541</v>
      </c>
    </row>
    <row r="37" spans="1:7" x14ac:dyDescent="0.3">
      <c r="A37" s="381"/>
      <c r="B37" s="381"/>
      <c r="C37" s="381"/>
      <c r="D37" s="381"/>
      <c r="E37" s="381"/>
      <c r="F37" s="381"/>
    </row>
    <row r="38" spans="1:7" ht="18.75" customHeight="1" x14ac:dyDescent="0.3">
      <c r="A38" s="380" t="s">
        <v>258</v>
      </c>
      <c r="B38" s="380"/>
      <c r="C38" s="380"/>
      <c r="D38" s="170"/>
      <c r="E38" s="380" t="s">
        <v>259</v>
      </c>
      <c r="F38" s="380"/>
      <c r="G38" s="380"/>
    </row>
  </sheetData>
  <mergeCells count="16">
    <mergeCell ref="D5:E5"/>
    <mergeCell ref="D9:F9"/>
    <mergeCell ref="D10:F10"/>
    <mergeCell ref="A38:C38"/>
    <mergeCell ref="E38:G38"/>
    <mergeCell ref="A37:F37"/>
    <mergeCell ref="A22:F22"/>
    <mergeCell ref="A29:F29"/>
    <mergeCell ref="A15:F15"/>
    <mergeCell ref="A18:A20"/>
    <mergeCell ref="B18:B20"/>
    <mergeCell ref="C18:C20"/>
    <mergeCell ref="D18:D20"/>
    <mergeCell ref="E18:F18"/>
    <mergeCell ref="E19:E20"/>
    <mergeCell ref="F19:F20"/>
  </mergeCells>
  <pageMargins left="0.7" right="0.7" top="0.75" bottom="0.75" header="0.3" footer="0.3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7"/>
  <sheetViews>
    <sheetView view="pageBreakPreview" zoomScale="70" zoomScaleNormal="100" zoomScaleSheetLayoutView="70" workbookViewId="0">
      <selection activeCell="E136" sqref="E136"/>
    </sheetView>
  </sheetViews>
  <sheetFormatPr defaultRowHeight="12.75" x14ac:dyDescent="0.2"/>
  <cols>
    <col min="1" max="1" width="17.85546875" customWidth="1"/>
    <col min="2" max="2" width="10.28515625" customWidth="1"/>
    <col min="4" max="4" width="45" customWidth="1"/>
    <col min="5" max="5" width="20.28515625" customWidth="1"/>
    <col min="6" max="6" width="21.85546875" customWidth="1"/>
    <col min="7" max="7" width="19.28515625" customWidth="1"/>
    <col min="8" max="8" width="18.5703125" customWidth="1"/>
    <col min="9" max="9" width="20.42578125" customWidth="1"/>
    <col min="10" max="10" width="20.85546875" customWidth="1"/>
    <col min="11" max="11" width="18" customWidth="1"/>
    <col min="12" max="12" width="18" bestFit="1" customWidth="1"/>
    <col min="13" max="13" width="16.42578125" bestFit="1" customWidth="1"/>
    <col min="14" max="14" width="14" customWidth="1"/>
    <col min="15" max="15" width="18.85546875" customWidth="1"/>
    <col min="16" max="16" width="21.5703125" customWidth="1"/>
  </cols>
  <sheetData>
    <row r="1" spans="1:16" ht="18.75" x14ac:dyDescent="0.2">
      <c r="M1" s="323" t="s">
        <v>283</v>
      </c>
      <c r="N1" s="20"/>
    </row>
    <row r="2" spans="1:16" ht="18.75" x14ac:dyDescent="0.2">
      <c r="M2" s="323" t="s">
        <v>612</v>
      </c>
      <c r="N2" s="20"/>
    </row>
    <row r="3" spans="1:16" ht="18.75" x14ac:dyDescent="0.3">
      <c r="M3" s="117" t="s">
        <v>628</v>
      </c>
      <c r="N3" s="118"/>
    </row>
    <row r="4" spans="1:16" ht="18.75" x14ac:dyDescent="0.3">
      <c r="M4" s="119" t="s">
        <v>629</v>
      </c>
      <c r="N4" s="120"/>
    </row>
    <row r="5" spans="1:16" ht="18.75" x14ac:dyDescent="0.2">
      <c r="M5" s="375" t="s">
        <v>625</v>
      </c>
      <c r="N5" s="375"/>
    </row>
    <row r="7" spans="1:16" ht="18.75" x14ac:dyDescent="0.3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323" t="s">
        <v>626</v>
      </c>
      <c r="N7" s="178"/>
      <c r="O7" s="178"/>
      <c r="P7" s="177"/>
    </row>
    <row r="8" spans="1:16" ht="18.75" x14ac:dyDescent="0.25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15" t="s">
        <v>104</v>
      </c>
      <c r="N8" s="20"/>
      <c r="O8" s="116"/>
      <c r="P8" s="177"/>
    </row>
    <row r="9" spans="1:16" ht="18.75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375" t="s">
        <v>108</v>
      </c>
      <c r="N9" s="375"/>
      <c r="O9" s="375"/>
      <c r="P9" s="177"/>
    </row>
    <row r="10" spans="1:16" ht="18.75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375" t="s">
        <v>109</v>
      </c>
      <c r="N10" s="375"/>
      <c r="O10" s="375"/>
      <c r="P10" s="177"/>
    </row>
    <row r="11" spans="1:16" ht="18.75" x14ac:dyDescent="0.3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17" t="s">
        <v>590</v>
      </c>
      <c r="N11" s="118"/>
      <c r="O11" s="116"/>
      <c r="P11" s="177"/>
    </row>
    <row r="12" spans="1:16" ht="18.75" x14ac:dyDescent="0.3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19" t="s">
        <v>591</v>
      </c>
      <c r="N12" s="120"/>
      <c r="O12" s="116"/>
      <c r="P12" s="177"/>
    </row>
    <row r="13" spans="1:16" ht="18.75" x14ac:dyDescent="0.25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375" t="s">
        <v>627</v>
      </c>
      <c r="N13" s="375"/>
      <c r="O13" s="375"/>
      <c r="P13" s="177"/>
    </row>
    <row r="15" spans="1:16" ht="20.25" x14ac:dyDescent="0.3">
      <c r="A15" s="390" t="s">
        <v>284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</row>
    <row r="16" spans="1:16" ht="20.25" x14ac:dyDescent="0.3">
      <c r="A16" s="390" t="s">
        <v>285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</row>
    <row r="17" spans="1:16" ht="18.75" x14ac:dyDescent="0.3">
      <c r="A17" s="179" t="s">
        <v>70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</row>
    <row r="18" spans="1:16" ht="15" x14ac:dyDescent="0.25">
      <c r="A18" s="177" t="s">
        <v>0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81" t="s">
        <v>1</v>
      </c>
    </row>
    <row r="19" spans="1:16" x14ac:dyDescent="0.2">
      <c r="A19" s="389" t="s">
        <v>2</v>
      </c>
      <c r="B19" s="389" t="s">
        <v>3</v>
      </c>
      <c r="C19" s="389" t="s">
        <v>286</v>
      </c>
      <c r="D19" s="389" t="s">
        <v>287</v>
      </c>
      <c r="E19" s="389" t="s">
        <v>159</v>
      </c>
      <c r="F19" s="389"/>
      <c r="G19" s="389"/>
      <c r="H19" s="389"/>
      <c r="I19" s="389"/>
      <c r="J19" s="389" t="s">
        <v>160</v>
      </c>
      <c r="K19" s="389"/>
      <c r="L19" s="389"/>
      <c r="M19" s="389"/>
      <c r="N19" s="389"/>
      <c r="O19" s="389"/>
      <c r="P19" s="389" t="s">
        <v>288</v>
      </c>
    </row>
    <row r="20" spans="1:16" x14ac:dyDescent="0.2">
      <c r="A20" s="389"/>
      <c r="B20" s="389"/>
      <c r="C20" s="389"/>
      <c r="D20" s="389"/>
      <c r="E20" s="389" t="s">
        <v>161</v>
      </c>
      <c r="F20" s="389" t="s">
        <v>4</v>
      </c>
      <c r="G20" s="389" t="s">
        <v>289</v>
      </c>
      <c r="H20" s="389"/>
      <c r="I20" s="389" t="s">
        <v>290</v>
      </c>
      <c r="J20" s="389" t="s">
        <v>161</v>
      </c>
      <c r="K20" s="389" t="s">
        <v>162</v>
      </c>
      <c r="L20" s="389" t="s">
        <v>4</v>
      </c>
      <c r="M20" s="389" t="s">
        <v>289</v>
      </c>
      <c r="N20" s="389"/>
      <c r="O20" s="389" t="s">
        <v>290</v>
      </c>
      <c r="P20" s="389"/>
    </row>
    <row r="21" spans="1:16" x14ac:dyDescent="0.2">
      <c r="A21" s="389"/>
      <c r="B21" s="389"/>
      <c r="C21" s="389"/>
      <c r="D21" s="389"/>
      <c r="E21" s="389"/>
      <c r="F21" s="389"/>
      <c r="G21" s="389" t="s">
        <v>291</v>
      </c>
      <c r="H21" s="389" t="s">
        <v>292</v>
      </c>
      <c r="I21" s="389"/>
      <c r="J21" s="389"/>
      <c r="K21" s="389"/>
      <c r="L21" s="389"/>
      <c r="M21" s="389" t="s">
        <v>291</v>
      </c>
      <c r="N21" s="389" t="s">
        <v>292</v>
      </c>
      <c r="O21" s="389"/>
      <c r="P21" s="389"/>
    </row>
    <row r="22" spans="1:16" ht="49.5" customHeight="1" x14ac:dyDescent="0.2">
      <c r="A22" s="389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89"/>
    </row>
    <row r="23" spans="1:16" ht="15" x14ac:dyDescent="0.2">
      <c r="A23" s="182">
        <v>1</v>
      </c>
      <c r="B23" s="182">
        <v>2</v>
      </c>
      <c r="C23" s="182">
        <v>3</v>
      </c>
      <c r="D23" s="182">
        <v>4</v>
      </c>
      <c r="E23" s="182">
        <v>5</v>
      </c>
      <c r="F23" s="182">
        <v>6</v>
      </c>
      <c r="G23" s="182">
        <v>7</v>
      </c>
      <c r="H23" s="182">
        <v>8</v>
      </c>
      <c r="I23" s="182">
        <v>9</v>
      </c>
      <c r="J23" s="182">
        <v>10</v>
      </c>
      <c r="K23" s="182">
        <v>11</v>
      </c>
      <c r="L23" s="182">
        <v>12</v>
      </c>
      <c r="M23" s="182">
        <v>13</v>
      </c>
      <c r="N23" s="182">
        <v>14</v>
      </c>
      <c r="O23" s="182">
        <v>15</v>
      </c>
      <c r="P23" s="182">
        <v>16</v>
      </c>
    </row>
    <row r="24" spans="1:16" ht="75" x14ac:dyDescent="0.2">
      <c r="A24" s="183" t="s">
        <v>5</v>
      </c>
      <c r="B24" s="183" t="s">
        <v>6</v>
      </c>
      <c r="C24" s="183" t="s">
        <v>6</v>
      </c>
      <c r="D24" s="184" t="s">
        <v>293</v>
      </c>
      <c r="E24" s="185">
        <f>E25</f>
        <v>89394721</v>
      </c>
      <c r="F24" s="185">
        <f t="shared" ref="F24:O24" si="0">F25</f>
        <v>87798668</v>
      </c>
      <c r="G24" s="185">
        <f t="shared" si="0"/>
        <v>35834211</v>
      </c>
      <c r="H24" s="185">
        <f t="shared" si="0"/>
        <v>2636023</v>
      </c>
      <c r="I24" s="185">
        <f t="shared" si="0"/>
        <v>1596053</v>
      </c>
      <c r="J24" s="185">
        <f t="shared" si="0"/>
        <v>2092306</v>
      </c>
      <c r="K24" s="185">
        <f t="shared" si="0"/>
        <v>2092306</v>
      </c>
      <c r="L24" s="185">
        <f t="shared" si="0"/>
        <v>0</v>
      </c>
      <c r="M24" s="185">
        <f t="shared" si="0"/>
        <v>0</v>
      </c>
      <c r="N24" s="185">
        <f t="shared" si="0"/>
        <v>0</v>
      </c>
      <c r="O24" s="185">
        <f t="shared" si="0"/>
        <v>2092306</v>
      </c>
      <c r="P24" s="185">
        <f>E24+J24</f>
        <v>91487027</v>
      </c>
    </row>
    <row r="25" spans="1:16" ht="71.25" customHeight="1" x14ac:dyDescent="0.2">
      <c r="A25" s="267" t="s">
        <v>7</v>
      </c>
      <c r="B25" s="267" t="s">
        <v>6</v>
      </c>
      <c r="C25" s="267" t="s">
        <v>6</v>
      </c>
      <c r="D25" s="268" t="s">
        <v>293</v>
      </c>
      <c r="E25" s="269">
        <f>E26+E27+E28+E29+E30+E31+E32+E33+E34+E35+E36+E37</f>
        <v>89394721</v>
      </c>
      <c r="F25" s="269">
        <f>F26+F27+F28+F29+F30+F31+F32+F33+F34+F35+F36+F37</f>
        <v>87798668</v>
      </c>
      <c r="G25" s="269">
        <f t="shared" ref="G25:O25" si="1">G26+G27+G28+G29+G30+G31+G32+G33+G34+G35+G36+G37</f>
        <v>35834211</v>
      </c>
      <c r="H25" s="269">
        <f t="shared" si="1"/>
        <v>2636023</v>
      </c>
      <c r="I25" s="269">
        <f t="shared" si="1"/>
        <v>1596053</v>
      </c>
      <c r="J25" s="269">
        <f>J26+J27+J28+J29+J30+J31+J32+J33+J34+J35+J36+J37</f>
        <v>2092306</v>
      </c>
      <c r="K25" s="269">
        <f t="shared" si="1"/>
        <v>2092306</v>
      </c>
      <c r="L25" s="269">
        <f t="shared" si="1"/>
        <v>0</v>
      </c>
      <c r="M25" s="269">
        <f t="shared" si="1"/>
        <v>0</v>
      </c>
      <c r="N25" s="269">
        <f t="shared" si="1"/>
        <v>0</v>
      </c>
      <c r="O25" s="269">
        <f t="shared" si="1"/>
        <v>2092306</v>
      </c>
      <c r="P25" s="269">
        <f>E25+J25</f>
        <v>91487027</v>
      </c>
    </row>
    <row r="26" spans="1:16" ht="112.5" x14ac:dyDescent="0.2">
      <c r="A26" s="186" t="s">
        <v>71</v>
      </c>
      <c r="B26" s="186" t="s">
        <v>72</v>
      </c>
      <c r="C26" s="186" t="s">
        <v>8</v>
      </c>
      <c r="D26" s="187" t="s">
        <v>73</v>
      </c>
      <c r="E26" s="188">
        <f>F26+I26</f>
        <v>43215460</v>
      </c>
      <c r="F26" s="188">
        <f>35810639+7130254-6753</f>
        <v>42934140</v>
      </c>
      <c r="G26" s="188">
        <f>28703957+7130254</f>
        <v>35834211</v>
      </c>
      <c r="H26" s="188">
        <v>2636023</v>
      </c>
      <c r="I26" s="188">
        <f>281320</f>
        <v>281320</v>
      </c>
      <c r="J26" s="188">
        <f>K26</f>
        <v>0</v>
      </c>
      <c r="K26" s="188">
        <f>O26</f>
        <v>0</v>
      </c>
      <c r="L26" s="188">
        <v>0</v>
      </c>
      <c r="M26" s="188">
        <v>0</v>
      </c>
      <c r="N26" s="188">
        <v>0</v>
      </c>
      <c r="O26" s="188">
        <f>281320-281320</f>
        <v>0</v>
      </c>
      <c r="P26" s="188">
        <f t="shared" ref="P26:P100" si="2">E26+J26</f>
        <v>43215460</v>
      </c>
    </row>
    <row r="27" spans="1:16" ht="37.5" x14ac:dyDescent="0.2">
      <c r="A27" s="186" t="s">
        <v>294</v>
      </c>
      <c r="B27" s="186" t="s">
        <v>295</v>
      </c>
      <c r="C27" s="186" t="s">
        <v>296</v>
      </c>
      <c r="D27" s="187" t="s">
        <v>297</v>
      </c>
      <c r="E27" s="188">
        <f>F27+I27</f>
        <v>409000</v>
      </c>
      <c r="F27" s="188">
        <f>49000</f>
        <v>49000</v>
      </c>
      <c r="G27" s="188">
        <v>0</v>
      </c>
      <c r="H27" s="188">
        <v>0</v>
      </c>
      <c r="I27" s="188">
        <f>0+360000</f>
        <v>360000</v>
      </c>
      <c r="J27" s="188">
        <v>0</v>
      </c>
      <c r="K27" s="188">
        <v>0</v>
      </c>
      <c r="L27" s="188">
        <v>0</v>
      </c>
      <c r="M27" s="188">
        <v>0</v>
      </c>
      <c r="N27" s="188">
        <v>0</v>
      </c>
      <c r="O27" s="188">
        <v>0</v>
      </c>
      <c r="P27" s="188">
        <f t="shared" si="2"/>
        <v>409000</v>
      </c>
    </row>
    <row r="28" spans="1:16" ht="40.5" customHeight="1" x14ac:dyDescent="0.2">
      <c r="A28" s="186" t="s">
        <v>9</v>
      </c>
      <c r="B28" s="186" t="s">
        <v>10</v>
      </c>
      <c r="C28" s="186" t="s">
        <v>11</v>
      </c>
      <c r="D28" s="187" t="s">
        <v>12</v>
      </c>
      <c r="E28" s="188">
        <f>F28+I28</f>
        <v>25950030</v>
      </c>
      <c r="F28" s="188">
        <v>24995297</v>
      </c>
      <c r="G28" s="188">
        <v>0</v>
      </c>
      <c r="H28" s="188">
        <v>0</v>
      </c>
      <c r="I28" s="188">
        <v>954733</v>
      </c>
      <c r="J28" s="188">
        <f>K28</f>
        <v>0</v>
      </c>
      <c r="K28" s="188">
        <f>954733-954733</f>
        <v>0</v>
      </c>
      <c r="L28" s="188">
        <v>0</v>
      </c>
      <c r="M28" s="188">
        <v>0</v>
      </c>
      <c r="N28" s="188">
        <v>0</v>
      </c>
      <c r="O28" s="188">
        <f>K28</f>
        <v>0</v>
      </c>
      <c r="P28" s="188">
        <f>E28+J28</f>
        <v>25950030</v>
      </c>
    </row>
    <row r="29" spans="1:16" ht="75" x14ac:dyDescent="0.2">
      <c r="A29" s="186" t="s">
        <v>298</v>
      </c>
      <c r="B29" s="186" t="s">
        <v>299</v>
      </c>
      <c r="C29" s="186" t="s">
        <v>300</v>
      </c>
      <c r="D29" s="187" t="s">
        <v>301</v>
      </c>
      <c r="E29" s="188">
        <v>543071</v>
      </c>
      <c r="F29" s="188">
        <v>543071</v>
      </c>
      <c r="G29" s="188">
        <v>0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188">
        <v>0</v>
      </c>
      <c r="P29" s="188">
        <f t="shared" si="2"/>
        <v>543071</v>
      </c>
    </row>
    <row r="30" spans="1:16" ht="37.5" x14ac:dyDescent="0.2">
      <c r="A30" s="186" t="s">
        <v>302</v>
      </c>
      <c r="B30" s="186" t="s">
        <v>303</v>
      </c>
      <c r="C30" s="186" t="s">
        <v>304</v>
      </c>
      <c r="D30" s="187" t="s">
        <v>305</v>
      </c>
      <c r="E30" s="188">
        <v>2731972</v>
      </c>
      <c r="F30" s="188">
        <v>2731972</v>
      </c>
      <c r="G30" s="188">
        <v>0</v>
      </c>
      <c r="H30" s="188">
        <v>0</v>
      </c>
      <c r="I30" s="188">
        <v>0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O30" s="188">
        <v>0</v>
      </c>
      <c r="P30" s="188">
        <f t="shared" si="2"/>
        <v>2731972</v>
      </c>
    </row>
    <row r="31" spans="1:16" ht="96.75" customHeight="1" x14ac:dyDescent="0.2">
      <c r="A31" s="232" t="s">
        <v>559</v>
      </c>
      <c r="B31" s="186">
        <v>2170</v>
      </c>
      <c r="C31" s="186" t="s">
        <v>304</v>
      </c>
      <c r="D31" s="187" t="s">
        <v>560</v>
      </c>
      <c r="E31" s="188">
        <f>F31+I31</f>
        <v>0</v>
      </c>
      <c r="F31" s="188"/>
      <c r="G31" s="188"/>
      <c r="H31" s="188"/>
      <c r="I31" s="188"/>
      <c r="J31" s="188">
        <f>K31</f>
        <v>2020106</v>
      </c>
      <c r="K31" s="188">
        <f>O31</f>
        <v>2020106</v>
      </c>
      <c r="L31" s="188"/>
      <c r="M31" s="188"/>
      <c r="N31" s="188"/>
      <c r="O31" s="188">
        <f>2020106</f>
        <v>2020106</v>
      </c>
      <c r="P31" s="188">
        <f t="shared" si="2"/>
        <v>2020106</v>
      </c>
    </row>
    <row r="32" spans="1:16" ht="37.5" x14ac:dyDescent="0.2">
      <c r="A32" s="186" t="s">
        <v>306</v>
      </c>
      <c r="B32" s="186" t="s">
        <v>307</v>
      </c>
      <c r="C32" s="186" t="s">
        <v>308</v>
      </c>
      <c r="D32" s="187" t="s">
        <v>309</v>
      </c>
      <c r="E32" s="188">
        <f>F32</f>
        <v>185952</v>
      </c>
      <c r="F32" s="188">
        <f>177516+8436</f>
        <v>185952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f t="shared" si="2"/>
        <v>185952</v>
      </c>
    </row>
    <row r="33" spans="1:16" ht="56.25" x14ac:dyDescent="0.2">
      <c r="A33" s="186" t="s">
        <v>83</v>
      </c>
      <c r="B33" s="186" t="s">
        <v>310</v>
      </c>
      <c r="C33" s="186" t="s">
        <v>74</v>
      </c>
      <c r="D33" s="187" t="s">
        <v>84</v>
      </c>
      <c r="E33" s="188">
        <v>0</v>
      </c>
      <c r="F33" s="188">
        <v>0</v>
      </c>
      <c r="G33" s="188">
        <v>0</v>
      </c>
      <c r="H33" s="188">
        <v>0</v>
      </c>
      <c r="I33" s="188">
        <v>0</v>
      </c>
      <c r="J33" s="188">
        <v>57000</v>
      </c>
      <c r="K33" s="188">
        <v>57000</v>
      </c>
      <c r="L33" s="188">
        <v>0</v>
      </c>
      <c r="M33" s="188">
        <v>0</v>
      </c>
      <c r="N33" s="188">
        <v>0</v>
      </c>
      <c r="O33" s="188">
        <v>57000</v>
      </c>
      <c r="P33" s="188">
        <f t="shared" si="2"/>
        <v>57000</v>
      </c>
    </row>
    <row r="34" spans="1:16" ht="112.5" x14ac:dyDescent="0.2">
      <c r="A34" s="186" t="s">
        <v>85</v>
      </c>
      <c r="B34" s="186" t="s">
        <v>86</v>
      </c>
      <c r="C34" s="186" t="s">
        <v>74</v>
      </c>
      <c r="D34" s="187" t="s">
        <v>87</v>
      </c>
      <c r="E34" s="188">
        <v>0</v>
      </c>
      <c r="F34" s="188">
        <v>0</v>
      </c>
      <c r="G34" s="188">
        <v>0</v>
      </c>
      <c r="H34" s="188">
        <v>0</v>
      </c>
      <c r="I34" s="188">
        <v>0</v>
      </c>
      <c r="J34" s="188">
        <v>15200</v>
      </c>
      <c r="K34" s="188">
        <v>15200</v>
      </c>
      <c r="L34" s="188">
        <v>0</v>
      </c>
      <c r="M34" s="188">
        <v>0</v>
      </c>
      <c r="N34" s="188">
        <v>0</v>
      </c>
      <c r="O34" s="188">
        <v>15200</v>
      </c>
      <c r="P34" s="188">
        <f t="shared" si="2"/>
        <v>15200</v>
      </c>
    </row>
    <row r="35" spans="1:16" ht="37.5" x14ac:dyDescent="0.2">
      <c r="A35" s="186" t="s">
        <v>311</v>
      </c>
      <c r="B35" s="186" t="s">
        <v>312</v>
      </c>
      <c r="C35" s="186" t="s">
        <v>74</v>
      </c>
      <c r="D35" s="187" t="s">
        <v>313</v>
      </c>
      <c r="E35" s="188">
        <v>40071</v>
      </c>
      <c r="F35" s="188">
        <v>40071</v>
      </c>
      <c r="G35" s="188">
        <v>0</v>
      </c>
      <c r="H35" s="188">
        <v>0</v>
      </c>
      <c r="I35" s="188">
        <v>0</v>
      </c>
      <c r="J35" s="188">
        <v>0</v>
      </c>
      <c r="K35" s="188">
        <v>0</v>
      </c>
      <c r="L35" s="188">
        <v>0</v>
      </c>
      <c r="M35" s="188">
        <v>0</v>
      </c>
      <c r="N35" s="188">
        <v>0</v>
      </c>
      <c r="O35" s="188">
        <v>0</v>
      </c>
      <c r="P35" s="188">
        <f t="shared" si="2"/>
        <v>40071</v>
      </c>
    </row>
    <row r="36" spans="1:16" ht="37.5" x14ac:dyDescent="0.2">
      <c r="A36" s="186" t="s">
        <v>314</v>
      </c>
      <c r="B36" s="186" t="s">
        <v>315</v>
      </c>
      <c r="C36" s="186" t="s">
        <v>316</v>
      </c>
      <c r="D36" s="187" t="s">
        <v>317</v>
      </c>
      <c r="E36" s="188">
        <v>11945766</v>
      </c>
      <c r="F36" s="188">
        <v>11945766</v>
      </c>
      <c r="G36" s="188">
        <v>0</v>
      </c>
      <c r="H36" s="188">
        <v>0</v>
      </c>
      <c r="I36" s="188">
        <v>0</v>
      </c>
      <c r="J36" s="188">
        <v>0</v>
      </c>
      <c r="K36" s="188">
        <v>0</v>
      </c>
      <c r="L36" s="188">
        <v>0</v>
      </c>
      <c r="M36" s="188">
        <v>0</v>
      </c>
      <c r="N36" s="188">
        <v>0</v>
      </c>
      <c r="O36" s="188">
        <v>0</v>
      </c>
      <c r="P36" s="188">
        <f t="shared" si="2"/>
        <v>11945766</v>
      </c>
    </row>
    <row r="37" spans="1:16" ht="37.5" x14ac:dyDescent="0.2">
      <c r="A37" s="186" t="s">
        <v>318</v>
      </c>
      <c r="B37" s="186" t="s">
        <v>319</v>
      </c>
      <c r="C37" s="186" t="s">
        <v>320</v>
      </c>
      <c r="D37" s="187" t="s">
        <v>321</v>
      </c>
      <c r="E37" s="188">
        <f>F37</f>
        <v>4373399</v>
      </c>
      <c r="F37" s="188">
        <f>4139627+233772</f>
        <v>4373399</v>
      </c>
      <c r="G37" s="188">
        <v>0</v>
      </c>
      <c r="H37" s="188">
        <v>0</v>
      </c>
      <c r="I37" s="188">
        <v>0</v>
      </c>
      <c r="J37" s="188">
        <v>0</v>
      </c>
      <c r="K37" s="188">
        <v>0</v>
      </c>
      <c r="L37" s="188">
        <v>0</v>
      </c>
      <c r="M37" s="188">
        <v>0</v>
      </c>
      <c r="N37" s="188">
        <v>0</v>
      </c>
      <c r="O37" s="188">
        <v>0</v>
      </c>
      <c r="P37" s="188">
        <f t="shared" si="2"/>
        <v>4373399</v>
      </c>
    </row>
    <row r="38" spans="1:16" ht="75" x14ac:dyDescent="0.2">
      <c r="A38" s="183" t="s">
        <v>16</v>
      </c>
      <c r="B38" s="183" t="s">
        <v>6</v>
      </c>
      <c r="C38" s="183" t="s">
        <v>6</v>
      </c>
      <c r="D38" s="184" t="s">
        <v>322</v>
      </c>
      <c r="E38" s="185">
        <f t="shared" ref="E38:E45" si="3">F38+I38</f>
        <v>304998001</v>
      </c>
      <c r="F38" s="185">
        <f>F39</f>
        <v>304998001</v>
      </c>
      <c r="G38" s="185">
        <f t="shared" ref="G38:J38" si="4">G39</f>
        <v>230316984</v>
      </c>
      <c r="H38" s="185">
        <f t="shared" si="4"/>
        <v>31535862</v>
      </c>
      <c r="I38" s="185">
        <f t="shared" si="4"/>
        <v>0</v>
      </c>
      <c r="J38" s="185">
        <f t="shared" si="4"/>
        <v>16456340</v>
      </c>
      <c r="K38" s="185">
        <f t="shared" ref="K38" si="5">K39</f>
        <v>0</v>
      </c>
      <c r="L38" s="185">
        <f t="shared" ref="L38" si="6">L39</f>
        <v>16456340</v>
      </c>
      <c r="M38" s="185">
        <f t="shared" ref="M38" si="7">M39</f>
        <v>2458172</v>
      </c>
      <c r="N38" s="185">
        <f t="shared" ref="N38" si="8">N39</f>
        <v>95418</v>
      </c>
      <c r="O38" s="185">
        <f t="shared" ref="O38" si="9">O39</f>
        <v>0</v>
      </c>
      <c r="P38" s="185">
        <f t="shared" si="2"/>
        <v>321454341</v>
      </c>
    </row>
    <row r="39" spans="1:16" ht="68.25" customHeight="1" x14ac:dyDescent="0.2">
      <c r="A39" s="267" t="s">
        <v>17</v>
      </c>
      <c r="B39" s="267" t="s">
        <v>6</v>
      </c>
      <c r="C39" s="267" t="s">
        <v>6</v>
      </c>
      <c r="D39" s="268" t="s">
        <v>322</v>
      </c>
      <c r="E39" s="269">
        <f t="shared" si="3"/>
        <v>304998001</v>
      </c>
      <c r="F39" s="269">
        <f>F40+F41+F42+F43+F44+F45+F46+F47+F49+F54+F48+F50+F51+F53</f>
        <v>304998001</v>
      </c>
      <c r="G39" s="269">
        <f t="shared" ref="G39:I39" si="10">G40+G41+G42+G43+G44+G45+G46+G47+G49+G54+G48+G50+G51+G53</f>
        <v>230316984</v>
      </c>
      <c r="H39" s="269">
        <f t="shared" si="10"/>
        <v>31535862</v>
      </c>
      <c r="I39" s="269">
        <f t="shared" si="10"/>
        <v>0</v>
      </c>
      <c r="J39" s="269">
        <f>J40+J41+J42+J43+J44+J45+J46+J47+J49+J54+J48+J50+J51+J53+J52</f>
        <v>16456340</v>
      </c>
      <c r="K39" s="269">
        <f t="shared" ref="K39:O39" si="11">K40+K41+K42+K43+K44+K45+K46+K47+K49+K54+K48+K50+K51+K53+K52</f>
        <v>0</v>
      </c>
      <c r="L39" s="269">
        <f t="shared" si="11"/>
        <v>16456340</v>
      </c>
      <c r="M39" s="269">
        <f t="shared" si="11"/>
        <v>2458172</v>
      </c>
      <c r="N39" s="269">
        <f t="shared" si="11"/>
        <v>95418</v>
      </c>
      <c r="O39" s="269">
        <f t="shared" si="11"/>
        <v>0</v>
      </c>
      <c r="P39" s="269">
        <f>E39+J39</f>
        <v>321454341</v>
      </c>
    </row>
    <row r="40" spans="1:16" ht="75" x14ac:dyDescent="0.2">
      <c r="A40" s="186" t="s">
        <v>323</v>
      </c>
      <c r="B40" s="186" t="s">
        <v>18</v>
      </c>
      <c r="C40" s="186" t="s">
        <v>8</v>
      </c>
      <c r="D40" s="187" t="s">
        <v>75</v>
      </c>
      <c r="E40" s="188">
        <f t="shared" si="3"/>
        <v>6134246</v>
      </c>
      <c r="F40" s="188">
        <f>4929791+1189705+14750</f>
        <v>6134246</v>
      </c>
      <c r="G40" s="188">
        <f>4305956+1189705</f>
        <v>5495661</v>
      </c>
      <c r="H40" s="188">
        <f>204736+14750</f>
        <v>219486</v>
      </c>
      <c r="I40" s="188">
        <v>0</v>
      </c>
      <c r="J40" s="188">
        <v>0</v>
      </c>
      <c r="K40" s="188">
        <v>0</v>
      </c>
      <c r="L40" s="188">
        <v>0</v>
      </c>
      <c r="M40" s="188">
        <v>0</v>
      </c>
      <c r="N40" s="188">
        <v>0</v>
      </c>
      <c r="O40" s="188">
        <v>0</v>
      </c>
      <c r="P40" s="188">
        <f t="shared" si="2"/>
        <v>6134246</v>
      </c>
    </row>
    <row r="41" spans="1:16" ht="41.25" customHeight="1" x14ac:dyDescent="0.2">
      <c r="A41" s="186" t="s">
        <v>19</v>
      </c>
      <c r="B41" s="186" t="s">
        <v>20</v>
      </c>
      <c r="C41" s="186" t="s">
        <v>21</v>
      </c>
      <c r="D41" s="187" t="s">
        <v>22</v>
      </c>
      <c r="E41" s="188">
        <f t="shared" si="3"/>
        <v>106409451</v>
      </c>
      <c r="F41" s="188">
        <f>97462648+8967453-20650</f>
        <v>106409451</v>
      </c>
      <c r="G41" s="188">
        <f>72383849+8967453</f>
        <v>81351302</v>
      </c>
      <c r="H41" s="188">
        <f>11712560-20650</f>
        <v>11691910</v>
      </c>
      <c r="I41" s="188">
        <v>0</v>
      </c>
      <c r="J41" s="188">
        <v>2468100</v>
      </c>
      <c r="K41" s="188">
        <v>0</v>
      </c>
      <c r="L41" s="188">
        <v>2468100</v>
      </c>
      <c r="M41" s="188">
        <v>0</v>
      </c>
      <c r="N41" s="188">
        <v>0</v>
      </c>
      <c r="O41" s="188">
        <v>0</v>
      </c>
      <c r="P41" s="188">
        <f t="shared" si="2"/>
        <v>108877551</v>
      </c>
    </row>
    <row r="42" spans="1:16" ht="75" x14ac:dyDescent="0.2">
      <c r="A42" s="186" t="s">
        <v>324</v>
      </c>
      <c r="B42" s="186" t="s">
        <v>135</v>
      </c>
      <c r="C42" s="186" t="s">
        <v>136</v>
      </c>
      <c r="D42" s="187" t="s">
        <v>137</v>
      </c>
      <c r="E42" s="188">
        <f t="shared" si="3"/>
        <v>77454721</v>
      </c>
      <c r="F42" s="188">
        <f>73415939+4032882+5900</f>
        <v>77454721</v>
      </c>
      <c r="G42" s="188">
        <f>41557944+4032882</f>
        <v>45590826</v>
      </c>
      <c r="H42" s="188">
        <f>18596622+5900</f>
        <v>18602522</v>
      </c>
      <c r="I42" s="188">
        <v>0</v>
      </c>
      <c r="J42" s="188">
        <v>13413840</v>
      </c>
      <c r="K42" s="188">
        <v>0</v>
      </c>
      <c r="L42" s="188">
        <v>13413840</v>
      </c>
      <c r="M42" s="188">
        <v>2458172</v>
      </c>
      <c r="N42" s="188">
        <v>95418</v>
      </c>
      <c r="O42" s="188">
        <v>0</v>
      </c>
      <c r="P42" s="188">
        <f t="shared" si="2"/>
        <v>90868561</v>
      </c>
    </row>
    <row r="43" spans="1:16" ht="56.25" customHeight="1" x14ac:dyDescent="0.2">
      <c r="A43" s="232" t="s">
        <v>519</v>
      </c>
      <c r="B43" s="186">
        <v>1031</v>
      </c>
      <c r="C43" s="232" t="s">
        <v>136</v>
      </c>
      <c r="D43" s="187" t="s">
        <v>518</v>
      </c>
      <c r="E43" s="188">
        <f t="shared" si="3"/>
        <v>71924600</v>
      </c>
      <c r="F43" s="188">
        <v>71924600</v>
      </c>
      <c r="G43" s="188">
        <v>71924600</v>
      </c>
      <c r="H43" s="188"/>
      <c r="I43" s="188"/>
      <c r="J43" s="188"/>
      <c r="K43" s="188"/>
      <c r="L43" s="188"/>
      <c r="M43" s="188"/>
      <c r="N43" s="188"/>
      <c r="O43" s="188"/>
      <c r="P43" s="188">
        <f t="shared" si="2"/>
        <v>71924600</v>
      </c>
    </row>
    <row r="44" spans="1:16" ht="75" x14ac:dyDescent="0.2">
      <c r="A44" s="186" t="s">
        <v>325</v>
      </c>
      <c r="B44" s="186" t="s">
        <v>326</v>
      </c>
      <c r="C44" s="186" t="s">
        <v>127</v>
      </c>
      <c r="D44" s="187" t="s">
        <v>327</v>
      </c>
      <c r="E44" s="188">
        <f t="shared" si="3"/>
        <v>8021405</v>
      </c>
      <c r="F44" s="188">
        <f>6687562+1333843</f>
        <v>8021405</v>
      </c>
      <c r="G44" s="188">
        <f>5774475+1333843</f>
        <v>7108318</v>
      </c>
      <c r="H44" s="188">
        <v>399086</v>
      </c>
      <c r="I44" s="188">
        <v>0</v>
      </c>
      <c r="J44" s="188">
        <v>0</v>
      </c>
      <c r="K44" s="188">
        <v>0</v>
      </c>
      <c r="L44" s="188">
        <v>0</v>
      </c>
      <c r="M44" s="188">
        <v>0</v>
      </c>
      <c r="N44" s="188">
        <v>0</v>
      </c>
      <c r="O44" s="188">
        <v>0</v>
      </c>
      <c r="P44" s="188">
        <f t="shared" si="2"/>
        <v>8021405</v>
      </c>
    </row>
    <row r="45" spans="1:16" ht="37.5" x14ac:dyDescent="0.2">
      <c r="A45" s="186" t="s">
        <v>328</v>
      </c>
      <c r="B45" s="186" t="s">
        <v>329</v>
      </c>
      <c r="C45" s="186" t="s">
        <v>23</v>
      </c>
      <c r="D45" s="187" t="s">
        <v>330</v>
      </c>
      <c r="E45" s="188">
        <f t="shared" si="3"/>
        <v>5966146</v>
      </c>
      <c r="F45" s="188">
        <f>5360678+605468</f>
        <v>5966146</v>
      </c>
      <c r="G45" s="188">
        <f>4904880+605468</f>
        <v>5510348</v>
      </c>
      <c r="H45" s="188">
        <v>235643</v>
      </c>
      <c r="I45" s="188">
        <v>0</v>
      </c>
      <c r="J45" s="188">
        <v>0</v>
      </c>
      <c r="K45" s="188">
        <v>0</v>
      </c>
      <c r="L45" s="188">
        <v>0</v>
      </c>
      <c r="M45" s="188">
        <v>0</v>
      </c>
      <c r="N45" s="188">
        <v>0</v>
      </c>
      <c r="O45" s="188">
        <v>0</v>
      </c>
      <c r="P45" s="188">
        <f t="shared" si="2"/>
        <v>5966146</v>
      </c>
    </row>
    <row r="46" spans="1:16" ht="37.5" x14ac:dyDescent="0.2">
      <c r="A46" s="186" t="s">
        <v>331</v>
      </c>
      <c r="B46" s="186" t="s">
        <v>332</v>
      </c>
      <c r="C46" s="186" t="s">
        <v>23</v>
      </c>
      <c r="D46" s="187" t="s">
        <v>333</v>
      </c>
      <c r="E46" s="188">
        <v>38708</v>
      </c>
      <c r="F46" s="188">
        <v>38708</v>
      </c>
      <c r="G46" s="188">
        <v>0</v>
      </c>
      <c r="H46" s="188">
        <v>0</v>
      </c>
      <c r="I46" s="188">
        <v>0</v>
      </c>
      <c r="J46" s="188">
        <v>0</v>
      </c>
      <c r="K46" s="188">
        <v>0</v>
      </c>
      <c r="L46" s="188">
        <v>0</v>
      </c>
      <c r="M46" s="188">
        <v>0</v>
      </c>
      <c r="N46" s="188">
        <v>0</v>
      </c>
      <c r="O46" s="188">
        <v>0</v>
      </c>
      <c r="P46" s="188">
        <f t="shared" si="2"/>
        <v>38708</v>
      </c>
    </row>
    <row r="47" spans="1:16" ht="56.25" x14ac:dyDescent="0.2">
      <c r="A47" s="186" t="s">
        <v>334</v>
      </c>
      <c r="B47" s="186" t="s">
        <v>335</v>
      </c>
      <c r="C47" s="186" t="s">
        <v>23</v>
      </c>
      <c r="D47" s="187" t="s">
        <v>336</v>
      </c>
      <c r="E47" s="188">
        <f t="shared" ref="E47:E53" si="12">F47+I47</f>
        <v>1429655</v>
      </c>
      <c r="F47" s="188">
        <f>1308536+121119</f>
        <v>1429655</v>
      </c>
      <c r="G47" s="188">
        <f>750063+121119</f>
        <v>871182</v>
      </c>
      <c r="H47" s="188">
        <v>324571</v>
      </c>
      <c r="I47" s="188">
        <v>0</v>
      </c>
      <c r="J47" s="188">
        <v>0</v>
      </c>
      <c r="K47" s="188">
        <v>0</v>
      </c>
      <c r="L47" s="188">
        <v>0</v>
      </c>
      <c r="M47" s="188">
        <v>0</v>
      </c>
      <c r="N47" s="188">
        <v>0</v>
      </c>
      <c r="O47" s="188">
        <v>0</v>
      </c>
      <c r="P47" s="188">
        <f t="shared" si="2"/>
        <v>1429655</v>
      </c>
    </row>
    <row r="48" spans="1:16" ht="62.25" customHeight="1" x14ac:dyDescent="0.2">
      <c r="A48" s="232" t="s">
        <v>630</v>
      </c>
      <c r="B48" s="186">
        <v>1152</v>
      </c>
      <c r="C48" s="186" t="s">
        <v>23</v>
      </c>
      <c r="D48" s="187" t="s">
        <v>631</v>
      </c>
      <c r="E48" s="188">
        <f t="shared" si="12"/>
        <v>1474598</v>
      </c>
      <c r="F48" s="188">
        <f>0+1474598</f>
        <v>1474598</v>
      </c>
      <c r="G48" s="188">
        <f>0+1474598</f>
        <v>1474598</v>
      </c>
      <c r="H48" s="188"/>
      <c r="I48" s="188"/>
      <c r="J48" s="188"/>
      <c r="K48" s="188"/>
      <c r="L48" s="188"/>
      <c r="M48" s="188"/>
      <c r="N48" s="188"/>
      <c r="O48" s="188"/>
      <c r="P48" s="188">
        <f t="shared" si="2"/>
        <v>1474598</v>
      </c>
    </row>
    <row r="49" spans="1:16" ht="56.25" x14ac:dyDescent="0.2">
      <c r="A49" s="186" t="s">
        <v>337</v>
      </c>
      <c r="B49" s="186" t="s">
        <v>338</v>
      </c>
      <c r="C49" s="186" t="s">
        <v>23</v>
      </c>
      <c r="D49" s="187" t="s">
        <v>339</v>
      </c>
      <c r="E49" s="188">
        <f t="shared" si="12"/>
        <v>2014380</v>
      </c>
      <c r="F49" s="188">
        <f>1698920+315460</f>
        <v>2014380</v>
      </c>
      <c r="G49" s="188">
        <f>1507009+315460</f>
        <v>1822469</v>
      </c>
      <c r="H49" s="188">
        <v>48677</v>
      </c>
      <c r="I49" s="188">
        <v>0</v>
      </c>
      <c r="J49" s="188">
        <v>0</v>
      </c>
      <c r="K49" s="188">
        <v>0</v>
      </c>
      <c r="L49" s="188">
        <v>0</v>
      </c>
      <c r="M49" s="188">
        <v>0</v>
      </c>
      <c r="N49" s="188">
        <v>0</v>
      </c>
      <c r="O49" s="188">
        <v>0</v>
      </c>
      <c r="P49" s="188">
        <f>E49+J49</f>
        <v>2014380</v>
      </c>
    </row>
    <row r="50" spans="1:16" ht="91.5" customHeight="1" x14ac:dyDescent="0.2">
      <c r="A50" s="232" t="s">
        <v>633</v>
      </c>
      <c r="B50" s="186">
        <v>1200</v>
      </c>
      <c r="C50" s="186" t="s">
        <v>23</v>
      </c>
      <c r="D50" s="187" t="s">
        <v>632</v>
      </c>
      <c r="E50" s="188">
        <f t="shared" si="12"/>
        <v>413700</v>
      </c>
      <c r="F50" s="188">
        <f>0+413700</f>
        <v>413700</v>
      </c>
      <c r="G50" s="188">
        <v>413700</v>
      </c>
      <c r="H50" s="188"/>
      <c r="I50" s="188"/>
      <c r="J50" s="188"/>
      <c r="K50" s="188"/>
      <c r="L50" s="188"/>
      <c r="M50" s="188"/>
      <c r="N50" s="188"/>
      <c r="O50" s="188"/>
      <c r="P50" s="188">
        <f>E50+J50</f>
        <v>413700</v>
      </c>
    </row>
    <row r="51" spans="1:16" ht="91.5" customHeight="1" x14ac:dyDescent="0.2">
      <c r="A51" s="232" t="s">
        <v>634</v>
      </c>
      <c r="B51" s="186">
        <v>1600</v>
      </c>
      <c r="C51" s="186" t="s">
        <v>23</v>
      </c>
      <c r="D51" s="187" t="s">
        <v>635</v>
      </c>
      <c r="E51" s="188">
        <f t="shared" si="12"/>
        <v>8319600</v>
      </c>
      <c r="F51" s="188">
        <f>0+8319600</f>
        <v>8319600</v>
      </c>
      <c r="G51" s="188">
        <v>8319600</v>
      </c>
      <c r="H51" s="188"/>
      <c r="I51" s="188"/>
      <c r="J51" s="188"/>
      <c r="K51" s="188"/>
      <c r="L51" s="188"/>
      <c r="M51" s="188"/>
      <c r="N51" s="188"/>
      <c r="O51" s="188"/>
      <c r="P51" s="188">
        <f>E51+J51</f>
        <v>8319600</v>
      </c>
    </row>
    <row r="52" spans="1:16" ht="91.5" customHeight="1" x14ac:dyDescent="0.2">
      <c r="A52" s="232" t="s">
        <v>645</v>
      </c>
      <c r="B52" s="186">
        <v>1700</v>
      </c>
      <c r="C52" s="186" t="s">
        <v>23</v>
      </c>
      <c r="D52" s="187" t="s">
        <v>646</v>
      </c>
      <c r="E52" s="188"/>
      <c r="F52" s="188"/>
      <c r="G52" s="188"/>
      <c r="H52" s="188"/>
      <c r="I52" s="188"/>
      <c r="J52" s="188">
        <f>L52+O52</f>
        <v>574400</v>
      </c>
      <c r="K52" s="188"/>
      <c r="L52" s="188">
        <v>574400</v>
      </c>
      <c r="M52" s="188"/>
      <c r="N52" s="188"/>
      <c r="O52" s="188"/>
      <c r="P52" s="188">
        <f>E52+J52</f>
        <v>574400</v>
      </c>
    </row>
    <row r="53" spans="1:16" ht="91.5" customHeight="1" x14ac:dyDescent="0.2">
      <c r="A53" s="232" t="s">
        <v>636</v>
      </c>
      <c r="B53" s="186">
        <v>1702</v>
      </c>
      <c r="C53" s="186" t="s">
        <v>23</v>
      </c>
      <c r="D53" s="187" t="s">
        <v>637</v>
      </c>
      <c r="E53" s="188">
        <f t="shared" si="12"/>
        <v>14228400</v>
      </c>
      <c r="F53" s="188">
        <f>14228400</f>
        <v>14228400</v>
      </c>
      <c r="G53" s="188"/>
      <c r="H53" s="188"/>
      <c r="I53" s="188"/>
      <c r="J53" s="188"/>
      <c r="K53" s="188"/>
      <c r="L53" s="188"/>
      <c r="M53" s="188"/>
      <c r="N53" s="188"/>
      <c r="O53" s="188"/>
      <c r="P53" s="188">
        <f>E53+J53</f>
        <v>14228400</v>
      </c>
    </row>
    <row r="54" spans="1:16" ht="102" customHeight="1" x14ac:dyDescent="0.2">
      <c r="A54" s="186" t="s">
        <v>340</v>
      </c>
      <c r="B54" s="186" t="s">
        <v>341</v>
      </c>
      <c r="C54" s="186" t="s">
        <v>342</v>
      </c>
      <c r="D54" s="187" t="s">
        <v>343</v>
      </c>
      <c r="E54" s="188">
        <v>1168391</v>
      </c>
      <c r="F54" s="188">
        <v>1168391</v>
      </c>
      <c r="G54" s="188">
        <v>434380</v>
      </c>
      <c r="H54" s="188">
        <v>13967</v>
      </c>
      <c r="I54" s="188">
        <v>0</v>
      </c>
      <c r="J54" s="188">
        <v>0</v>
      </c>
      <c r="K54" s="188">
        <v>0</v>
      </c>
      <c r="L54" s="188">
        <v>0</v>
      </c>
      <c r="M54" s="188">
        <v>0</v>
      </c>
      <c r="N54" s="188">
        <v>0</v>
      </c>
      <c r="O54" s="188">
        <v>0</v>
      </c>
      <c r="P54" s="188">
        <f t="shared" si="2"/>
        <v>1168391</v>
      </c>
    </row>
    <row r="55" spans="1:16" ht="75" x14ac:dyDescent="0.2">
      <c r="A55" s="183" t="s">
        <v>24</v>
      </c>
      <c r="B55" s="183" t="s">
        <v>6</v>
      </c>
      <c r="C55" s="183" t="s">
        <v>6</v>
      </c>
      <c r="D55" s="184" t="s">
        <v>93</v>
      </c>
      <c r="E55" s="185">
        <f>E56</f>
        <v>54659030</v>
      </c>
      <c r="F55" s="185">
        <f t="shared" ref="F55:O55" si="13">F56</f>
        <v>54581900</v>
      </c>
      <c r="G55" s="185">
        <f t="shared" si="13"/>
        <v>26527454</v>
      </c>
      <c r="H55" s="185">
        <f t="shared" si="13"/>
        <v>649554</v>
      </c>
      <c r="I55" s="185">
        <f t="shared" si="13"/>
        <v>75000</v>
      </c>
      <c r="J55" s="185">
        <f t="shared" si="13"/>
        <v>17000</v>
      </c>
      <c r="K55" s="185">
        <f t="shared" si="13"/>
        <v>0</v>
      </c>
      <c r="L55" s="185">
        <f t="shared" si="13"/>
        <v>17000</v>
      </c>
      <c r="M55" s="185">
        <f t="shared" si="13"/>
        <v>0</v>
      </c>
      <c r="N55" s="185">
        <f t="shared" si="13"/>
        <v>0</v>
      </c>
      <c r="O55" s="185">
        <f t="shared" si="13"/>
        <v>0</v>
      </c>
      <c r="P55" s="185">
        <f t="shared" si="2"/>
        <v>54676030</v>
      </c>
    </row>
    <row r="56" spans="1:16" ht="71.25" customHeight="1" x14ac:dyDescent="0.2">
      <c r="A56" s="267" t="s">
        <v>25</v>
      </c>
      <c r="B56" s="267" t="s">
        <v>6</v>
      </c>
      <c r="C56" s="267" t="s">
        <v>6</v>
      </c>
      <c r="D56" s="268" t="s">
        <v>93</v>
      </c>
      <c r="E56" s="269">
        <f>E57+E58+E60+E61+E62+E63+E64+E65+E59+E66</f>
        <v>54659030</v>
      </c>
      <c r="F56" s="269">
        <f t="shared" ref="F56:O56" si="14">F57+F58+F60+F61+F62+F63+F64+F65+F59+F66</f>
        <v>54581900</v>
      </c>
      <c r="G56" s="269">
        <f t="shared" si="14"/>
        <v>26527454</v>
      </c>
      <c r="H56" s="269">
        <f t="shared" si="14"/>
        <v>649554</v>
      </c>
      <c r="I56" s="269">
        <f t="shared" si="14"/>
        <v>75000</v>
      </c>
      <c r="J56" s="269">
        <f t="shared" si="14"/>
        <v>17000</v>
      </c>
      <c r="K56" s="269">
        <f t="shared" si="14"/>
        <v>0</v>
      </c>
      <c r="L56" s="269">
        <f t="shared" si="14"/>
        <v>17000</v>
      </c>
      <c r="M56" s="269">
        <f t="shared" si="14"/>
        <v>0</v>
      </c>
      <c r="N56" s="269">
        <f t="shared" si="14"/>
        <v>0</v>
      </c>
      <c r="O56" s="269">
        <f t="shared" si="14"/>
        <v>0</v>
      </c>
      <c r="P56" s="269">
        <f>E56+J56</f>
        <v>54676030</v>
      </c>
    </row>
    <row r="57" spans="1:16" ht="75" x14ac:dyDescent="0.2">
      <c r="A57" s="186" t="s">
        <v>76</v>
      </c>
      <c r="B57" s="186" t="s">
        <v>18</v>
      </c>
      <c r="C57" s="186" t="s">
        <v>8</v>
      </c>
      <c r="D57" s="187" t="s">
        <v>75</v>
      </c>
      <c r="E57" s="188">
        <f>F57+I57</f>
        <v>10519388</v>
      </c>
      <c r="F57" s="188">
        <f>8421525+2062914+34949</f>
        <v>10519388</v>
      </c>
      <c r="G57" s="188">
        <f>7941506+2062914</f>
        <v>10004420</v>
      </c>
      <c r="H57" s="188">
        <v>202301</v>
      </c>
      <c r="I57" s="188">
        <v>0</v>
      </c>
      <c r="J57" s="188">
        <v>0</v>
      </c>
      <c r="K57" s="188">
        <v>0</v>
      </c>
      <c r="L57" s="188">
        <v>0</v>
      </c>
      <c r="M57" s="188">
        <v>0</v>
      </c>
      <c r="N57" s="188">
        <v>0</v>
      </c>
      <c r="O57" s="188">
        <v>0</v>
      </c>
      <c r="P57" s="188">
        <f>E57+J57</f>
        <v>10519388</v>
      </c>
    </row>
    <row r="58" spans="1:16" ht="56.25" x14ac:dyDescent="0.2">
      <c r="A58" s="186" t="s">
        <v>77</v>
      </c>
      <c r="B58" s="186" t="s">
        <v>78</v>
      </c>
      <c r="C58" s="186" t="s">
        <v>20</v>
      </c>
      <c r="D58" s="187" t="s">
        <v>79</v>
      </c>
      <c r="E58" s="188">
        <f>F58+I58</f>
        <v>7697056</v>
      </c>
      <c r="F58" s="188">
        <f>4917141+2813432-108517</f>
        <v>7622056</v>
      </c>
      <c r="G58" s="188">
        <f>4196845+2813432</f>
        <v>7010277</v>
      </c>
      <c r="H58" s="188">
        <v>344006</v>
      </c>
      <c r="I58" s="188">
        <v>75000</v>
      </c>
      <c r="J58" s="188">
        <v>0</v>
      </c>
      <c r="K58" s="188">
        <f>75000-75000</f>
        <v>0</v>
      </c>
      <c r="L58" s="188">
        <v>0</v>
      </c>
      <c r="M58" s="188">
        <v>0</v>
      </c>
      <c r="N58" s="188">
        <v>0</v>
      </c>
      <c r="O58" s="188">
        <f>75000-75000</f>
        <v>0</v>
      </c>
      <c r="P58" s="188">
        <f t="shared" si="2"/>
        <v>7697056</v>
      </c>
    </row>
    <row r="59" spans="1:16" ht="37.5" x14ac:dyDescent="0.2">
      <c r="A59" s="232" t="s">
        <v>638</v>
      </c>
      <c r="B59" s="186">
        <v>3032</v>
      </c>
      <c r="C59" s="186">
        <v>1070</v>
      </c>
      <c r="D59" s="187" t="s">
        <v>639</v>
      </c>
      <c r="E59" s="188">
        <f>F59+I59</f>
        <v>2130</v>
      </c>
      <c r="F59" s="188">
        <f>0+2130</f>
        <v>2130</v>
      </c>
      <c r="G59" s="188"/>
      <c r="H59" s="188"/>
      <c r="I59" s="188"/>
      <c r="J59" s="188"/>
      <c r="K59" s="188"/>
      <c r="L59" s="188"/>
      <c r="M59" s="188"/>
      <c r="N59" s="188"/>
      <c r="O59" s="188"/>
      <c r="P59" s="188">
        <f t="shared" si="2"/>
        <v>2130</v>
      </c>
    </row>
    <row r="60" spans="1:16" ht="150" x14ac:dyDescent="0.2">
      <c r="A60" s="186" t="s">
        <v>344</v>
      </c>
      <c r="B60" s="186" t="s">
        <v>345</v>
      </c>
      <c r="C60" s="186" t="s">
        <v>20</v>
      </c>
      <c r="D60" s="187" t="s">
        <v>346</v>
      </c>
      <c r="E60" s="188">
        <v>258600</v>
      </c>
      <c r="F60" s="188">
        <f>258600-2130</f>
        <v>256470</v>
      </c>
      <c r="G60" s="188">
        <v>0</v>
      </c>
      <c r="H60" s="188">
        <v>0</v>
      </c>
      <c r="I60" s="188">
        <v>0</v>
      </c>
      <c r="J60" s="188">
        <v>0</v>
      </c>
      <c r="K60" s="188">
        <v>0</v>
      </c>
      <c r="L60" s="188">
        <v>0</v>
      </c>
      <c r="M60" s="188">
        <v>0</v>
      </c>
      <c r="N60" s="188">
        <v>0</v>
      </c>
      <c r="O60" s="188">
        <v>0</v>
      </c>
      <c r="P60" s="188">
        <f t="shared" si="2"/>
        <v>258600</v>
      </c>
    </row>
    <row r="61" spans="1:16" ht="93.75" x14ac:dyDescent="0.2">
      <c r="A61" s="186" t="s">
        <v>115</v>
      </c>
      <c r="B61" s="186" t="s">
        <v>347</v>
      </c>
      <c r="C61" s="186" t="s">
        <v>348</v>
      </c>
      <c r="D61" s="187" t="s">
        <v>116</v>
      </c>
      <c r="E61" s="188">
        <f>F61+I61</f>
        <v>9452264</v>
      </c>
      <c r="F61" s="188">
        <f>6465508+2982336+4420</f>
        <v>9452264</v>
      </c>
      <c r="G61" s="188">
        <f>6130101+2982336</f>
        <v>9112437</v>
      </c>
      <c r="H61" s="188">
        <v>103247</v>
      </c>
      <c r="I61" s="188">
        <v>0</v>
      </c>
      <c r="J61" s="188">
        <v>17000</v>
      </c>
      <c r="K61" s="188">
        <v>0</v>
      </c>
      <c r="L61" s="188">
        <v>17000</v>
      </c>
      <c r="M61" s="188">
        <v>0</v>
      </c>
      <c r="N61" s="188">
        <v>0</v>
      </c>
      <c r="O61" s="188">
        <v>0</v>
      </c>
      <c r="P61" s="188">
        <f t="shared" si="2"/>
        <v>9469264</v>
      </c>
    </row>
    <row r="62" spans="1:16" ht="56.25" x14ac:dyDescent="0.2">
      <c r="A62" s="186" t="s">
        <v>349</v>
      </c>
      <c r="B62" s="186" t="s">
        <v>350</v>
      </c>
      <c r="C62" s="186" t="s">
        <v>348</v>
      </c>
      <c r="D62" s="187" t="s">
        <v>674</v>
      </c>
      <c r="E62" s="188">
        <v>25982962</v>
      </c>
      <c r="F62" s="188">
        <v>25982962</v>
      </c>
      <c r="G62" s="188">
        <v>0</v>
      </c>
      <c r="H62" s="188">
        <v>0</v>
      </c>
      <c r="I62" s="188">
        <v>0</v>
      </c>
      <c r="J62" s="188">
        <v>0</v>
      </c>
      <c r="K62" s="188">
        <v>0</v>
      </c>
      <c r="L62" s="188">
        <v>0</v>
      </c>
      <c r="M62" s="188">
        <v>0</v>
      </c>
      <c r="N62" s="188">
        <v>0</v>
      </c>
      <c r="O62" s="188">
        <v>0</v>
      </c>
      <c r="P62" s="188">
        <f t="shared" si="2"/>
        <v>25982962</v>
      </c>
    </row>
    <row r="63" spans="1:16" ht="78" customHeight="1" x14ac:dyDescent="0.2">
      <c r="A63" s="232" t="s">
        <v>542</v>
      </c>
      <c r="B63" s="186">
        <v>3050</v>
      </c>
      <c r="C63" s="186">
        <v>1070</v>
      </c>
      <c r="D63" s="187" t="s">
        <v>529</v>
      </c>
      <c r="E63" s="188">
        <v>148318</v>
      </c>
      <c r="F63" s="188">
        <v>148318</v>
      </c>
      <c r="G63" s="188"/>
      <c r="H63" s="188"/>
      <c r="I63" s="188"/>
      <c r="J63" s="188"/>
      <c r="K63" s="188"/>
      <c r="L63" s="188"/>
      <c r="M63" s="188"/>
      <c r="N63" s="188"/>
      <c r="O63" s="188"/>
      <c r="P63" s="188">
        <f>E63+J63</f>
        <v>148318</v>
      </c>
    </row>
    <row r="64" spans="1:16" ht="68.25" customHeight="1" x14ac:dyDescent="0.2">
      <c r="A64" s="253" t="s">
        <v>530</v>
      </c>
      <c r="B64" s="254" t="s">
        <v>531</v>
      </c>
      <c r="C64" s="255">
        <v>1030</v>
      </c>
      <c r="D64" s="256" t="s">
        <v>532</v>
      </c>
      <c r="E64" s="188">
        <v>178853</v>
      </c>
      <c r="F64" s="188">
        <v>178853</v>
      </c>
      <c r="G64" s="188"/>
      <c r="H64" s="188"/>
      <c r="I64" s="188"/>
      <c r="J64" s="188"/>
      <c r="K64" s="188"/>
      <c r="L64" s="188"/>
      <c r="M64" s="188"/>
      <c r="N64" s="188"/>
      <c r="O64" s="188"/>
      <c r="P64" s="188">
        <f>E64+J64</f>
        <v>178853</v>
      </c>
    </row>
    <row r="65" spans="1:16" ht="106.5" customHeight="1" x14ac:dyDescent="0.2">
      <c r="A65" s="253" t="s">
        <v>533</v>
      </c>
      <c r="B65" s="254" t="s">
        <v>534</v>
      </c>
      <c r="C65" s="254" t="s">
        <v>20</v>
      </c>
      <c r="D65" s="257" t="s">
        <v>535</v>
      </c>
      <c r="E65" s="188">
        <v>19139</v>
      </c>
      <c r="F65" s="188">
        <v>19139</v>
      </c>
      <c r="G65" s="188"/>
      <c r="H65" s="188"/>
      <c r="I65" s="188"/>
      <c r="J65" s="188"/>
      <c r="K65" s="188"/>
      <c r="L65" s="188"/>
      <c r="M65" s="188"/>
      <c r="N65" s="188"/>
      <c r="O65" s="188"/>
      <c r="P65" s="188">
        <f>E65+J65</f>
        <v>19139</v>
      </c>
    </row>
    <row r="66" spans="1:16" ht="106.5" customHeight="1" x14ac:dyDescent="0.2">
      <c r="A66" s="253" t="s">
        <v>640</v>
      </c>
      <c r="B66" s="254" t="s">
        <v>641</v>
      </c>
      <c r="C66" s="255">
        <v>1030</v>
      </c>
      <c r="D66" s="257" t="s">
        <v>642</v>
      </c>
      <c r="E66" s="188">
        <f>F66+I66</f>
        <v>400320</v>
      </c>
      <c r="F66" s="188">
        <f>0+400320</f>
        <v>400320</v>
      </c>
      <c r="G66" s="188">
        <v>400320</v>
      </c>
      <c r="H66" s="188"/>
      <c r="I66" s="188"/>
      <c r="J66" s="188"/>
      <c r="K66" s="188"/>
      <c r="L66" s="188"/>
      <c r="M66" s="188"/>
      <c r="N66" s="188"/>
      <c r="O66" s="188"/>
      <c r="P66" s="188">
        <f>E66+J66</f>
        <v>400320</v>
      </c>
    </row>
    <row r="67" spans="1:16" ht="75" x14ac:dyDescent="0.2">
      <c r="A67" s="183" t="s">
        <v>26</v>
      </c>
      <c r="B67" s="183"/>
      <c r="C67" s="183" t="s">
        <v>6</v>
      </c>
      <c r="D67" s="184" t="s">
        <v>351</v>
      </c>
      <c r="E67" s="185">
        <f>E68</f>
        <v>2970953</v>
      </c>
      <c r="F67" s="185">
        <f t="shared" ref="F67:O67" si="15">F68</f>
        <v>2924953</v>
      </c>
      <c r="G67" s="185">
        <f t="shared" si="15"/>
        <v>2746068</v>
      </c>
      <c r="H67" s="185">
        <f t="shared" si="15"/>
        <v>0</v>
      </c>
      <c r="I67" s="185">
        <f t="shared" si="15"/>
        <v>46000</v>
      </c>
      <c r="J67" s="185">
        <f t="shared" si="15"/>
        <v>0</v>
      </c>
      <c r="K67" s="185">
        <f t="shared" si="15"/>
        <v>0</v>
      </c>
      <c r="L67" s="185">
        <f t="shared" si="15"/>
        <v>0</v>
      </c>
      <c r="M67" s="185">
        <f t="shared" si="15"/>
        <v>0</v>
      </c>
      <c r="N67" s="185">
        <f t="shared" si="15"/>
        <v>0</v>
      </c>
      <c r="O67" s="185">
        <f t="shared" si="15"/>
        <v>0</v>
      </c>
      <c r="P67" s="185">
        <f t="shared" si="2"/>
        <v>2970953</v>
      </c>
    </row>
    <row r="68" spans="1:16" ht="71.25" customHeight="1" x14ac:dyDescent="0.2">
      <c r="A68" s="267" t="s">
        <v>27</v>
      </c>
      <c r="B68" s="267" t="s">
        <v>6</v>
      </c>
      <c r="C68" s="267" t="s">
        <v>6</v>
      </c>
      <c r="D68" s="268" t="s">
        <v>351</v>
      </c>
      <c r="E68" s="269">
        <f>E69+E70</f>
        <v>2970953</v>
      </c>
      <c r="F68" s="269">
        <f>F69+F70</f>
        <v>2924953</v>
      </c>
      <c r="G68" s="269">
        <f>2188090+557978</f>
        <v>2746068</v>
      </c>
      <c r="H68" s="269">
        <v>0</v>
      </c>
      <c r="I68" s="269">
        <f>I69</f>
        <v>46000</v>
      </c>
      <c r="J68" s="269">
        <f>K68</f>
        <v>0</v>
      </c>
      <c r="K68" s="269">
        <f>46000-46000</f>
        <v>0</v>
      </c>
      <c r="L68" s="269">
        <v>0</v>
      </c>
      <c r="M68" s="269">
        <v>0</v>
      </c>
      <c r="N68" s="269">
        <v>0</v>
      </c>
      <c r="O68" s="269">
        <f>46000-46000</f>
        <v>0</v>
      </c>
      <c r="P68" s="269">
        <f t="shared" si="2"/>
        <v>2970953</v>
      </c>
    </row>
    <row r="69" spans="1:16" ht="75" x14ac:dyDescent="0.2">
      <c r="A69" s="186" t="s">
        <v>80</v>
      </c>
      <c r="B69" s="186" t="s">
        <v>18</v>
      </c>
      <c r="C69" s="186" t="s">
        <v>8</v>
      </c>
      <c r="D69" s="187" t="s">
        <v>75</v>
      </c>
      <c r="E69" s="188">
        <f>F69+I69</f>
        <v>2870953</v>
      </c>
      <c r="F69" s="188">
        <f>2266975+557978</f>
        <v>2824953</v>
      </c>
      <c r="G69" s="188">
        <f>2188090+557978</f>
        <v>2746068</v>
      </c>
      <c r="H69" s="188">
        <v>0</v>
      </c>
      <c r="I69" s="188">
        <f>46000</f>
        <v>46000</v>
      </c>
      <c r="J69" s="188">
        <v>0</v>
      </c>
      <c r="K69" s="188">
        <v>0</v>
      </c>
      <c r="L69" s="188">
        <v>0</v>
      </c>
      <c r="M69" s="188">
        <v>0</v>
      </c>
      <c r="N69" s="188">
        <v>0</v>
      </c>
      <c r="O69" s="188">
        <v>0</v>
      </c>
      <c r="P69" s="188">
        <f t="shared" si="2"/>
        <v>2870953</v>
      </c>
    </row>
    <row r="70" spans="1:16" ht="37.5" x14ac:dyDescent="0.2">
      <c r="A70" s="186" t="s">
        <v>352</v>
      </c>
      <c r="B70" s="186" t="s">
        <v>353</v>
      </c>
      <c r="C70" s="186" t="s">
        <v>342</v>
      </c>
      <c r="D70" s="187" t="s">
        <v>354</v>
      </c>
      <c r="E70" s="188">
        <v>100000</v>
      </c>
      <c r="F70" s="188">
        <v>100000</v>
      </c>
      <c r="G70" s="188">
        <v>0</v>
      </c>
      <c r="H70" s="188">
        <v>0</v>
      </c>
      <c r="I70" s="188">
        <v>0</v>
      </c>
      <c r="J70" s="188">
        <v>0</v>
      </c>
      <c r="K70" s="188">
        <v>0</v>
      </c>
      <c r="L70" s="188">
        <v>0</v>
      </c>
      <c r="M70" s="188">
        <v>0</v>
      </c>
      <c r="N70" s="188">
        <v>0</v>
      </c>
      <c r="O70" s="188">
        <v>0</v>
      </c>
      <c r="P70" s="188">
        <f t="shared" si="2"/>
        <v>100000</v>
      </c>
    </row>
    <row r="71" spans="1:16" ht="89.25" customHeight="1" x14ac:dyDescent="0.2">
      <c r="A71" s="183" t="s">
        <v>28</v>
      </c>
      <c r="B71" s="183" t="s">
        <v>6</v>
      </c>
      <c r="C71" s="183" t="s">
        <v>6</v>
      </c>
      <c r="D71" s="184" t="s">
        <v>95</v>
      </c>
      <c r="E71" s="185">
        <f>E72</f>
        <v>120132942</v>
      </c>
      <c r="F71" s="185">
        <f t="shared" ref="F71:I71" si="16">F72</f>
        <v>119834862</v>
      </c>
      <c r="G71" s="185">
        <f t="shared" si="16"/>
        <v>63324747</v>
      </c>
      <c r="H71" s="185">
        <f t="shared" si="16"/>
        <v>6576301</v>
      </c>
      <c r="I71" s="185">
        <f t="shared" si="16"/>
        <v>298080</v>
      </c>
      <c r="J71" s="185">
        <f>J72</f>
        <v>1056260</v>
      </c>
      <c r="K71" s="185">
        <f t="shared" ref="K71:O71" si="17">K72</f>
        <v>0</v>
      </c>
      <c r="L71" s="185">
        <f t="shared" si="17"/>
        <v>1056260</v>
      </c>
      <c r="M71" s="185">
        <f t="shared" si="17"/>
        <v>885060</v>
      </c>
      <c r="N71" s="185">
        <f t="shared" si="17"/>
        <v>0</v>
      </c>
      <c r="O71" s="185">
        <f t="shared" si="17"/>
        <v>0</v>
      </c>
      <c r="P71" s="185">
        <f t="shared" si="2"/>
        <v>121189202</v>
      </c>
    </row>
    <row r="72" spans="1:16" ht="75" x14ac:dyDescent="0.2">
      <c r="A72" s="267" t="s">
        <v>29</v>
      </c>
      <c r="B72" s="267" t="s">
        <v>6</v>
      </c>
      <c r="C72" s="267" t="s">
        <v>6</v>
      </c>
      <c r="D72" s="268" t="s">
        <v>95</v>
      </c>
      <c r="E72" s="269">
        <f>E73+E74+E75+E76+E77+E78+E79+E80+E81+E82+E83+E84+E85</f>
        <v>120132942</v>
      </c>
      <c r="F72" s="269">
        <f t="shared" ref="F72:H72" si="18">F73+F74+F75+F76+F77+F78+F79+F80+F81+F82+F83+F84+F85</f>
        <v>119834862</v>
      </c>
      <c r="G72" s="269">
        <f t="shared" si="18"/>
        <v>63324747</v>
      </c>
      <c r="H72" s="269">
        <f t="shared" si="18"/>
        <v>6576301</v>
      </c>
      <c r="I72" s="269">
        <f>I73+I74+I75+I76+I77+I78+I79+I80+I81+I82+I83+I84+I85</f>
        <v>298080</v>
      </c>
      <c r="J72" s="269">
        <f>J73+J74+J75+J76+J77+J78+J79+J80+J81+J82+J83+J84+J85</f>
        <v>1056260</v>
      </c>
      <c r="K72" s="269">
        <f t="shared" ref="K72:O72" si="19">K73+K74+K75+K76+K77+K78+K79+K80+K81+K82+K83+K84+K85</f>
        <v>0</v>
      </c>
      <c r="L72" s="269">
        <f t="shared" si="19"/>
        <v>1056260</v>
      </c>
      <c r="M72" s="269">
        <f t="shared" si="19"/>
        <v>885060</v>
      </c>
      <c r="N72" s="269">
        <f t="shared" si="19"/>
        <v>0</v>
      </c>
      <c r="O72" s="269">
        <f t="shared" si="19"/>
        <v>0</v>
      </c>
      <c r="P72" s="269">
        <f>E72+J72</f>
        <v>121189202</v>
      </c>
    </row>
    <row r="73" spans="1:16" ht="75" x14ac:dyDescent="0.2">
      <c r="A73" s="186" t="s">
        <v>355</v>
      </c>
      <c r="B73" s="186" t="s">
        <v>18</v>
      </c>
      <c r="C73" s="186" t="s">
        <v>8</v>
      </c>
      <c r="D73" s="187" t="s">
        <v>75</v>
      </c>
      <c r="E73" s="188">
        <f>F73+I73</f>
        <v>3842183</v>
      </c>
      <c r="F73" s="188">
        <f>3032371+809812</f>
        <v>3842183</v>
      </c>
      <c r="G73" s="188">
        <f>2975263+809812</f>
        <v>3785075</v>
      </c>
      <c r="H73" s="188">
        <v>0</v>
      </c>
      <c r="I73" s="188">
        <v>0</v>
      </c>
      <c r="J73" s="188">
        <v>0</v>
      </c>
      <c r="K73" s="188">
        <v>0</v>
      </c>
      <c r="L73" s="188">
        <v>0</v>
      </c>
      <c r="M73" s="188">
        <v>0</v>
      </c>
      <c r="N73" s="188">
        <v>0</v>
      </c>
      <c r="O73" s="188">
        <v>0</v>
      </c>
      <c r="P73" s="188">
        <f t="shared" si="2"/>
        <v>3842183</v>
      </c>
    </row>
    <row r="74" spans="1:16" ht="37.5" x14ac:dyDescent="0.2">
      <c r="A74" s="186" t="s">
        <v>356</v>
      </c>
      <c r="B74" s="186" t="s">
        <v>357</v>
      </c>
      <c r="C74" s="186" t="s">
        <v>127</v>
      </c>
      <c r="D74" s="187" t="s">
        <v>117</v>
      </c>
      <c r="E74" s="188">
        <f>F74+I74</f>
        <v>18875672</v>
      </c>
      <c r="F74" s="188">
        <f>15144001+3672405+11984</f>
        <v>18828390</v>
      </c>
      <c r="G74" s="188">
        <f>14439935+3672405</f>
        <v>18112340</v>
      </c>
      <c r="H74" s="188">
        <v>425291</v>
      </c>
      <c r="I74" s="188">
        <f>0+47282</f>
        <v>47282</v>
      </c>
      <c r="J74" s="188">
        <f>L74</f>
        <v>885060</v>
      </c>
      <c r="K74" s="188">
        <f>47282-47282</f>
        <v>0</v>
      </c>
      <c r="L74" s="188">
        <v>885060</v>
      </c>
      <c r="M74" s="188">
        <v>885060</v>
      </c>
      <c r="N74" s="188">
        <v>0</v>
      </c>
      <c r="O74" s="188">
        <f>47282-47282</f>
        <v>0</v>
      </c>
      <c r="P74" s="188">
        <f t="shared" si="2"/>
        <v>19760732</v>
      </c>
    </row>
    <row r="75" spans="1:16" ht="75" x14ac:dyDescent="0.2">
      <c r="A75" s="186" t="s">
        <v>358</v>
      </c>
      <c r="B75" s="186" t="s">
        <v>359</v>
      </c>
      <c r="C75" s="186" t="s">
        <v>342</v>
      </c>
      <c r="D75" s="187" t="s">
        <v>360</v>
      </c>
      <c r="E75" s="188">
        <v>369732</v>
      </c>
      <c r="F75" s="188">
        <v>369732</v>
      </c>
      <c r="G75" s="188">
        <v>0</v>
      </c>
      <c r="H75" s="188">
        <v>0</v>
      </c>
      <c r="I75" s="188">
        <v>0</v>
      </c>
      <c r="J75" s="188">
        <v>0</v>
      </c>
      <c r="K75" s="188">
        <v>0</v>
      </c>
      <c r="L75" s="188">
        <v>0</v>
      </c>
      <c r="M75" s="188">
        <v>0</v>
      </c>
      <c r="N75" s="188">
        <v>0</v>
      </c>
      <c r="O75" s="188">
        <v>0</v>
      </c>
      <c r="P75" s="188">
        <f t="shared" si="2"/>
        <v>369732</v>
      </c>
    </row>
    <row r="76" spans="1:16" ht="31.5" customHeight="1" x14ac:dyDescent="0.2">
      <c r="A76" s="186" t="s">
        <v>30</v>
      </c>
      <c r="B76" s="186" t="s">
        <v>31</v>
      </c>
      <c r="C76" s="186" t="s">
        <v>32</v>
      </c>
      <c r="D76" s="187" t="s">
        <v>33</v>
      </c>
      <c r="E76" s="188">
        <f>F76+I76</f>
        <v>5729705</v>
      </c>
      <c r="F76" s="188">
        <f>5087570+528059+6076</f>
        <v>5621705</v>
      </c>
      <c r="G76" s="188">
        <f>4452429+528059</f>
        <v>4980488</v>
      </c>
      <c r="H76" s="188">
        <v>317493</v>
      </c>
      <c r="I76" s="188">
        <v>108000</v>
      </c>
      <c r="J76" s="188">
        <f>K76</f>
        <v>0</v>
      </c>
      <c r="K76" s="188">
        <f>108000-108000</f>
        <v>0</v>
      </c>
      <c r="L76" s="188">
        <v>0</v>
      </c>
      <c r="M76" s="188">
        <v>0</v>
      </c>
      <c r="N76" s="188">
        <v>0</v>
      </c>
      <c r="O76" s="188">
        <f>108000-108000</f>
        <v>0</v>
      </c>
      <c r="P76" s="188">
        <f t="shared" si="2"/>
        <v>5729705</v>
      </c>
    </row>
    <row r="77" spans="1:16" ht="37.5" x14ac:dyDescent="0.2">
      <c r="A77" s="186" t="s">
        <v>34</v>
      </c>
      <c r="B77" s="186" t="s">
        <v>35</v>
      </c>
      <c r="C77" s="186" t="s">
        <v>32</v>
      </c>
      <c r="D77" s="187" t="s">
        <v>36</v>
      </c>
      <c r="E77" s="188">
        <f>F77+I77</f>
        <v>1511101</v>
      </c>
      <c r="F77" s="188">
        <f>1319968+121922+1712</f>
        <v>1443602</v>
      </c>
      <c r="G77" s="188">
        <f>1097448+121922</f>
        <v>1219370</v>
      </c>
      <c r="H77" s="188">
        <v>108458</v>
      </c>
      <c r="I77" s="188">
        <f>67499</f>
        <v>67499</v>
      </c>
      <c r="J77" s="188">
        <f>K77</f>
        <v>0</v>
      </c>
      <c r="K77" s="188">
        <f>67499-67499</f>
        <v>0</v>
      </c>
      <c r="L77" s="188">
        <v>0</v>
      </c>
      <c r="M77" s="188">
        <v>0</v>
      </c>
      <c r="N77" s="188">
        <v>0</v>
      </c>
      <c r="O77" s="188">
        <f>67499-67499</f>
        <v>0</v>
      </c>
      <c r="P77" s="188">
        <f t="shared" si="2"/>
        <v>1511101</v>
      </c>
    </row>
    <row r="78" spans="1:16" ht="60.75" customHeight="1" x14ac:dyDescent="0.2">
      <c r="A78" s="186" t="s">
        <v>361</v>
      </c>
      <c r="B78" s="186" t="s">
        <v>362</v>
      </c>
      <c r="C78" s="186" t="s">
        <v>128</v>
      </c>
      <c r="D78" s="187" t="s">
        <v>118</v>
      </c>
      <c r="E78" s="188">
        <f>F78+I78</f>
        <v>27649752</v>
      </c>
      <c r="F78" s="188">
        <f>26486366+1101992+10095</f>
        <v>27598453</v>
      </c>
      <c r="G78" s="188">
        <f>19436095+1101992</f>
        <v>20538087</v>
      </c>
      <c r="H78" s="188">
        <f>5040852+9642</f>
        <v>5050494</v>
      </c>
      <c r="I78" s="188">
        <f>0+51299</f>
        <v>51299</v>
      </c>
      <c r="J78" s="188">
        <f>L78</f>
        <v>171200</v>
      </c>
      <c r="K78" s="188">
        <f>51299-51299</f>
        <v>0</v>
      </c>
      <c r="L78" s="188">
        <v>171200</v>
      </c>
      <c r="M78" s="188">
        <v>0</v>
      </c>
      <c r="N78" s="188">
        <v>0</v>
      </c>
      <c r="O78" s="188">
        <f>51299-51299</f>
        <v>0</v>
      </c>
      <c r="P78" s="188">
        <f t="shared" si="2"/>
        <v>27820952</v>
      </c>
    </row>
    <row r="79" spans="1:16" ht="56.25" x14ac:dyDescent="0.2">
      <c r="A79" s="186" t="s">
        <v>363</v>
      </c>
      <c r="B79" s="186" t="s">
        <v>364</v>
      </c>
      <c r="C79" s="186" t="s">
        <v>129</v>
      </c>
      <c r="D79" s="187" t="s">
        <v>119</v>
      </c>
      <c r="E79" s="188">
        <f>F79+I79</f>
        <v>2584066</v>
      </c>
      <c r="F79" s="188">
        <f>2347668+212398</f>
        <v>2560066</v>
      </c>
      <c r="G79" s="188">
        <f>2245363+212398</f>
        <v>2457761</v>
      </c>
      <c r="H79" s="188">
        <v>0</v>
      </c>
      <c r="I79" s="188">
        <f>0+24000</f>
        <v>24000</v>
      </c>
      <c r="J79" s="188">
        <f>24000-24000</f>
        <v>0</v>
      </c>
      <c r="K79" s="188">
        <f>24000-24000</f>
        <v>0</v>
      </c>
      <c r="L79" s="188">
        <v>0</v>
      </c>
      <c r="M79" s="188">
        <v>0</v>
      </c>
      <c r="N79" s="188">
        <v>0</v>
      </c>
      <c r="O79" s="188">
        <f>24000-24000</f>
        <v>0</v>
      </c>
      <c r="P79" s="188">
        <f t="shared" si="2"/>
        <v>2584066</v>
      </c>
    </row>
    <row r="80" spans="1:16" ht="44.25" customHeight="1" x14ac:dyDescent="0.2">
      <c r="A80" s="186" t="s">
        <v>365</v>
      </c>
      <c r="B80" s="186" t="s">
        <v>366</v>
      </c>
      <c r="C80" s="186" t="s">
        <v>129</v>
      </c>
      <c r="D80" s="187" t="s">
        <v>367</v>
      </c>
      <c r="E80" s="188">
        <v>329000</v>
      </c>
      <c r="F80" s="188">
        <v>329000</v>
      </c>
      <c r="G80" s="188">
        <v>0</v>
      </c>
      <c r="H80" s="188">
        <v>0</v>
      </c>
      <c r="I80" s="188">
        <v>0</v>
      </c>
      <c r="J80" s="188">
        <v>0</v>
      </c>
      <c r="K80" s="188">
        <v>0</v>
      </c>
      <c r="L80" s="188">
        <v>0</v>
      </c>
      <c r="M80" s="188">
        <v>0</v>
      </c>
      <c r="N80" s="188">
        <v>0</v>
      </c>
      <c r="O80" s="188">
        <v>0</v>
      </c>
      <c r="P80" s="188">
        <f t="shared" si="2"/>
        <v>329000</v>
      </c>
    </row>
    <row r="81" spans="1:16" ht="56.25" x14ac:dyDescent="0.2">
      <c r="A81" s="186" t="s">
        <v>368</v>
      </c>
      <c r="B81" s="186" t="s">
        <v>369</v>
      </c>
      <c r="C81" s="186" t="s">
        <v>370</v>
      </c>
      <c r="D81" s="187" t="s">
        <v>371</v>
      </c>
      <c r="E81" s="188">
        <v>100000</v>
      </c>
      <c r="F81" s="188">
        <v>100000</v>
      </c>
      <c r="G81" s="188">
        <v>0</v>
      </c>
      <c r="H81" s="188">
        <v>0</v>
      </c>
      <c r="I81" s="188">
        <v>0</v>
      </c>
      <c r="J81" s="188">
        <v>0</v>
      </c>
      <c r="K81" s="188">
        <v>0</v>
      </c>
      <c r="L81" s="188">
        <v>0</v>
      </c>
      <c r="M81" s="188">
        <v>0</v>
      </c>
      <c r="N81" s="188">
        <v>0</v>
      </c>
      <c r="O81" s="188">
        <v>0</v>
      </c>
      <c r="P81" s="188">
        <f t="shared" si="2"/>
        <v>100000</v>
      </c>
    </row>
    <row r="82" spans="1:16" ht="75" x14ac:dyDescent="0.2">
      <c r="A82" s="186" t="s">
        <v>372</v>
      </c>
      <c r="B82" s="186" t="s">
        <v>373</v>
      </c>
      <c r="C82" s="186" t="s">
        <v>370</v>
      </c>
      <c r="D82" s="187" t="s">
        <v>675</v>
      </c>
      <c r="E82" s="188">
        <f>F82+I82</f>
        <v>12786835</v>
      </c>
      <c r="F82" s="188">
        <f>11868093+908750+9992</f>
        <v>12786835</v>
      </c>
      <c r="G82" s="188">
        <f>7014572+908750</f>
        <v>7923322</v>
      </c>
      <c r="H82" s="188">
        <v>559734</v>
      </c>
      <c r="I82" s="188">
        <v>0</v>
      </c>
      <c r="J82" s="188">
        <v>0</v>
      </c>
      <c r="K82" s="188">
        <v>0</v>
      </c>
      <c r="L82" s="188">
        <v>0</v>
      </c>
      <c r="M82" s="188">
        <v>0</v>
      </c>
      <c r="N82" s="188">
        <v>0</v>
      </c>
      <c r="O82" s="188">
        <v>0</v>
      </c>
      <c r="P82" s="188">
        <f t="shared" si="2"/>
        <v>12786835</v>
      </c>
    </row>
    <row r="83" spans="1:16" ht="37.5" x14ac:dyDescent="0.2">
      <c r="A83" s="186" t="s">
        <v>375</v>
      </c>
      <c r="B83" s="186" t="s">
        <v>376</v>
      </c>
      <c r="C83" s="186" t="s">
        <v>370</v>
      </c>
      <c r="D83" s="187" t="s">
        <v>377</v>
      </c>
      <c r="E83" s="188">
        <f>F83+I83</f>
        <v>39476905</v>
      </c>
      <c r="F83" s="188">
        <f>36452533+3024372</f>
        <v>39476905</v>
      </c>
      <c r="G83" s="188">
        <v>0</v>
      </c>
      <c r="H83" s="188">
        <v>0</v>
      </c>
      <c r="I83" s="188">
        <v>0</v>
      </c>
      <c r="J83" s="188">
        <v>0</v>
      </c>
      <c r="K83" s="188">
        <v>0</v>
      </c>
      <c r="L83" s="188">
        <v>0</v>
      </c>
      <c r="M83" s="188">
        <v>0</v>
      </c>
      <c r="N83" s="188">
        <v>0</v>
      </c>
      <c r="O83" s="188">
        <v>0</v>
      </c>
      <c r="P83" s="188">
        <f t="shared" si="2"/>
        <v>39476905</v>
      </c>
    </row>
    <row r="84" spans="1:16" ht="81" customHeight="1" x14ac:dyDescent="0.2">
      <c r="A84" s="186" t="s">
        <v>378</v>
      </c>
      <c r="B84" s="186" t="s">
        <v>379</v>
      </c>
      <c r="C84" s="186" t="s">
        <v>370</v>
      </c>
      <c r="D84" s="187" t="s">
        <v>676</v>
      </c>
      <c r="E84" s="188">
        <f>F84+I84</f>
        <v>6244141</v>
      </c>
      <c r="F84" s="188">
        <f>5828440+411410+4291</f>
        <v>6244141</v>
      </c>
      <c r="G84" s="188">
        <f>3896894+411410</f>
        <v>4308304</v>
      </c>
      <c r="H84" s="188">
        <v>114831</v>
      </c>
      <c r="I84" s="188">
        <v>0</v>
      </c>
      <c r="J84" s="188">
        <v>0</v>
      </c>
      <c r="K84" s="188">
        <v>0</v>
      </c>
      <c r="L84" s="188">
        <v>0</v>
      </c>
      <c r="M84" s="188">
        <v>0</v>
      </c>
      <c r="N84" s="188">
        <v>0</v>
      </c>
      <c r="O84" s="188">
        <v>0</v>
      </c>
      <c r="P84" s="188">
        <f t="shared" si="2"/>
        <v>6244141</v>
      </c>
    </row>
    <row r="85" spans="1:16" ht="75" x14ac:dyDescent="0.2">
      <c r="A85" s="186" t="s">
        <v>380</v>
      </c>
      <c r="B85" s="186" t="s">
        <v>381</v>
      </c>
      <c r="C85" s="186" t="s">
        <v>370</v>
      </c>
      <c r="D85" s="187" t="s">
        <v>382</v>
      </c>
      <c r="E85" s="188">
        <f>F85+I85</f>
        <v>633850</v>
      </c>
      <c r="F85" s="188">
        <f>678000-44150</f>
        <v>633850</v>
      </c>
      <c r="G85" s="188">
        <v>0</v>
      </c>
      <c r="H85" s="188">
        <v>0</v>
      </c>
      <c r="I85" s="188">
        <v>0</v>
      </c>
      <c r="J85" s="188">
        <v>0</v>
      </c>
      <c r="K85" s="188">
        <v>0</v>
      </c>
      <c r="L85" s="188">
        <v>0</v>
      </c>
      <c r="M85" s="188">
        <v>0</v>
      </c>
      <c r="N85" s="188">
        <v>0</v>
      </c>
      <c r="O85" s="188">
        <v>0</v>
      </c>
      <c r="P85" s="188">
        <f t="shared" si="2"/>
        <v>633850</v>
      </c>
    </row>
    <row r="86" spans="1:16" ht="93.75" x14ac:dyDescent="0.2">
      <c r="A86" s="183" t="s">
        <v>37</v>
      </c>
      <c r="B86" s="183" t="s">
        <v>6</v>
      </c>
      <c r="C86" s="183" t="s">
        <v>6</v>
      </c>
      <c r="D86" s="184" t="s">
        <v>150</v>
      </c>
      <c r="E86" s="185">
        <f>E87</f>
        <v>72704748</v>
      </c>
      <c r="F86" s="185">
        <f t="shared" ref="F86:O86" si="20">F87</f>
        <v>71944559</v>
      </c>
      <c r="G86" s="185">
        <f t="shared" si="20"/>
        <v>4928540</v>
      </c>
      <c r="H86" s="185">
        <f t="shared" si="20"/>
        <v>327927</v>
      </c>
      <c r="I86" s="185">
        <f t="shared" si="20"/>
        <v>760189</v>
      </c>
      <c r="J86" s="185">
        <f t="shared" si="20"/>
        <v>5208912</v>
      </c>
      <c r="K86" s="185">
        <f t="shared" si="20"/>
        <v>4765512</v>
      </c>
      <c r="L86" s="185">
        <f t="shared" si="20"/>
        <v>443400</v>
      </c>
      <c r="M86" s="185">
        <f t="shared" si="20"/>
        <v>0</v>
      </c>
      <c r="N86" s="185">
        <f t="shared" si="20"/>
        <v>0</v>
      </c>
      <c r="O86" s="185">
        <f t="shared" si="20"/>
        <v>4765512</v>
      </c>
      <c r="P86" s="185">
        <f>E86+J86</f>
        <v>77913660</v>
      </c>
    </row>
    <row r="87" spans="1:16" ht="87" customHeight="1" x14ac:dyDescent="0.2">
      <c r="A87" s="267" t="s">
        <v>38</v>
      </c>
      <c r="B87" s="267" t="s">
        <v>6</v>
      </c>
      <c r="C87" s="267" t="s">
        <v>6</v>
      </c>
      <c r="D87" s="268" t="s">
        <v>150</v>
      </c>
      <c r="E87" s="269">
        <f>E88+E89+E90+E91+E93+E94+E92+E95+E96</f>
        <v>72704748</v>
      </c>
      <c r="F87" s="269">
        <f>F88+F89+F90+F91+F93+F94+F92+F95+F96</f>
        <v>71944559</v>
      </c>
      <c r="G87" s="269">
        <f t="shared" ref="G87:O87" si="21">G88+G89+G90+G91+G93+G94+G92+G95+G96</f>
        <v>4928540</v>
      </c>
      <c r="H87" s="269">
        <f t="shared" si="21"/>
        <v>327927</v>
      </c>
      <c r="I87" s="269">
        <f t="shared" si="21"/>
        <v>760189</v>
      </c>
      <c r="J87" s="269">
        <f t="shared" si="21"/>
        <v>5208912</v>
      </c>
      <c r="K87" s="269">
        <f t="shared" si="21"/>
        <v>4765512</v>
      </c>
      <c r="L87" s="269">
        <f t="shared" si="21"/>
        <v>443400</v>
      </c>
      <c r="M87" s="269">
        <f t="shared" si="21"/>
        <v>0</v>
      </c>
      <c r="N87" s="269">
        <f t="shared" si="21"/>
        <v>0</v>
      </c>
      <c r="O87" s="269">
        <f t="shared" si="21"/>
        <v>4765512</v>
      </c>
      <c r="P87" s="269">
        <f>E87+J87</f>
        <v>77913660</v>
      </c>
    </row>
    <row r="88" spans="1:16" ht="75" x14ac:dyDescent="0.2">
      <c r="A88" s="186" t="s">
        <v>120</v>
      </c>
      <c r="B88" s="186" t="s">
        <v>18</v>
      </c>
      <c r="C88" s="186" t="s">
        <v>8</v>
      </c>
      <c r="D88" s="187" t="s">
        <v>75</v>
      </c>
      <c r="E88" s="188">
        <f>F88+I88</f>
        <v>5048128</v>
      </c>
      <c r="F88" s="188">
        <f>4605957+416671</f>
        <v>5022628</v>
      </c>
      <c r="G88" s="188">
        <f>4511869+416671</f>
        <v>4928540</v>
      </c>
      <c r="H88" s="188">
        <v>0</v>
      </c>
      <c r="I88" s="188">
        <f>0+25500</f>
        <v>25500</v>
      </c>
      <c r="J88" s="188">
        <f>K88</f>
        <v>0</v>
      </c>
      <c r="K88" s="188">
        <f>25500-25500</f>
        <v>0</v>
      </c>
      <c r="L88" s="188">
        <v>0</v>
      </c>
      <c r="M88" s="188">
        <v>0</v>
      </c>
      <c r="N88" s="188">
        <v>0</v>
      </c>
      <c r="O88" s="188">
        <f>K88</f>
        <v>0</v>
      </c>
      <c r="P88" s="188">
        <f t="shared" si="2"/>
        <v>5048128</v>
      </c>
    </row>
    <row r="89" spans="1:16" ht="37.5" x14ac:dyDescent="0.2">
      <c r="A89" s="186" t="s">
        <v>383</v>
      </c>
      <c r="B89" s="186" t="s">
        <v>384</v>
      </c>
      <c r="C89" s="186" t="s">
        <v>385</v>
      </c>
      <c r="D89" s="187" t="s">
        <v>386</v>
      </c>
      <c r="E89" s="188">
        <v>10550</v>
      </c>
      <c r="F89" s="188">
        <v>10550</v>
      </c>
      <c r="G89" s="188">
        <v>0</v>
      </c>
      <c r="H89" s="188">
        <v>0</v>
      </c>
      <c r="I89" s="188">
        <v>0</v>
      </c>
      <c r="J89" s="188">
        <v>0</v>
      </c>
      <c r="K89" s="188">
        <v>0</v>
      </c>
      <c r="L89" s="188">
        <v>0</v>
      </c>
      <c r="M89" s="188">
        <v>0</v>
      </c>
      <c r="N89" s="188">
        <v>0</v>
      </c>
      <c r="O89" s="188">
        <v>0</v>
      </c>
      <c r="P89" s="188">
        <f t="shared" si="2"/>
        <v>10550</v>
      </c>
    </row>
    <row r="90" spans="1:16" ht="56.25" x14ac:dyDescent="0.2">
      <c r="A90" s="186" t="s">
        <v>387</v>
      </c>
      <c r="B90" s="186" t="s">
        <v>388</v>
      </c>
      <c r="C90" s="186" t="s">
        <v>14</v>
      </c>
      <c r="D90" s="187" t="s">
        <v>389</v>
      </c>
      <c r="E90" s="188">
        <f>F90+I90</f>
        <v>1627245</v>
      </c>
      <c r="F90" s="188">
        <f>1526996+100249</f>
        <v>1627245</v>
      </c>
      <c r="G90" s="188">
        <v>0</v>
      </c>
      <c r="H90" s="188">
        <v>0</v>
      </c>
      <c r="I90" s="188">
        <v>0</v>
      </c>
      <c r="J90" s="188">
        <v>0</v>
      </c>
      <c r="K90" s="188">
        <v>0</v>
      </c>
      <c r="L90" s="188">
        <v>0</v>
      </c>
      <c r="M90" s="188">
        <v>0</v>
      </c>
      <c r="N90" s="188">
        <v>0</v>
      </c>
      <c r="O90" s="188">
        <v>0</v>
      </c>
      <c r="P90" s="188">
        <f t="shared" ref="P90:P96" si="22">E90+J90</f>
        <v>1627245</v>
      </c>
    </row>
    <row r="91" spans="1:16" ht="37.5" x14ac:dyDescent="0.2">
      <c r="A91" s="186" t="s">
        <v>39</v>
      </c>
      <c r="B91" s="186" t="s">
        <v>13</v>
      </c>
      <c r="C91" s="186" t="s">
        <v>14</v>
      </c>
      <c r="D91" s="187" t="s">
        <v>15</v>
      </c>
      <c r="E91" s="188">
        <f>F91+I91</f>
        <v>61242816</v>
      </c>
      <c r="F91" s="188">
        <f>53131632+7200664+175831</f>
        <v>60508127</v>
      </c>
      <c r="G91" s="188">
        <v>0</v>
      </c>
      <c r="H91" s="188">
        <v>0</v>
      </c>
      <c r="I91" s="188">
        <f>734689</f>
        <v>734689</v>
      </c>
      <c r="J91" s="188">
        <f>K91</f>
        <v>0</v>
      </c>
      <c r="K91" s="188">
        <f>734689-734689</f>
        <v>0</v>
      </c>
      <c r="L91" s="188">
        <v>0</v>
      </c>
      <c r="M91" s="188">
        <v>0</v>
      </c>
      <c r="N91" s="188">
        <v>0</v>
      </c>
      <c r="O91" s="188">
        <f>K91</f>
        <v>0</v>
      </c>
      <c r="P91" s="188">
        <f t="shared" si="22"/>
        <v>61242816</v>
      </c>
    </row>
    <row r="92" spans="1:16" ht="112.5" x14ac:dyDescent="0.2">
      <c r="A92" s="186">
        <v>1216091</v>
      </c>
      <c r="B92" s="186">
        <v>6091</v>
      </c>
      <c r="C92" s="186" t="s">
        <v>14</v>
      </c>
      <c r="D92" s="187" t="s">
        <v>561</v>
      </c>
      <c r="E92" s="188"/>
      <c r="F92" s="188"/>
      <c r="G92" s="188"/>
      <c r="H92" s="188"/>
      <c r="I92" s="188"/>
      <c r="J92" s="188">
        <f>L92+O92</f>
        <v>4765512</v>
      </c>
      <c r="K92" s="188">
        <f>4264354+501158</f>
        <v>4765512</v>
      </c>
      <c r="L92" s="188">
        <v>0</v>
      </c>
      <c r="M92" s="188">
        <v>0</v>
      </c>
      <c r="N92" s="188">
        <v>0</v>
      </c>
      <c r="O92" s="188">
        <f>K92</f>
        <v>4765512</v>
      </c>
      <c r="P92" s="188">
        <f t="shared" si="22"/>
        <v>4765512</v>
      </c>
    </row>
    <row r="93" spans="1:16" ht="75" x14ac:dyDescent="0.2">
      <c r="A93" s="186" t="s">
        <v>390</v>
      </c>
      <c r="B93" s="186" t="s">
        <v>40</v>
      </c>
      <c r="C93" s="186" t="s">
        <v>41</v>
      </c>
      <c r="D93" s="187" t="s">
        <v>42</v>
      </c>
      <c r="E93" s="188">
        <f>F93+I93</f>
        <v>4000982</v>
      </c>
      <c r="F93" s="188">
        <f>2982420+198562+66000+754000</f>
        <v>4000982</v>
      </c>
      <c r="G93" s="188">
        <v>0</v>
      </c>
      <c r="H93" s="188">
        <v>0</v>
      </c>
      <c r="I93" s="188">
        <v>0</v>
      </c>
      <c r="J93" s="188">
        <v>0</v>
      </c>
      <c r="K93" s="188">
        <v>0</v>
      </c>
      <c r="L93" s="188">
        <v>0</v>
      </c>
      <c r="M93" s="188">
        <v>0</v>
      </c>
      <c r="N93" s="188">
        <v>0</v>
      </c>
      <c r="O93" s="188">
        <v>0</v>
      </c>
      <c r="P93" s="188">
        <f t="shared" si="22"/>
        <v>4000982</v>
      </c>
    </row>
    <row r="94" spans="1:16" ht="56.25" x14ac:dyDescent="0.2">
      <c r="A94" s="186" t="s">
        <v>391</v>
      </c>
      <c r="B94" s="186" t="s">
        <v>392</v>
      </c>
      <c r="C94" s="186" t="s">
        <v>393</v>
      </c>
      <c r="D94" s="187" t="s">
        <v>394</v>
      </c>
      <c r="E94" s="188">
        <f>327927+415100</f>
        <v>743027</v>
      </c>
      <c r="F94" s="188">
        <f>327927+415100</f>
        <v>743027</v>
      </c>
      <c r="G94" s="188">
        <v>0</v>
      </c>
      <c r="H94" s="188">
        <v>327927</v>
      </c>
      <c r="I94" s="188">
        <v>0</v>
      </c>
      <c r="J94" s="188">
        <v>0</v>
      </c>
      <c r="K94" s="188">
        <v>0</v>
      </c>
      <c r="L94" s="188">
        <v>0</v>
      </c>
      <c r="M94" s="188">
        <v>0</v>
      </c>
      <c r="N94" s="188">
        <v>0</v>
      </c>
      <c r="O94" s="188">
        <v>0</v>
      </c>
      <c r="P94" s="188">
        <f t="shared" si="22"/>
        <v>743027</v>
      </c>
    </row>
    <row r="95" spans="1:16" ht="51" customHeight="1" x14ac:dyDescent="0.2">
      <c r="A95" s="186">
        <v>1218311</v>
      </c>
      <c r="B95" s="186">
        <v>8311</v>
      </c>
      <c r="C95" s="232" t="s">
        <v>644</v>
      </c>
      <c r="D95" s="187" t="s">
        <v>643</v>
      </c>
      <c r="E95" s="188">
        <f>F95+I95</f>
        <v>32000</v>
      </c>
      <c r="F95" s="188">
        <f>32000</f>
        <v>32000</v>
      </c>
      <c r="G95" s="188"/>
      <c r="H95" s="188"/>
      <c r="I95" s="188"/>
      <c r="J95" s="188"/>
      <c r="K95" s="188"/>
      <c r="L95" s="188"/>
      <c r="M95" s="188"/>
      <c r="N95" s="188"/>
      <c r="O95" s="188"/>
      <c r="P95" s="188">
        <f t="shared" si="22"/>
        <v>32000</v>
      </c>
    </row>
    <row r="96" spans="1:16" ht="37.5" x14ac:dyDescent="0.2">
      <c r="A96" s="186" t="s">
        <v>43</v>
      </c>
      <c r="B96" s="186" t="s">
        <v>395</v>
      </c>
      <c r="C96" s="186" t="s">
        <v>44</v>
      </c>
      <c r="D96" s="187" t="s">
        <v>45</v>
      </c>
      <c r="E96" s="188">
        <v>0</v>
      </c>
      <c r="F96" s="188">
        <v>0</v>
      </c>
      <c r="G96" s="188">
        <v>0</v>
      </c>
      <c r="H96" s="188">
        <v>0</v>
      </c>
      <c r="I96" s="188">
        <v>0</v>
      </c>
      <c r="J96" s="188">
        <v>443400</v>
      </c>
      <c r="K96" s="188">
        <v>0</v>
      </c>
      <c r="L96" s="188">
        <v>443400</v>
      </c>
      <c r="M96" s="188">
        <v>0</v>
      </c>
      <c r="N96" s="188">
        <v>0</v>
      </c>
      <c r="O96" s="188">
        <v>0</v>
      </c>
      <c r="P96" s="188">
        <f t="shared" si="22"/>
        <v>443400</v>
      </c>
    </row>
    <row r="97" spans="1:16" ht="85.5" customHeight="1" x14ac:dyDescent="0.2">
      <c r="A97" s="183" t="s">
        <v>46</v>
      </c>
      <c r="B97" s="183" t="s">
        <v>6</v>
      </c>
      <c r="C97" s="183" t="s">
        <v>6</v>
      </c>
      <c r="D97" s="184" t="s">
        <v>396</v>
      </c>
      <c r="E97" s="185">
        <v>3609777</v>
      </c>
      <c r="F97" s="185">
        <v>3609777</v>
      </c>
      <c r="G97" s="185">
        <v>3328222</v>
      </c>
      <c r="H97" s="185">
        <v>118663</v>
      </c>
      <c r="I97" s="185">
        <v>0</v>
      </c>
      <c r="J97" s="185">
        <f>J98</f>
        <v>33763323</v>
      </c>
      <c r="K97" s="185">
        <f t="shared" ref="K97:O97" si="23">K98</f>
        <v>33763323</v>
      </c>
      <c r="L97" s="185">
        <f t="shared" si="23"/>
        <v>0</v>
      </c>
      <c r="M97" s="185">
        <f t="shared" si="23"/>
        <v>0</v>
      </c>
      <c r="N97" s="185">
        <f t="shared" si="23"/>
        <v>0</v>
      </c>
      <c r="O97" s="185">
        <f t="shared" si="23"/>
        <v>33763323</v>
      </c>
      <c r="P97" s="185">
        <f t="shared" si="2"/>
        <v>37373100</v>
      </c>
    </row>
    <row r="98" spans="1:16" ht="85.5" customHeight="1" x14ac:dyDescent="0.2">
      <c r="A98" s="267" t="s">
        <v>47</v>
      </c>
      <c r="B98" s="267" t="s">
        <v>6</v>
      </c>
      <c r="C98" s="267" t="s">
        <v>6</v>
      </c>
      <c r="D98" s="268" t="s">
        <v>396</v>
      </c>
      <c r="E98" s="269">
        <v>3609777</v>
      </c>
      <c r="F98" s="269">
        <v>3609777</v>
      </c>
      <c r="G98" s="269">
        <v>3328222</v>
      </c>
      <c r="H98" s="269">
        <v>118663</v>
      </c>
      <c r="I98" s="269">
        <v>0</v>
      </c>
      <c r="J98" s="269">
        <f>J99+J100+J101+J103+J104+J102</f>
        <v>33763323</v>
      </c>
      <c r="K98" s="269">
        <f>K99+K100+K101+K103+K104+K102</f>
        <v>33763323</v>
      </c>
      <c r="L98" s="269">
        <f t="shared" ref="L98:N98" si="24">L99+L100+L101+L103+L104</f>
        <v>0</v>
      </c>
      <c r="M98" s="269">
        <f t="shared" si="24"/>
        <v>0</v>
      </c>
      <c r="N98" s="269">
        <f t="shared" si="24"/>
        <v>0</v>
      </c>
      <c r="O98" s="269">
        <f>O99+O100+O101+O103+O104+O102</f>
        <v>33763323</v>
      </c>
      <c r="P98" s="269">
        <f t="shared" si="2"/>
        <v>37373100</v>
      </c>
    </row>
    <row r="99" spans="1:16" ht="123" customHeight="1" x14ac:dyDescent="0.2">
      <c r="A99" s="186" t="s">
        <v>130</v>
      </c>
      <c r="B99" s="186" t="s">
        <v>72</v>
      </c>
      <c r="C99" s="186" t="s">
        <v>8</v>
      </c>
      <c r="D99" s="187" t="s">
        <v>73</v>
      </c>
      <c r="E99" s="188">
        <v>0</v>
      </c>
      <c r="F99" s="188">
        <v>0</v>
      </c>
      <c r="G99" s="188">
        <v>0</v>
      </c>
      <c r="H99" s="188">
        <v>0</v>
      </c>
      <c r="I99" s="188">
        <v>0</v>
      </c>
      <c r="J99" s="188">
        <f>K99</f>
        <v>3266000</v>
      </c>
      <c r="K99" s="188">
        <f>5500000-1480000-754000</f>
        <v>3266000</v>
      </c>
      <c r="L99" s="188">
        <v>0</v>
      </c>
      <c r="M99" s="188">
        <v>0</v>
      </c>
      <c r="N99" s="188">
        <v>0</v>
      </c>
      <c r="O99" s="188">
        <f>5500000-1480000-754000</f>
        <v>3266000</v>
      </c>
      <c r="P99" s="188">
        <f t="shared" si="2"/>
        <v>3266000</v>
      </c>
    </row>
    <row r="100" spans="1:16" ht="75" x14ac:dyDescent="0.2">
      <c r="A100" s="186" t="s">
        <v>397</v>
      </c>
      <c r="B100" s="186" t="s">
        <v>18</v>
      </c>
      <c r="C100" s="186" t="s">
        <v>8</v>
      </c>
      <c r="D100" s="187" t="s">
        <v>75</v>
      </c>
      <c r="E100" s="188">
        <v>3609777</v>
      </c>
      <c r="F100" s="188">
        <v>3609777</v>
      </c>
      <c r="G100" s="188">
        <v>3328222</v>
      </c>
      <c r="H100" s="188">
        <v>118663</v>
      </c>
      <c r="I100" s="188">
        <v>0</v>
      </c>
      <c r="J100" s="188">
        <v>0</v>
      </c>
      <c r="K100" s="188">
        <v>0</v>
      </c>
      <c r="L100" s="188">
        <v>0</v>
      </c>
      <c r="M100" s="188">
        <v>0</v>
      </c>
      <c r="N100" s="188">
        <v>0</v>
      </c>
      <c r="O100" s="188">
        <v>0</v>
      </c>
      <c r="P100" s="188">
        <f t="shared" si="2"/>
        <v>3609777</v>
      </c>
    </row>
    <row r="101" spans="1:16" ht="93.75" x14ac:dyDescent="0.2">
      <c r="A101" s="186">
        <v>1511300</v>
      </c>
      <c r="B101" s="186">
        <v>1300</v>
      </c>
      <c r="C101" s="232" t="s">
        <v>23</v>
      </c>
      <c r="D101" s="187" t="s">
        <v>562</v>
      </c>
      <c r="E101" s="188">
        <v>0</v>
      </c>
      <c r="F101" s="188">
        <v>0</v>
      </c>
      <c r="G101" s="188">
        <v>0</v>
      </c>
      <c r="H101" s="188">
        <v>0</v>
      </c>
      <c r="I101" s="188">
        <v>0</v>
      </c>
      <c r="J101" s="188">
        <f>K101</f>
        <v>15081098</v>
      </c>
      <c r="K101" s="188">
        <f>4990761+10000000+90337</f>
        <v>15081098</v>
      </c>
      <c r="L101" s="188">
        <v>0</v>
      </c>
      <c r="M101" s="188">
        <v>0</v>
      </c>
      <c r="N101" s="188">
        <v>0</v>
      </c>
      <c r="O101" s="188">
        <f>K101</f>
        <v>15081098</v>
      </c>
      <c r="P101" s="188">
        <f t="shared" ref="P101:P123" si="25">E101+J101</f>
        <v>15081098</v>
      </c>
    </row>
    <row r="102" spans="1:16" ht="94.5" customHeight="1" x14ac:dyDescent="0.2">
      <c r="A102" s="186">
        <v>1512170</v>
      </c>
      <c r="B102" s="186">
        <v>2170</v>
      </c>
      <c r="C102" s="232" t="s">
        <v>304</v>
      </c>
      <c r="D102" s="187" t="s">
        <v>560</v>
      </c>
      <c r="E102" s="188"/>
      <c r="F102" s="188"/>
      <c r="G102" s="188"/>
      <c r="H102" s="188"/>
      <c r="I102" s="188"/>
      <c r="J102" s="188">
        <f>K102</f>
        <v>4709663</v>
      </c>
      <c r="K102" s="188">
        <f>0+4709663</f>
        <v>4709663</v>
      </c>
      <c r="L102" s="188"/>
      <c r="M102" s="188"/>
      <c r="N102" s="188"/>
      <c r="O102" s="188">
        <f>K102</f>
        <v>4709663</v>
      </c>
      <c r="P102" s="188">
        <f t="shared" si="25"/>
        <v>4709663</v>
      </c>
    </row>
    <row r="103" spans="1:16" ht="112.5" x14ac:dyDescent="0.2">
      <c r="A103" s="186">
        <v>1516091</v>
      </c>
      <c r="B103" s="186">
        <v>6091</v>
      </c>
      <c r="C103" s="232" t="s">
        <v>563</v>
      </c>
      <c r="D103" s="187" t="s">
        <v>561</v>
      </c>
      <c r="E103" s="188">
        <v>0</v>
      </c>
      <c r="F103" s="188">
        <v>0</v>
      </c>
      <c r="G103" s="188">
        <v>0</v>
      </c>
      <c r="H103" s="188">
        <v>0</v>
      </c>
      <c r="I103" s="188">
        <v>0</v>
      </c>
      <c r="J103" s="188">
        <f>K103</f>
        <v>10615428</v>
      </c>
      <c r="K103" s="188">
        <f>31745190-3606782+582673-11518080+970680-10611228+251111-3500000+1886500+224293+565316+101772+3523983</f>
        <v>10615428</v>
      </c>
      <c r="L103" s="188">
        <v>0</v>
      </c>
      <c r="M103" s="188">
        <v>0</v>
      </c>
      <c r="N103" s="188">
        <v>0</v>
      </c>
      <c r="O103" s="188">
        <f>K103</f>
        <v>10615428</v>
      </c>
      <c r="P103" s="188">
        <f t="shared" si="25"/>
        <v>10615428</v>
      </c>
    </row>
    <row r="104" spans="1:16" ht="93.75" x14ac:dyDescent="0.2">
      <c r="A104" s="186">
        <v>1517480</v>
      </c>
      <c r="B104" s="186">
        <v>7480</v>
      </c>
      <c r="C104" s="186" t="s">
        <v>41</v>
      </c>
      <c r="D104" s="187" t="s">
        <v>564</v>
      </c>
      <c r="E104" s="188">
        <v>0</v>
      </c>
      <c r="F104" s="188">
        <v>0</v>
      </c>
      <c r="G104" s="188">
        <v>0</v>
      </c>
      <c r="H104" s="188">
        <v>0</v>
      </c>
      <c r="I104" s="188">
        <v>0</v>
      </c>
      <c r="J104" s="188">
        <f>K104</f>
        <v>91134</v>
      </c>
      <c r="K104" s="188">
        <f>6142657-6142657+91134</f>
        <v>91134</v>
      </c>
      <c r="L104" s="188">
        <v>0</v>
      </c>
      <c r="M104" s="188">
        <v>0</v>
      </c>
      <c r="N104" s="188">
        <v>0</v>
      </c>
      <c r="O104" s="188">
        <f>K104</f>
        <v>91134</v>
      </c>
      <c r="P104" s="188">
        <f t="shared" si="25"/>
        <v>91134</v>
      </c>
    </row>
    <row r="105" spans="1:16" ht="75" x14ac:dyDescent="0.2">
      <c r="A105" s="183" t="s">
        <v>81</v>
      </c>
      <c r="B105" s="183" t="s">
        <v>6</v>
      </c>
      <c r="C105" s="183" t="s">
        <v>6</v>
      </c>
      <c r="D105" s="184" t="s">
        <v>113</v>
      </c>
      <c r="E105" s="185">
        <f>E106</f>
        <v>5828958</v>
      </c>
      <c r="F105" s="185">
        <f t="shared" ref="F105:O105" si="26">F106</f>
        <v>5828958</v>
      </c>
      <c r="G105" s="185">
        <f t="shared" si="26"/>
        <v>5534688</v>
      </c>
      <c r="H105" s="185">
        <f t="shared" si="26"/>
        <v>0</v>
      </c>
      <c r="I105" s="185">
        <f t="shared" si="26"/>
        <v>0</v>
      </c>
      <c r="J105" s="185">
        <f t="shared" si="26"/>
        <v>0</v>
      </c>
      <c r="K105" s="185">
        <f t="shared" si="26"/>
        <v>0</v>
      </c>
      <c r="L105" s="185">
        <f t="shared" si="26"/>
        <v>0</v>
      </c>
      <c r="M105" s="185">
        <f t="shared" si="26"/>
        <v>0</v>
      </c>
      <c r="N105" s="185">
        <f t="shared" si="26"/>
        <v>0</v>
      </c>
      <c r="O105" s="185">
        <f t="shared" si="26"/>
        <v>0</v>
      </c>
      <c r="P105" s="185">
        <f t="shared" si="25"/>
        <v>5828958</v>
      </c>
    </row>
    <row r="106" spans="1:16" ht="85.5" customHeight="1" x14ac:dyDescent="0.2">
      <c r="A106" s="267" t="s">
        <v>82</v>
      </c>
      <c r="B106" s="267" t="s">
        <v>6</v>
      </c>
      <c r="C106" s="267" t="s">
        <v>6</v>
      </c>
      <c r="D106" s="268" t="s">
        <v>113</v>
      </c>
      <c r="E106" s="269">
        <f>E107+E108</f>
        <v>5828958</v>
      </c>
      <c r="F106" s="269">
        <f t="shared" ref="F106:O106" si="27">F107+F108</f>
        <v>5828958</v>
      </c>
      <c r="G106" s="269">
        <f t="shared" si="27"/>
        <v>5534688</v>
      </c>
      <c r="H106" s="269">
        <f t="shared" si="27"/>
        <v>0</v>
      </c>
      <c r="I106" s="269">
        <f t="shared" si="27"/>
        <v>0</v>
      </c>
      <c r="J106" s="269">
        <f t="shared" si="27"/>
        <v>0</v>
      </c>
      <c r="K106" s="269">
        <f t="shared" si="27"/>
        <v>0</v>
      </c>
      <c r="L106" s="269">
        <f t="shared" si="27"/>
        <v>0</v>
      </c>
      <c r="M106" s="269">
        <f t="shared" si="27"/>
        <v>0</v>
      </c>
      <c r="N106" s="269">
        <f t="shared" si="27"/>
        <v>0</v>
      </c>
      <c r="O106" s="269">
        <f t="shared" si="27"/>
        <v>0</v>
      </c>
      <c r="P106" s="269">
        <f t="shared" si="25"/>
        <v>5828958</v>
      </c>
    </row>
    <row r="107" spans="1:16" ht="75" x14ac:dyDescent="0.2">
      <c r="A107" s="186" t="s">
        <v>398</v>
      </c>
      <c r="B107" s="186" t="s">
        <v>18</v>
      </c>
      <c r="C107" s="186" t="s">
        <v>8</v>
      </c>
      <c r="D107" s="187" t="s">
        <v>75</v>
      </c>
      <c r="E107" s="188">
        <f>F107+I107</f>
        <v>5828958</v>
      </c>
      <c r="F107" s="188">
        <f>4778307+1050651</f>
        <v>5828958</v>
      </c>
      <c r="G107" s="188">
        <f>4484037+1050651</f>
        <v>5534688</v>
      </c>
      <c r="H107" s="188">
        <v>0</v>
      </c>
      <c r="I107" s="188">
        <v>0</v>
      </c>
      <c r="J107" s="188">
        <v>0</v>
      </c>
      <c r="K107" s="188">
        <v>0</v>
      </c>
      <c r="L107" s="188">
        <v>0</v>
      </c>
      <c r="M107" s="188">
        <v>0</v>
      </c>
      <c r="N107" s="188">
        <v>0</v>
      </c>
      <c r="O107" s="188">
        <v>0</v>
      </c>
      <c r="P107" s="188">
        <f t="shared" si="25"/>
        <v>5828958</v>
      </c>
    </row>
    <row r="108" spans="1:16" ht="56.25" x14ac:dyDescent="0.2">
      <c r="A108" s="186" t="s">
        <v>102</v>
      </c>
      <c r="B108" s="186" t="s">
        <v>103</v>
      </c>
      <c r="C108" s="186" t="s">
        <v>99</v>
      </c>
      <c r="D108" s="187" t="s">
        <v>101</v>
      </c>
      <c r="E108" s="188">
        <v>0</v>
      </c>
      <c r="F108" s="188">
        <v>0</v>
      </c>
      <c r="G108" s="188">
        <v>0</v>
      </c>
      <c r="H108" s="188">
        <v>0</v>
      </c>
      <c r="I108" s="188">
        <v>0</v>
      </c>
      <c r="J108" s="188">
        <f>K108</f>
        <v>0</v>
      </c>
      <c r="K108" s="188">
        <f>1550000-1550000</f>
        <v>0</v>
      </c>
      <c r="L108" s="188">
        <v>0</v>
      </c>
      <c r="M108" s="188">
        <v>0</v>
      </c>
      <c r="N108" s="188">
        <v>0</v>
      </c>
      <c r="O108" s="188">
        <f>K108</f>
        <v>0</v>
      </c>
      <c r="P108" s="188">
        <f t="shared" si="25"/>
        <v>0</v>
      </c>
    </row>
    <row r="109" spans="1:16" ht="75" x14ac:dyDescent="0.2">
      <c r="A109" s="183" t="s">
        <v>399</v>
      </c>
      <c r="B109" s="183" t="s">
        <v>6</v>
      </c>
      <c r="C109" s="183" t="s">
        <v>6</v>
      </c>
      <c r="D109" s="184" t="s">
        <v>400</v>
      </c>
      <c r="E109" s="185">
        <f>E110</f>
        <v>11843753</v>
      </c>
      <c r="F109" s="185">
        <f t="shared" ref="F109:O109" si="28">F110</f>
        <v>11825003</v>
      </c>
      <c r="G109" s="185">
        <f t="shared" si="28"/>
        <v>5356455</v>
      </c>
      <c r="H109" s="185">
        <f t="shared" si="28"/>
        <v>0</v>
      </c>
      <c r="I109" s="185">
        <f t="shared" si="28"/>
        <v>18750</v>
      </c>
      <c r="J109" s="185">
        <f t="shared" si="28"/>
        <v>0</v>
      </c>
      <c r="K109" s="185">
        <f t="shared" si="28"/>
        <v>0</v>
      </c>
      <c r="L109" s="185">
        <f t="shared" si="28"/>
        <v>0</v>
      </c>
      <c r="M109" s="185">
        <f t="shared" si="28"/>
        <v>0</v>
      </c>
      <c r="N109" s="185">
        <f t="shared" si="28"/>
        <v>0</v>
      </c>
      <c r="O109" s="185">
        <f t="shared" si="28"/>
        <v>0</v>
      </c>
      <c r="P109" s="185">
        <f t="shared" si="25"/>
        <v>11843753</v>
      </c>
    </row>
    <row r="110" spans="1:16" ht="71.25" customHeight="1" x14ac:dyDescent="0.2">
      <c r="A110" s="267" t="s">
        <v>401</v>
      </c>
      <c r="B110" s="267" t="s">
        <v>6</v>
      </c>
      <c r="C110" s="267" t="s">
        <v>6</v>
      </c>
      <c r="D110" s="268" t="s">
        <v>400</v>
      </c>
      <c r="E110" s="269">
        <f>E111+E112+E113</f>
        <v>11843753</v>
      </c>
      <c r="F110" s="269">
        <f t="shared" ref="F110:O110" si="29">F111+F112+F113</f>
        <v>11825003</v>
      </c>
      <c r="G110" s="269">
        <f t="shared" si="29"/>
        <v>5356455</v>
      </c>
      <c r="H110" s="269">
        <f t="shared" si="29"/>
        <v>0</v>
      </c>
      <c r="I110" s="269">
        <f t="shared" si="29"/>
        <v>18750</v>
      </c>
      <c r="J110" s="269">
        <f t="shared" si="29"/>
        <v>0</v>
      </c>
      <c r="K110" s="269">
        <f t="shared" si="29"/>
        <v>0</v>
      </c>
      <c r="L110" s="269">
        <f t="shared" si="29"/>
        <v>0</v>
      </c>
      <c r="M110" s="269">
        <f t="shared" si="29"/>
        <v>0</v>
      </c>
      <c r="N110" s="269">
        <f t="shared" si="29"/>
        <v>0</v>
      </c>
      <c r="O110" s="269">
        <f t="shared" si="29"/>
        <v>0</v>
      </c>
      <c r="P110" s="269">
        <f t="shared" si="25"/>
        <v>11843753</v>
      </c>
    </row>
    <row r="111" spans="1:16" ht="75" x14ac:dyDescent="0.2">
      <c r="A111" s="186" t="s">
        <v>402</v>
      </c>
      <c r="B111" s="186" t="s">
        <v>18</v>
      </c>
      <c r="C111" s="186" t="s">
        <v>8</v>
      </c>
      <c r="D111" s="187" t="s">
        <v>75</v>
      </c>
      <c r="E111" s="188">
        <f>F111+I111</f>
        <v>5551403</v>
      </c>
      <c r="F111" s="188">
        <f>4568884+932519-18750+50000</f>
        <v>5532653</v>
      </c>
      <c r="G111" s="188">
        <f>4423936+932519</f>
        <v>5356455</v>
      </c>
      <c r="H111" s="188">
        <v>0</v>
      </c>
      <c r="I111" s="188">
        <f>0+18750</f>
        <v>18750</v>
      </c>
      <c r="J111" s="188">
        <v>0</v>
      </c>
      <c r="K111" s="188">
        <v>0</v>
      </c>
      <c r="L111" s="188">
        <v>0</v>
      </c>
      <c r="M111" s="188">
        <v>0</v>
      </c>
      <c r="N111" s="188">
        <v>0</v>
      </c>
      <c r="O111" s="188">
        <v>0</v>
      </c>
      <c r="P111" s="188">
        <f t="shared" si="25"/>
        <v>5551403</v>
      </c>
    </row>
    <row r="112" spans="1:16" ht="31.5" customHeight="1" x14ac:dyDescent="0.2">
      <c r="A112" s="186" t="s">
        <v>403</v>
      </c>
      <c r="B112" s="186" t="s">
        <v>404</v>
      </c>
      <c r="C112" s="186" t="s">
        <v>405</v>
      </c>
      <c r="D112" s="187" t="s">
        <v>406</v>
      </c>
      <c r="E112" s="188">
        <f t="shared" ref="E112:E113" si="30">F112+I112</f>
        <v>6021350</v>
      </c>
      <c r="F112" s="188">
        <v>6021350</v>
      </c>
      <c r="G112" s="188">
        <v>0</v>
      </c>
      <c r="H112" s="188">
        <v>0</v>
      </c>
      <c r="I112" s="188">
        <v>0</v>
      </c>
      <c r="J112" s="188">
        <v>0</v>
      </c>
      <c r="K112" s="188">
        <v>0</v>
      </c>
      <c r="L112" s="188">
        <v>0</v>
      </c>
      <c r="M112" s="188">
        <v>0</v>
      </c>
      <c r="N112" s="188">
        <v>0</v>
      </c>
      <c r="O112" s="188">
        <v>0</v>
      </c>
      <c r="P112" s="188">
        <f t="shared" si="25"/>
        <v>6021350</v>
      </c>
    </row>
    <row r="113" spans="1:16" ht="37.5" x14ac:dyDescent="0.2">
      <c r="A113" s="186" t="s">
        <v>407</v>
      </c>
      <c r="B113" s="186" t="s">
        <v>408</v>
      </c>
      <c r="C113" s="186" t="s">
        <v>74</v>
      </c>
      <c r="D113" s="187" t="s">
        <v>409</v>
      </c>
      <c r="E113" s="188">
        <f t="shared" si="30"/>
        <v>271000</v>
      </c>
      <c r="F113" s="188">
        <v>271000</v>
      </c>
      <c r="G113" s="188">
        <v>0</v>
      </c>
      <c r="H113" s="188">
        <v>0</v>
      </c>
      <c r="I113" s="188">
        <v>0</v>
      </c>
      <c r="J113" s="188">
        <v>0</v>
      </c>
      <c r="K113" s="188">
        <v>0</v>
      </c>
      <c r="L113" s="188">
        <v>0</v>
      </c>
      <c r="M113" s="188">
        <v>0</v>
      </c>
      <c r="N113" s="188">
        <v>0</v>
      </c>
      <c r="O113" s="188">
        <v>0</v>
      </c>
      <c r="P113" s="188">
        <f t="shared" si="25"/>
        <v>271000</v>
      </c>
    </row>
    <row r="114" spans="1:16" ht="75" x14ac:dyDescent="0.2">
      <c r="A114" s="183" t="s">
        <v>121</v>
      </c>
      <c r="B114" s="183" t="s">
        <v>6</v>
      </c>
      <c r="C114" s="183" t="s">
        <v>6</v>
      </c>
      <c r="D114" s="184" t="s">
        <v>111</v>
      </c>
      <c r="E114" s="185">
        <f>E115</f>
        <v>5884605</v>
      </c>
      <c r="F114" s="185">
        <f t="shared" ref="F114:O114" si="31">F115</f>
        <v>5814755</v>
      </c>
      <c r="G114" s="185">
        <f t="shared" si="31"/>
        <v>4204063</v>
      </c>
      <c r="H114" s="185">
        <f t="shared" si="31"/>
        <v>423996</v>
      </c>
      <c r="I114" s="185">
        <f t="shared" si="31"/>
        <v>69850</v>
      </c>
      <c r="J114" s="185">
        <f t="shared" si="31"/>
        <v>0</v>
      </c>
      <c r="K114" s="185">
        <f t="shared" si="31"/>
        <v>0</v>
      </c>
      <c r="L114" s="185">
        <f t="shared" si="31"/>
        <v>0</v>
      </c>
      <c r="M114" s="185">
        <f t="shared" si="31"/>
        <v>0</v>
      </c>
      <c r="N114" s="185">
        <f t="shared" si="31"/>
        <v>0</v>
      </c>
      <c r="O114" s="185">
        <f t="shared" si="31"/>
        <v>0</v>
      </c>
      <c r="P114" s="185">
        <f t="shared" si="25"/>
        <v>5884605</v>
      </c>
    </row>
    <row r="115" spans="1:16" ht="78" customHeight="1" x14ac:dyDescent="0.2">
      <c r="A115" s="267" t="s">
        <v>122</v>
      </c>
      <c r="B115" s="267" t="s">
        <v>6</v>
      </c>
      <c r="C115" s="267" t="s">
        <v>6</v>
      </c>
      <c r="D115" s="268" t="s">
        <v>111</v>
      </c>
      <c r="E115" s="269">
        <f>F115+I115</f>
        <v>5884605</v>
      </c>
      <c r="F115" s="269">
        <f>F116+F117+F118</f>
        <v>5814755</v>
      </c>
      <c r="G115" s="269">
        <f t="shared" ref="G115:O115" si="32">G116+G117+G118</f>
        <v>4204063</v>
      </c>
      <c r="H115" s="269">
        <f t="shared" si="32"/>
        <v>423996</v>
      </c>
      <c r="I115" s="269">
        <f>I116+I117+I118</f>
        <v>69850</v>
      </c>
      <c r="J115" s="269">
        <f t="shared" si="32"/>
        <v>0</v>
      </c>
      <c r="K115" s="269">
        <f t="shared" si="32"/>
        <v>0</v>
      </c>
      <c r="L115" s="269">
        <f t="shared" si="32"/>
        <v>0</v>
      </c>
      <c r="M115" s="269">
        <f t="shared" si="32"/>
        <v>0</v>
      </c>
      <c r="N115" s="269">
        <f t="shared" si="32"/>
        <v>0</v>
      </c>
      <c r="O115" s="269">
        <f t="shared" si="32"/>
        <v>0</v>
      </c>
      <c r="P115" s="269">
        <f t="shared" si="25"/>
        <v>5884605</v>
      </c>
    </row>
    <row r="116" spans="1:16" ht="75" x14ac:dyDescent="0.2">
      <c r="A116" s="186" t="s">
        <v>123</v>
      </c>
      <c r="B116" s="186" t="s">
        <v>18</v>
      </c>
      <c r="C116" s="186" t="s">
        <v>8</v>
      </c>
      <c r="D116" s="187" t="s">
        <v>75</v>
      </c>
      <c r="E116" s="188">
        <f>F116+I116</f>
        <v>4462574</v>
      </c>
      <c r="F116" s="188">
        <f>3483198+909526</f>
        <v>4392724</v>
      </c>
      <c r="G116" s="188">
        <f>3294537+909526</f>
        <v>4204063</v>
      </c>
      <c r="H116" s="188">
        <v>0</v>
      </c>
      <c r="I116" s="188">
        <f>0+69850</f>
        <v>69850</v>
      </c>
      <c r="J116" s="188">
        <f>K116</f>
        <v>0</v>
      </c>
      <c r="K116" s="188">
        <f>69850-69850</f>
        <v>0</v>
      </c>
      <c r="L116" s="188">
        <v>0</v>
      </c>
      <c r="M116" s="188">
        <v>0</v>
      </c>
      <c r="N116" s="188">
        <v>0</v>
      </c>
      <c r="O116" s="188">
        <f>K116</f>
        <v>0</v>
      </c>
      <c r="P116" s="188">
        <f t="shared" si="25"/>
        <v>4462574</v>
      </c>
    </row>
    <row r="117" spans="1:16" ht="37.5" x14ac:dyDescent="0.2">
      <c r="A117" s="186" t="s">
        <v>410</v>
      </c>
      <c r="B117" s="186" t="s">
        <v>408</v>
      </c>
      <c r="C117" s="186" t="s">
        <v>74</v>
      </c>
      <c r="D117" s="187" t="s">
        <v>409</v>
      </c>
      <c r="E117" s="188">
        <f t="shared" ref="E117:E118" si="33">F117+I117</f>
        <v>1128531</v>
      </c>
      <c r="F117" s="188">
        <f>1098605+29926</f>
        <v>1128531</v>
      </c>
      <c r="G117" s="188">
        <v>0</v>
      </c>
      <c r="H117" s="188">
        <f>410810+11759+1427</f>
        <v>423996</v>
      </c>
      <c r="I117" s="188">
        <v>0</v>
      </c>
      <c r="J117" s="188">
        <v>0</v>
      </c>
      <c r="K117" s="188">
        <v>0</v>
      </c>
      <c r="L117" s="188">
        <v>0</v>
      </c>
      <c r="M117" s="188">
        <v>0</v>
      </c>
      <c r="N117" s="188">
        <v>0</v>
      </c>
      <c r="O117" s="188">
        <v>0</v>
      </c>
      <c r="P117" s="188">
        <f t="shared" si="25"/>
        <v>1128531</v>
      </c>
    </row>
    <row r="118" spans="1:16" ht="56.25" x14ac:dyDescent="0.2">
      <c r="A118" s="186" t="s">
        <v>411</v>
      </c>
      <c r="B118" s="186" t="s">
        <v>392</v>
      </c>
      <c r="C118" s="186" t="s">
        <v>393</v>
      </c>
      <c r="D118" s="187" t="s">
        <v>394</v>
      </c>
      <c r="E118" s="188">
        <f t="shared" si="33"/>
        <v>293500</v>
      </c>
      <c r="F118" s="188">
        <v>293500</v>
      </c>
      <c r="G118" s="188">
        <v>0</v>
      </c>
      <c r="H118" s="188">
        <v>0</v>
      </c>
      <c r="I118" s="188">
        <v>0</v>
      </c>
      <c r="J118" s="188">
        <v>0</v>
      </c>
      <c r="K118" s="188">
        <v>0</v>
      </c>
      <c r="L118" s="188">
        <v>0</v>
      </c>
      <c r="M118" s="188">
        <v>0</v>
      </c>
      <c r="N118" s="188">
        <v>0</v>
      </c>
      <c r="O118" s="188">
        <v>0</v>
      </c>
      <c r="P118" s="188">
        <f t="shared" si="25"/>
        <v>293500</v>
      </c>
    </row>
    <row r="119" spans="1:16" ht="75" x14ac:dyDescent="0.2">
      <c r="A119" s="183" t="s">
        <v>124</v>
      </c>
      <c r="B119" s="183" t="s">
        <v>6</v>
      </c>
      <c r="C119" s="183" t="s">
        <v>6</v>
      </c>
      <c r="D119" s="184" t="s">
        <v>114</v>
      </c>
      <c r="E119" s="185">
        <f>E120</f>
        <v>65380130</v>
      </c>
      <c r="F119" s="185">
        <f t="shared" ref="F119:O119" si="34">F120</f>
        <v>65238470</v>
      </c>
      <c r="G119" s="185">
        <f t="shared" si="34"/>
        <v>8506777</v>
      </c>
      <c r="H119" s="185">
        <f t="shared" si="34"/>
        <v>0</v>
      </c>
      <c r="I119" s="185">
        <f t="shared" si="34"/>
        <v>141660</v>
      </c>
      <c r="J119" s="185">
        <f t="shared" si="34"/>
        <v>0</v>
      </c>
      <c r="K119" s="185">
        <f t="shared" si="34"/>
        <v>0</v>
      </c>
      <c r="L119" s="185">
        <f t="shared" si="34"/>
        <v>0</v>
      </c>
      <c r="M119" s="185">
        <f t="shared" si="34"/>
        <v>0</v>
      </c>
      <c r="N119" s="185">
        <f t="shared" si="34"/>
        <v>0</v>
      </c>
      <c r="O119" s="185">
        <f t="shared" si="34"/>
        <v>0</v>
      </c>
      <c r="P119" s="185">
        <f t="shared" si="25"/>
        <v>65380130</v>
      </c>
    </row>
    <row r="120" spans="1:16" ht="68.25" customHeight="1" x14ac:dyDescent="0.2">
      <c r="A120" s="267" t="s">
        <v>125</v>
      </c>
      <c r="B120" s="267" t="s">
        <v>6</v>
      </c>
      <c r="C120" s="267" t="s">
        <v>6</v>
      </c>
      <c r="D120" s="268" t="s">
        <v>114</v>
      </c>
      <c r="E120" s="269">
        <f>E121+E122+E123</f>
        <v>65380130</v>
      </c>
      <c r="F120" s="269">
        <f t="shared" ref="F120:O120" si="35">F121+F122+F123</f>
        <v>65238470</v>
      </c>
      <c r="G120" s="269">
        <f t="shared" si="35"/>
        <v>8506777</v>
      </c>
      <c r="H120" s="269">
        <f t="shared" si="35"/>
        <v>0</v>
      </c>
      <c r="I120" s="269">
        <f t="shared" si="35"/>
        <v>141660</v>
      </c>
      <c r="J120" s="269">
        <f t="shared" si="35"/>
        <v>0</v>
      </c>
      <c r="K120" s="269">
        <f t="shared" si="35"/>
        <v>0</v>
      </c>
      <c r="L120" s="269">
        <f t="shared" si="35"/>
        <v>0</v>
      </c>
      <c r="M120" s="269">
        <f t="shared" si="35"/>
        <v>0</v>
      </c>
      <c r="N120" s="269">
        <f t="shared" si="35"/>
        <v>0</v>
      </c>
      <c r="O120" s="269">
        <f t="shared" si="35"/>
        <v>0</v>
      </c>
      <c r="P120" s="269">
        <f t="shared" si="25"/>
        <v>65380130</v>
      </c>
    </row>
    <row r="121" spans="1:16" ht="75" x14ac:dyDescent="0.2">
      <c r="A121" s="186" t="s">
        <v>126</v>
      </c>
      <c r="B121" s="186" t="s">
        <v>18</v>
      </c>
      <c r="C121" s="186" t="s">
        <v>8</v>
      </c>
      <c r="D121" s="187" t="s">
        <v>75</v>
      </c>
      <c r="E121" s="188">
        <f>F121+I121</f>
        <v>8962430</v>
      </c>
      <c r="F121" s="188">
        <f>6939912+1880858</f>
        <v>8820770</v>
      </c>
      <c r="G121" s="188">
        <f>6625919+1880858</f>
        <v>8506777</v>
      </c>
      <c r="H121" s="188">
        <v>0</v>
      </c>
      <c r="I121" s="188">
        <v>141660</v>
      </c>
      <c r="J121" s="188">
        <f>K121</f>
        <v>0</v>
      </c>
      <c r="K121" s="188">
        <f>141660-141660</f>
        <v>0</v>
      </c>
      <c r="L121" s="188">
        <v>0</v>
      </c>
      <c r="M121" s="188">
        <v>0</v>
      </c>
      <c r="N121" s="188">
        <v>0</v>
      </c>
      <c r="O121" s="188">
        <f>K121</f>
        <v>0</v>
      </c>
      <c r="P121" s="188">
        <f t="shared" si="25"/>
        <v>8962430</v>
      </c>
    </row>
    <row r="122" spans="1:16" ht="18.75" x14ac:dyDescent="0.2">
      <c r="A122" s="186" t="s">
        <v>412</v>
      </c>
      <c r="B122" s="186" t="s">
        <v>413</v>
      </c>
      <c r="C122" s="186" t="s">
        <v>296</v>
      </c>
      <c r="D122" s="187" t="s">
        <v>414</v>
      </c>
      <c r="E122" s="188">
        <f>F122</f>
        <v>3584900</v>
      </c>
      <c r="F122" s="188">
        <f>4000000-415100</f>
        <v>3584900</v>
      </c>
      <c r="G122" s="188">
        <v>0</v>
      </c>
      <c r="H122" s="188">
        <v>0</v>
      </c>
      <c r="I122" s="188">
        <v>0</v>
      </c>
      <c r="J122" s="188">
        <v>0</v>
      </c>
      <c r="K122" s="188">
        <v>0</v>
      </c>
      <c r="L122" s="188">
        <v>0</v>
      </c>
      <c r="M122" s="188">
        <v>0</v>
      </c>
      <c r="N122" s="188">
        <v>0</v>
      </c>
      <c r="O122" s="188">
        <v>0</v>
      </c>
      <c r="P122" s="188">
        <f t="shared" si="25"/>
        <v>3584900</v>
      </c>
    </row>
    <row r="123" spans="1:16" ht="18.75" x14ac:dyDescent="0.2">
      <c r="A123" s="186" t="s">
        <v>415</v>
      </c>
      <c r="B123" s="186" t="s">
        <v>416</v>
      </c>
      <c r="C123" s="186" t="s">
        <v>295</v>
      </c>
      <c r="D123" s="187" t="s">
        <v>417</v>
      </c>
      <c r="E123" s="188">
        <v>52832800</v>
      </c>
      <c r="F123" s="188">
        <v>52832800</v>
      </c>
      <c r="G123" s="188">
        <v>0</v>
      </c>
      <c r="H123" s="188">
        <v>0</v>
      </c>
      <c r="I123" s="188">
        <v>0</v>
      </c>
      <c r="J123" s="188">
        <v>0</v>
      </c>
      <c r="K123" s="188">
        <v>0</v>
      </c>
      <c r="L123" s="188">
        <v>0</v>
      </c>
      <c r="M123" s="188">
        <v>0</v>
      </c>
      <c r="N123" s="188">
        <v>0</v>
      </c>
      <c r="O123" s="188">
        <v>0</v>
      </c>
      <c r="P123" s="188">
        <f t="shared" si="25"/>
        <v>52832800</v>
      </c>
    </row>
    <row r="124" spans="1:16" ht="18.75" x14ac:dyDescent="0.2">
      <c r="A124" s="183" t="s">
        <v>256</v>
      </c>
      <c r="B124" s="183" t="s">
        <v>256</v>
      </c>
      <c r="C124" s="183" t="s">
        <v>256</v>
      </c>
      <c r="D124" s="189" t="s">
        <v>48</v>
      </c>
      <c r="E124" s="185">
        <f>F124+I124</f>
        <v>737405488</v>
      </c>
      <c r="F124" s="185">
        <f t="shared" ref="F124:O124" si="36">F24+F38+F55+F67+F71+F86+F97+F105+F109+F114+F119</f>
        <v>734399906</v>
      </c>
      <c r="G124" s="185">
        <f t="shared" si="36"/>
        <v>390608209</v>
      </c>
      <c r="H124" s="185">
        <f t="shared" si="36"/>
        <v>42268326</v>
      </c>
      <c r="I124" s="185">
        <f t="shared" si="36"/>
        <v>3005582</v>
      </c>
      <c r="J124" s="185">
        <f t="shared" si="36"/>
        <v>58594141</v>
      </c>
      <c r="K124" s="185">
        <f t="shared" si="36"/>
        <v>40621141</v>
      </c>
      <c r="L124" s="185">
        <f t="shared" si="36"/>
        <v>17973000</v>
      </c>
      <c r="M124" s="185">
        <f t="shared" si="36"/>
        <v>3343232</v>
      </c>
      <c r="N124" s="185">
        <f t="shared" si="36"/>
        <v>95418</v>
      </c>
      <c r="O124" s="185">
        <f t="shared" si="36"/>
        <v>40621141</v>
      </c>
      <c r="P124" s="185">
        <f>E124+J124</f>
        <v>795999629</v>
      </c>
    </row>
    <row r="126" spans="1:16" ht="15" x14ac:dyDescent="0.25">
      <c r="A126" s="388"/>
      <c r="B126" s="388"/>
      <c r="C126" s="388"/>
      <c r="D126" s="388"/>
      <c r="E126" s="388"/>
      <c r="F126" s="388"/>
      <c r="G126" s="388"/>
      <c r="H126" s="388"/>
      <c r="I126" s="388"/>
      <c r="J126" s="388"/>
      <c r="K126" s="388"/>
      <c r="L126" s="388"/>
      <c r="M126" s="388"/>
      <c r="N126" s="388"/>
      <c r="O126" s="388"/>
      <c r="P126" s="388"/>
    </row>
    <row r="127" spans="1:16" ht="18.75" x14ac:dyDescent="0.3">
      <c r="D127" s="376" t="s">
        <v>106</v>
      </c>
      <c r="E127" s="376"/>
      <c r="F127" s="376"/>
      <c r="G127" s="376"/>
      <c r="H127" s="376"/>
      <c r="I127" s="376"/>
      <c r="J127" s="376"/>
      <c r="K127" s="376"/>
      <c r="L127" s="376"/>
      <c r="M127" s="376"/>
    </row>
  </sheetData>
  <mergeCells count="28">
    <mergeCell ref="D127:M127"/>
    <mergeCell ref="A15:P15"/>
    <mergeCell ref="A16:P16"/>
    <mergeCell ref="A19:A22"/>
    <mergeCell ref="B19:B22"/>
    <mergeCell ref="C19:C22"/>
    <mergeCell ref="D19:D22"/>
    <mergeCell ref="E19:I19"/>
    <mergeCell ref="E20:E22"/>
    <mergeCell ref="F20:F22"/>
    <mergeCell ref="G20:H20"/>
    <mergeCell ref="O20:O22"/>
    <mergeCell ref="P19:P22"/>
    <mergeCell ref="M5:N5"/>
    <mergeCell ref="A126:P126"/>
    <mergeCell ref="G21:G22"/>
    <mergeCell ref="H21:H22"/>
    <mergeCell ref="I20:I22"/>
    <mergeCell ref="J19:O19"/>
    <mergeCell ref="J20:J22"/>
    <mergeCell ref="K20:K22"/>
    <mergeCell ref="L20:L22"/>
    <mergeCell ref="M20:N20"/>
    <mergeCell ref="M21:M22"/>
    <mergeCell ref="N21:N22"/>
    <mergeCell ref="M13:O13"/>
    <mergeCell ref="M9:O9"/>
    <mergeCell ref="M10:O10"/>
  </mergeCells>
  <pageMargins left="0.7" right="0.7" top="0.75" bottom="0.75" header="0.3" footer="0.3"/>
  <pageSetup paperSize="9" scale="47" orientation="landscape" horizontalDpi="300" verticalDpi="300" r:id="rId1"/>
  <rowBreaks count="1" manualBreakCount="1">
    <brk id="9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6"/>
  <sheetViews>
    <sheetView tabSelected="1" view="pageBreakPreview" zoomScaleNormal="100" zoomScaleSheetLayoutView="100" workbookViewId="0">
      <selection activeCell="C70" sqref="C70"/>
    </sheetView>
  </sheetViews>
  <sheetFormatPr defaultRowHeight="12.75" x14ac:dyDescent="0.2"/>
  <cols>
    <col min="1" max="1" width="29.140625" customWidth="1"/>
    <col min="2" max="2" width="28.7109375" customWidth="1"/>
    <col min="3" max="3" width="65.7109375" customWidth="1"/>
    <col min="4" max="4" width="24.5703125" customWidth="1"/>
  </cols>
  <sheetData>
    <row r="1" spans="1:7" ht="18.75" x14ac:dyDescent="0.2">
      <c r="D1" s="353" t="s">
        <v>647</v>
      </c>
    </row>
    <row r="2" spans="1:7" ht="18.75" x14ac:dyDescent="0.2">
      <c r="D2" s="353" t="s">
        <v>612</v>
      </c>
    </row>
    <row r="3" spans="1:7" ht="18.75" x14ac:dyDescent="0.3">
      <c r="D3" s="117" t="s">
        <v>628</v>
      </c>
    </row>
    <row r="4" spans="1:7" ht="18.75" x14ac:dyDescent="0.3">
      <c r="D4" s="117" t="s">
        <v>629</v>
      </c>
    </row>
    <row r="5" spans="1:7" ht="18.75" x14ac:dyDescent="0.2">
      <c r="D5" s="353" t="s">
        <v>648</v>
      </c>
    </row>
    <row r="6" spans="1:7" x14ac:dyDescent="0.2">
      <c r="D6" s="364"/>
    </row>
    <row r="7" spans="1:7" x14ac:dyDescent="0.2">
      <c r="D7" s="364"/>
    </row>
    <row r="8" spans="1:7" ht="18.75" x14ac:dyDescent="0.3">
      <c r="A8" s="190"/>
      <c r="B8" s="190"/>
      <c r="D8" s="354" t="s">
        <v>654</v>
      </c>
    </row>
    <row r="9" spans="1:7" ht="18.75" x14ac:dyDescent="0.25">
      <c r="A9" s="190"/>
      <c r="B9" s="190"/>
      <c r="D9" s="353" t="s">
        <v>104</v>
      </c>
      <c r="E9" s="116"/>
    </row>
    <row r="10" spans="1:7" ht="18.75" x14ac:dyDescent="0.25">
      <c r="A10" s="190"/>
      <c r="B10" s="190"/>
      <c r="D10" s="353" t="s">
        <v>649</v>
      </c>
      <c r="E10" s="19"/>
      <c r="F10" s="19"/>
      <c r="G10" s="19"/>
    </row>
    <row r="11" spans="1:7" ht="18.75" x14ac:dyDescent="0.25">
      <c r="A11" s="190"/>
      <c r="B11" s="190"/>
      <c r="D11" s="353" t="s">
        <v>650</v>
      </c>
      <c r="E11" s="115"/>
    </row>
    <row r="12" spans="1:7" ht="18.75" x14ac:dyDescent="0.3">
      <c r="A12" s="190"/>
      <c r="B12" s="190"/>
      <c r="D12" s="355" t="s">
        <v>651</v>
      </c>
      <c r="E12" s="116"/>
    </row>
    <row r="13" spans="1:7" ht="18.75" x14ac:dyDescent="0.3">
      <c r="A13" s="190"/>
      <c r="B13" s="190"/>
      <c r="D13" s="355" t="s">
        <v>652</v>
      </c>
      <c r="E13" s="116"/>
    </row>
    <row r="14" spans="1:7" ht="18.75" x14ac:dyDescent="0.25">
      <c r="A14" s="190"/>
      <c r="B14" s="190"/>
      <c r="D14" s="353" t="s">
        <v>653</v>
      </c>
    </row>
    <row r="15" spans="1:7" ht="15" x14ac:dyDescent="0.25">
      <c r="A15" s="190"/>
      <c r="B15" s="190"/>
      <c r="C15" s="392"/>
      <c r="D15" s="393"/>
    </row>
    <row r="16" spans="1:7" ht="15" x14ac:dyDescent="0.25">
      <c r="A16" s="190"/>
      <c r="B16" s="190"/>
      <c r="C16" s="192"/>
      <c r="D16" s="190"/>
    </row>
    <row r="17" spans="1:4" ht="18.75" x14ac:dyDescent="0.3">
      <c r="A17" s="394" t="s">
        <v>420</v>
      </c>
      <c r="B17" s="395"/>
      <c r="C17" s="395"/>
      <c r="D17" s="395"/>
    </row>
    <row r="18" spans="1:4" ht="18.75" x14ac:dyDescent="0.3">
      <c r="A18" s="396" t="s">
        <v>70</v>
      </c>
      <c r="B18" s="395"/>
      <c r="C18" s="395"/>
      <c r="D18" s="395"/>
    </row>
    <row r="19" spans="1:4" ht="18.75" x14ac:dyDescent="0.3">
      <c r="A19" s="395" t="s">
        <v>0</v>
      </c>
      <c r="B19" s="395"/>
      <c r="C19" s="395"/>
      <c r="D19" s="395"/>
    </row>
    <row r="20" spans="1:4" ht="18.75" x14ac:dyDescent="0.3">
      <c r="A20" s="191" t="s">
        <v>421</v>
      </c>
      <c r="B20" s="193"/>
      <c r="C20" s="193"/>
      <c r="D20" s="193"/>
    </row>
    <row r="21" spans="1:4" ht="18.75" x14ac:dyDescent="0.3">
      <c r="A21" s="193"/>
      <c r="B21" s="193"/>
      <c r="C21" s="193"/>
      <c r="D21" s="194" t="s">
        <v>1</v>
      </c>
    </row>
    <row r="22" spans="1:4" ht="56.25" x14ac:dyDescent="0.2">
      <c r="A22" s="195" t="s">
        <v>422</v>
      </c>
      <c r="B22" s="399" t="s">
        <v>423</v>
      </c>
      <c r="C22" s="400"/>
      <c r="D22" s="196" t="s">
        <v>158</v>
      </c>
    </row>
    <row r="23" spans="1:4" ht="18.75" x14ac:dyDescent="0.2">
      <c r="A23" s="197">
        <v>1</v>
      </c>
      <c r="B23" s="401">
        <v>2</v>
      </c>
      <c r="C23" s="402"/>
      <c r="D23" s="198">
        <v>3</v>
      </c>
    </row>
    <row r="24" spans="1:4" ht="18.75" x14ac:dyDescent="0.3">
      <c r="A24" s="403" t="s">
        <v>424</v>
      </c>
      <c r="B24" s="404"/>
      <c r="C24" s="404"/>
      <c r="D24" s="404"/>
    </row>
    <row r="25" spans="1:4" ht="50.25" customHeight="1" x14ac:dyDescent="0.2">
      <c r="A25" s="199">
        <v>41020300</v>
      </c>
      <c r="B25" s="413" t="s">
        <v>599</v>
      </c>
      <c r="C25" s="414"/>
      <c r="D25" s="201">
        <v>34024600</v>
      </c>
    </row>
    <row r="26" spans="1:4" ht="18.75" x14ac:dyDescent="0.2">
      <c r="A26" s="202" t="s">
        <v>425</v>
      </c>
      <c r="B26" s="203" t="s">
        <v>426</v>
      </c>
      <c r="C26" s="204"/>
      <c r="D26" s="205">
        <v>34024600</v>
      </c>
    </row>
    <row r="27" spans="1:4" ht="36" customHeight="1" x14ac:dyDescent="0.2">
      <c r="A27" s="363">
        <v>41031100</v>
      </c>
      <c r="B27" s="407" t="s">
        <v>622</v>
      </c>
      <c r="C27" s="408"/>
      <c r="D27" s="235">
        <f>D28</f>
        <v>14228400</v>
      </c>
    </row>
    <row r="28" spans="1:4" ht="18.75" x14ac:dyDescent="0.2">
      <c r="A28" s="202" t="s">
        <v>425</v>
      </c>
      <c r="B28" s="203" t="s">
        <v>426</v>
      </c>
      <c r="C28" s="204"/>
      <c r="D28" s="205">
        <f>14228400</f>
        <v>14228400</v>
      </c>
    </row>
    <row r="29" spans="1:4" ht="18.75" x14ac:dyDescent="0.2">
      <c r="A29" s="233" t="s">
        <v>520</v>
      </c>
      <c r="B29" s="407" t="s">
        <v>521</v>
      </c>
      <c r="C29" s="408"/>
      <c r="D29" s="235">
        <f>D30</f>
        <v>71924600</v>
      </c>
    </row>
    <row r="30" spans="1:4" ht="18.75" x14ac:dyDescent="0.2">
      <c r="A30" s="234" t="s">
        <v>522</v>
      </c>
      <c r="B30" s="409" t="s">
        <v>426</v>
      </c>
      <c r="C30" s="410"/>
      <c r="D30" s="205">
        <v>71924600</v>
      </c>
    </row>
    <row r="31" spans="1:4" ht="42.75" customHeight="1" x14ac:dyDescent="0.2">
      <c r="A31" s="233">
        <v>41036300</v>
      </c>
      <c r="B31" s="407" t="s">
        <v>621</v>
      </c>
      <c r="C31" s="408"/>
      <c r="D31" s="361">
        <f>D32</f>
        <v>8319600</v>
      </c>
    </row>
    <row r="32" spans="1:4" ht="18.75" x14ac:dyDescent="0.2">
      <c r="A32" s="234" t="s">
        <v>522</v>
      </c>
      <c r="B32" s="409" t="s">
        <v>426</v>
      </c>
      <c r="C32" s="410"/>
      <c r="D32" s="360">
        <f>8319600</f>
        <v>8319600</v>
      </c>
    </row>
    <row r="33" spans="1:4" ht="59.25" customHeight="1" x14ac:dyDescent="0.2">
      <c r="A33" s="233">
        <v>41035400</v>
      </c>
      <c r="B33" s="407" t="s">
        <v>623</v>
      </c>
      <c r="C33" s="408"/>
      <c r="D33" s="361">
        <f>D34</f>
        <v>413700</v>
      </c>
    </row>
    <row r="34" spans="1:4" ht="18.75" x14ac:dyDescent="0.2">
      <c r="A34" s="234" t="s">
        <v>522</v>
      </c>
      <c r="B34" s="409" t="s">
        <v>426</v>
      </c>
      <c r="C34" s="410"/>
      <c r="D34" s="360">
        <f>413700</f>
        <v>413700</v>
      </c>
    </row>
    <row r="35" spans="1:4" ht="39.75" customHeight="1" x14ac:dyDescent="0.2">
      <c r="A35" s="233">
        <v>41051000</v>
      </c>
      <c r="B35" s="407" t="s">
        <v>619</v>
      </c>
      <c r="C35" s="408"/>
      <c r="D35" s="361">
        <f>D36</f>
        <v>1474598</v>
      </c>
    </row>
    <row r="36" spans="1:4" ht="18.75" x14ac:dyDescent="0.3">
      <c r="A36" s="260" t="s">
        <v>537</v>
      </c>
      <c r="B36" s="415" t="s">
        <v>538</v>
      </c>
      <c r="C36" s="416"/>
      <c r="D36" s="360">
        <f>1474598</f>
        <v>1474598</v>
      </c>
    </row>
    <row r="37" spans="1:4" ht="45.75" customHeight="1" x14ac:dyDescent="0.3">
      <c r="A37" s="258">
        <v>41053900</v>
      </c>
      <c r="B37" s="411" t="s">
        <v>536</v>
      </c>
      <c r="C37" s="412"/>
      <c r="D37" s="259">
        <v>148318</v>
      </c>
    </row>
    <row r="38" spans="1:4" ht="18.75" x14ac:dyDescent="0.3">
      <c r="A38" s="260" t="s">
        <v>537</v>
      </c>
      <c r="B38" s="415" t="s">
        <v>538</v>
      </c>
      <c r="C38" s="416"/>
      <c r="D38" s="261">
        <v>148318</v>
      </c>
    </row>
    <row r="39" spans="1:4" ht="45" customHeight="1" x14ac:dyDescent="0.3">
      <c r="A39" s="258">
        <v>41053900</v>
      </c>
      <c r="B39" s="411" t="s">
        <v>539</v>
      </c>
      <c r="C39" s="412"/>
      <c r="D39" s="262">
        <v>178853</v>
      </c>
    </row>
    <row r="40" spans="1:4" ht="18.75" x14ac:dyDescent="0.3">
      <c r="A40" s="260" t="s">
        <v>537</v>
      </c>
      <c r="B40" s="417" t="s">
        <v>538</v>
      </c>
      <c r="C40" s="418"/>
      <c r="D40" s="261">
        <v>178853</v>
      </c>
    </row>
    <row r="41" spans="1:4" ht="63" customHeight="1" x14ac:dyDescent="0.3">
      <c r="A41" s="258">
        <v>41053900</v>
      </c>
      <c r="B41" s="411" t="s">
        <v>540</v>
      </c>
      <c r="C41" s="412"/>
      <c r="D41" s="262">
        <v>19139</v>
      </c>
    </row>
    <row r="42" spans="1:4" ht="18.75" x14ac:dyDescent="0.3">
      <c r="A42" s="260" t="s">
        <v>537</v>
      </c>
      <c r="B42" s="415" t="s">
        <v>538</v>
      </c>
      <c r="C42" s="416"/>
      <c r="D42" s="263">
        <v>19139</v>
      </c>
    </row>
    <row r="43" spans="1:4" ht="71.25" customHeight="1" x14ac:dyDescent="0.3">
      <c r="A43" s="258" t="s">
        <v>655</v>
      </c>
      <c r="B43" s="411" t="s">
        <v>620</v>
      </c>
      <c r="C43" s="412"/>
      <c r="D43" s="262">
        <f>D44</f>
        <v>400320</v>
      </c>
    </row>
    <row r="44" spans="1:4" ht="18.75" x14ac:dyDescent="0.3">
      <c r="A44" s="260" t="s">
        <v>537</v>
      </c>
      <c r="B44" s="415" t="s">
        <v>538</v>
      </c>
      <c r="C44" s="416"/>
      <c r="D44" s="362">
        <f>400320</f>
        <v>400320</v>
      </c>
    </row>
    <row r="45" spans="1:4" ht="18.75" x14ac:dyDescent="0.3">
      <c r="A45" s="403" t="s">
        <v>427</v>
      </c>
      <c r="B45" s="404"/>
      <c r="C45" s="404"/>
      <c r="D45" s="404"/>
    </row>
    <row r="46" spans="1:4" ht="48" customHeight="1" x14ac:dyDescent="0.2">
      <c r="A46" s="233">
        <v>41037400</v>
      </c>
      <c r="B46" s="407" t="s">
        <v>623</v>
      </c>
      <c r="C46" s="408"/>
      <c r="D46" s="201">
        <f>D47</f>
        <v>574400</v>
      </c>
    </row>
    <row r="47" spans="1:4" ht="18.75" x14ac:dyDescent="0.2">
      <c r="A47" s="234" t="s">
        <v>522</v>
      </c>
      <c r="B47" s="409" t="s">
        <v>426</v>
      </c>
      <c r="C47" s="410"/>
      <c r="D47" s="206">
        <f>574400</f>
        <v>574400</v>
      </c>
    </row>
    <row r="48" spans="1:4" ht="18.75" x14ac:dyDescent="0.3">
      <c r="A48" s="207" t="s">
        <v>256</v>
      </c>
      <c r="B48" s="208" t="s">
        <v>428</v>
      </c>
      <c r="C48" s="200"/>
      <c r="D48" s="209">
        <f>D49+D50</f>
        <v>131706528</v>
      </c>
    </row>
    <row r="49" spans="1:4" ht="18.75" x14ac:dyDescent="0.3">
      <c r="A49" s="207" t="s">
        <v>256</v>
      </c>
      <c r="B49" s="208" t="s">
        <v>418</v>
      </c>
      <c r="C49" s="200"/>
      <c r="D49" s="209">
        <f>D25+D29+D37+D39+D41+D27+D31+D33+D35+D43</f>
        <v>131132128</v>
      </c>
    </row>
    <row r="50" spans="1:4" ht="18.75" x14ac:dyDescent="0.3">
      <c r="A50" s="207" t="s">
        <v>256</v>
      </c>
      <c r="B50" s="208" t="s">
        <v>419</v>
      </c>
      <c r="C50" s="200"/>
      <c r="D50" s="209">
        <f>D46</f>
        <v>574400</v>
      </c>
    </row>
    <row r="51" spans="1:4" ht="18.75" x14ac:dyDescent="0.3">
      <c r="A51" s="163"/>
      <c r="B51" s="163"/>
      <c r="C51" s="163"/>
      <c r="D51" s="163"/>
    </row>
    <row r="52" spans="1:4" ht="18.75" x14ac:dyDescent="0.3">
      <c r="A52" s="191" t="s">
        <v>429</v>
      </c>
      <c r="B52" s="193"/>
      <c r="C52" s="193"/>
      <c r="D52" s="194" t="s">
        <v>1</v>
      </c>
    </row>
    <row r="53" spans="1:4" ht="93.75" x14ac:dyDescent="0.2">
      <c r="A53" s="210" t="s">
        <v>430</v>
      </c>
      <c r="B53" s="210" t="s">
        <v>431</v>
      </c>
      <c r="C53" s="210" t="s">
        <v>432</v>
      </c>
      <c r="D53" s="210" t="s">
        <v>158</v>
      </c>
    </row>
    <row r="54" spans="1:4" ht="18.75" x14ac:dyDescent="0.2">
      <c r="A54" s="211">
        <v>1</v>
      </c>
      <c r="B54" s="211">
        <v>2</v>
      </c>
      <c r="C54" s="211">
        <v>3</v>
      </c>
      <c r="D54" s="211">
        <v>4</v>
      </c>
    </row>
    <row r="55" spans="1:4" ht="18.75" x14ac:dyDescent="0.3">
      <c r="A55" s="405" t="s">
        <v>433</v>
      </c>
      <c r="B55" s="406"/>
      <c r="C55" s="406"/>
      <c r="D55" s="406"/>
    </row>
    <row r="56" spans="1:4" ht="18.75" x14ac:dyDescent="0.2">
      <c r="A56" s="212" t="s">
        <v>415</v>
      </c>
      <c r="B56" s="212" t="s">
        <v>416</v>
      </c>
      <c r="C56" s="213" t="s">
        <v>417</v>
      </c>
      <c r="D56" s="214">
        <v>52832800</v>
      </c>
    </row>
    <row r="57" spans="1:4" ht="18.75" x14ac:dyDescent="0.2">
      <c r="A57" s="215" t="s">
        <v>425</v>
      </c>
      <c r="B57" s="215" t="s">
        <v>416</v>
      </c>
      <c r="C57" s="216" t="s">
        <v>426</v>
      </c>
      <c r="D57" s="217">
        <v>52832800</v>
      </c>
    </row>
    <row r="58" spans="1:4" ht="18.75" x14ac:dyDescent="0.3">
      <c r="A58" s="405" t="s">
        <v>434</v>
      </c>
      <c r="B58" s="406"/>
      <c r="C58" s="406"/>
      <c r="D58" s="404"/>
    </row>
    <row r="59" spans="1:4" ht="18.75" x14ac:dyDescent="0.2">
      <c r="A59" s="218" t="s">
        <v>415</v>
      </c>
      <c r="B59" s="218" t="s">
        <v>416</v>
      </c>
      <c r="C59" s="219" t="s">
        <v>417</v>
      </c>
      <c r="D59" s="214">
        <v>0</v>
      </c>
    </row>
    <row r="60" spans="1:4" ht="18.75" x14ac:dyDescent="0.2">
      <c r="A60" s="220" t="s">
        <v>425</v>
      </c>
      <c r="B60" s="220" t="s">
        <v>416</v>
      </c>
      <c r="C60" s="221" t="s">
        <v>426</v>
      </c>
      <c r="D60" s="222">
        <v>0</v>
      </c>
    </row>
    <row r="61" spans="1:4" ht="18.75" x14ac:dyDescent="0.3">
      <c r="A61" s="218" t="s">
        <v>256</v>
      </c>
      <c r="B61" s="218" t="s">
        <v>256</v>
      </c>
      <c r="C61" s="208" t="s">
        <v>428</v>
      </c>
      <c r="D61" s="223">
        <v>52832800</v>
      </c>
    </row>
    <row r="62" spans="1:4" ht="18.75" x14ac:dyDescent="0.3">
      <c r="A62" s="218" t="s">
        <v>256</v>
      </c>
      <c r="B62" s="218" t="s">
        <v>256</v>
      </c>
      <c r="C62" s="208" t="s">
        <v>418</v>
      </c>
      <c r="D62" s="223">
        <v>52832800</v>
      </c>
    </row>
    <row r="63" spans="1:4" ht="18.75" x14ac:dyDescent="0.3">
      <c r="A63" s="218" t="s">
        <v>256</v>
      </c>
      <c r="B63" s="218" t="s">
        <v>256</v>
      </c>
      <c r="C63" s="208" t="s">
        <v>419</v>
      </c>
      <c r="D63" s="223">
        <v>0</v>
      </c>
    </row>
    <row r="65" spans="1:16" ht="15" x14ac:dyDescent="0.25">
      <c r="A65" s="398"/>
      <c r="B65" s="398"/>
      <c r="C65" s="398"/>
      <c r="D65" s="398"/>
    </row>
    <row r="66" spans="1:16" ht="19.5" x14ac:dyDescent="0.2">
      <c r="A66" s="18" t="s">
        <v>105</v>
      </c>
      <c r="B66" s="18"/>
      <c r="C66" s="397" t="s">
        <v>90</v>
      </c>
      <c r="D66" s="397"/>
      <c r="E66" s="14"/>
      <c r="F66" s="14"/>
      <c r="G66" s="14"/>
      <c r="H66" s="14"/>
      <c r="I66" s="14"/>
      <c r="J66" s="18"/>
      <c r="K66" s="14"/>
      <c r="L66" s="15"/>
      <c r="M66" s="14"/>
      <c r="N66" s="14"/>
      <c r="O66" s="16"/>
      <c r="P66" s="17"/>
    </row>
  </sheetData>
  <mergeCells count="32">
    <mergeCell ref="B47:C47"/>
    <mergeCell ref="B36:C36"/>
    <mergeCell ref="B35:C35"/>
    <mergeCell ref="B43:C43"/>
    <mergeCell ref="B44:C44"/>
    <mergeCell ref="B31:C31"/>
    <mergeCell ref="B32:C32"/>
    <mergeCell ref="B27:C27"/>
    <mergeCell ref="B34:C34"/>
    <mergeCell ref="B33:C33"/>
    <mergeCell ref="B46:C46"/>
    <mergeCell ref="B38:C38"/>
    <mergeCell ref="B39:C39"/>
    <mergeCell ref="B40:C40"/>
    <mergeCell ref="B41:C41"/>
    <mergeCell ref="B42:C42"/>
    <mergeCell ref="C15:D15"/>
    <mergeCell ref="A17:D17"/>
    <mergeCell ref="A18:D18"/>
    <mergeCell ref="A19:D19"/>
    <mergeCell ref="C66:D66"/>
    <mergeCell ref="A65:D65"/>
    <mergeCell ref="B22:C22"/>
    <mergeCell ref="B23:C23"/>
    <mergeCell ref="A24:D24"/>
    <mergeCell ref="A45:D45"/>
    <mergeCell ref="A55:D55"/>
    <mergeCell ref="A58:D58"/>
    <mergeCell ref="B29:C29"/>
    <mergeCell ref="B30:C30"/>
    <mergeCell ref="B37:C37"/>
    <mergeCell ref="B25:C25"/>
  </mergeCell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view="pageBreakPreview" topLeftCell="A19" zoomScale="60" zoomScaleNormal="100" workbookViewId="0">
      <selection activeCell="H30" sqref="H30"/>
    </sheetView>
  </sheetViews>
  <sheetFormatPr defaultRowHeight="12.75" x14ac:dyDescent="0.2"/>
  <cols>
    <col min="1" max="1" width="9.28515625" bestFit="1" customWidth="1"/>
    <col min="2" max="2" width="18.7109375" customWidth="1"/>
    <col min="3" max="3" width="19.5703125" customWidth="1"/>
    <col min="4" max="4" width="26.42578125" customWidth="1"/>
    <col min="5" max="5" width="51.5703125" customWidth="1"/>
    <col min="6" max="6" width="23" customWidth="1"/>
    <col min="7" max="7" width="15.85546875" customWidth="1"/>
    <col min="8" max="8" width="18" customWidth="1"/>
    <col min="9" max="9" width="20.42578125" customWidth="1"/>
    <col min="10" max="10" width="16.42578125" customWidth="1"/>
    <col min="11" max="11" width="15.5703125" customWidth="1"/>
    <col min="12" max="12" width="12" customWidth="1"/>
    <col min="13" max="13" width="17" customWidth="1"/>
  </cols>
  <sheetData>
    <row r="1" spans="1:13" ht="18.75" x14ac:dyDescent="0.2">
      <c r="K1" s="353" t="s">
        <v>654</v>
      </c>
      <c r="L1" s="20"/>
    </row>
    <row r="2" spans="1:13" ht="18.75" x14ac:dyDescent="0.2">
      <c r="K2" s="353" t="s">
        <v>612</v>
      </c>
      <c r="L2" s="20"/>
    </row>
    <row r="3" spans="1:13" ht="18.75" x14ac:dyDescent="0.3">
      <c r="K3" s="117" t="s">
        <v>628</v>
      </c>
      <c r="L3" s="118"/>
    </row>
    <row r="4" spans="1:13" ht="18.75" x14ac:dyDescent="0.3">
      <c r="K4" s="119" t="s">
        <v>629</v>
      </c>
      <c r="L4" s="120"/>
    </row>
    <row r="5" spans="1:13" ht="18.75" x14ac:dyDescent="0.2">
      <c r="K5" s="375" t="s">
        <v>648</v>
      </c>
      <c r="L5" s="375"/>
    </row>
    <row r="6" spans="1:13" ht="15" x14ac:dyDescent="0.25">
      <c r="A6" s="23"/>
      <c r="B6" s="23"/>
      <c r="C6" s="24"/>
      <c r="D6" s="25"/>
      <c r="E6" s="27"/>
      <c r="F6" s="25"/>
      <c r="G6" s="28"/>
      <c r="H6" s="29"/>
      <c r="I6" s="23"/>
      <c r="J6" s="23"/>
      <c r="K6" s="23"/>
      <c r="L6" s="23"/>
      <c r="M6" s="23"/>
    </row>
    <row r="7" spans="1:13" ht="15.75" x14ac:dyDescent="0.25">
      <c r="A7" s="23"/>
      <c r="B7" s="23"/>
      <c r="C7" s="24"/>
      <c r="D7" s="25"/>
      <c r="E7" s="27"/>
      <c r="F7" s="25"/>
      <c r="G7" s="28"/>
      <c r="H7" s="29"/>
      <c r="I7" s="2"/>
      <c r="J7" s="23"/>
      <c r="K7" s="1" t="s">
        <v>458</v>
      </c>
      <c r="L7" s="2"/>
      <c r="M7" s="29"/>
    </row>
    <row r="8" spans="1:13" ht="15.75" x14ac:dyDescent="0.25">
      <c r="A8" s="23"/>
      <c r="B8" s="23"/>
      <c r="C8" s="24"/>
      <c r="D8" s="25"/>
      <c r="E8" s="27"/>
      <c r="F8" s="25"/>
      <c r="G8" s="28"/>
      <c r="H8" s="29"/>
      <c r="I8" s="2"/>
      <c r="J8" s="23"/>
      <c r="K8" s="1" t="s">
        <v>104</v>
      </c>
      <c r="L8" s="2"/>
      <c r="M8" s="29"/>
    </row>
    <row r="9" spans="1:13" ht="15.75" x14ac:dyDescent="0.25">
      <c r="A9" s="23"/>
      <c r="B9" s="23"/>
      <c r="C9" s="24"/>
      <c r="D9" s="25"/>
      <c r="E9" s="27"/>
      <c r="F9" s="25"/>
      <c r="G9" s="28"/>
      <c r="H9" s="29"/>
      <c r="I9" s="125"/>
      <c r="J9" s="23"/>
      <c r="K9" s="435" t="s">
        <v>108</v>
      </c>
      <c r="L9" s="435"/>
      <c r="M9" s="435"/>
    </row>
    <row r="10" spans="1:13" ht="15.75" x14ac:dyDescent="0.25">
      <c r="A10" s="23"/>
      <c r="B10" s="23"/>
      <c r="C10" s="24"/>
      <c r="D10" s="25"/>
      <c r="E10" s="27"/>
      <c r="F10" s="25"/>
      <c r="G10" s="28"/>
      <c r="H10" s="29"/>
      <c r="I10" s="125"/>
      <c r="J10" s="23"/>
      <c r="K10" s="435" t="s">
        <v>109</v>
      </c>
      <c r="L10" s="435"/>
      <c r="M10" s="435"/>
    </row>
    <row r="11" spans="1:13" ht="15.75" x14ac:dyDescent="0.25">
      <c r="A11" s="23"/>
      <c r="B11" s="23"/>
      <c r="C11" s="24"/>
      <c r="D11" s="25"/>
      <c r="E11" s="27"/>
      <c r="F11" s="25"/>
      <c r="G11" s="28"/>
      <c r="H11" s="29"/>
      <c r="I11" s="2"/>
      <c r="J11" s="23"/>
      <c r="K11" s="126" t="s">
        <v>590</v>
      </c>
      <c r="L11" s="127"/>
      <c r="M11" s="29"/>
    </row>
    <row r="12" spans="1:13" ht="15.75" x14ac:dyDescent="0.25">
      <c r="A12" s="23"/>
      <c r="B12" s="23"/>
      <c r="C12" s="24"/>
      <c r="D12" s="25"/>
      <c r="E12" s="27"/>
      <c r="F12" s="25"/>
      <c r="G12" s="28"/>
      <c r="H12" s="29"/>
      <c r="I12" s="2"/>
      <c r="J12" s="23"/>
      <c r="K12" s="3" t="s">
        <v>592</v>
      </c>
      <c r="L12" s="128"/>
      <c r="M12" s="29"/>
    </row>
    <row r="13" spans="1:13" ht="15.75" x14ac:dyDescent="0.25">
      <c r="A13" s="23"/>
      <c r="B13" s="23"/>
      <c r="C13" s="24"/>
      <c r="D13" s="25"/>
      <c r="E13" s="27"/>
      <c r="F13" s="25"/>
      <c r="G13" s="28"/>
      <c r="H13" s="29"/>
      <c r="I13" s="1"/>
      <c r="J13" s="23"/>
      <c r="K13" s="436" t="s">
        <v>498</v>
      </c>
      <c r="L13" s="436"/>
      <c r="M13" s="29"/>
    </row>
    <row r="14" spans="1:13" ht="15" x14ac:dyDescent="0.25">
      <c r="A14" s="23"/>
      <c r="B14" s="23"/>
      <c r="C14" s="24"/>
      <c r="D14" s="25"/>
      <c r="E14" s="27"/>
      <c r="F14" s="25"/>
      <c r="G14" s="27"/>
      <c r="H14" s="29"/>
      <c r="I14" s="29"/>
      <c r="J14" s="23"/>
      <c r="K14" s="23"/>
      <c r="L14" s="23"/>
      <c r="M14" s="23"/>
    </row>
    <row r="15" spans="1:13" ht="15" x14ac:dyDescent="0.25">
      <c r="A15" s="23"/>
      <c r="B15" s="23"/>
      <c r="C15" s="24"/>
      <c r="D15" s="25"/>
      <c r="E15" s="27"/>
      <c r="F15" s="25"/>
      <c r="G15" s="27"/>
      <c r="H15" s="29"/>
      <c r="I15" s="23"/>
      <c r="J15" s="23"/>
      <c r="K15" s="23"/>
      <c r="L15" s="23"/>
      <c r="M15" s="23"/>
    </row>
    <row r="16" spans="1:13" ht="15" x14ac:dyDescent="0.25">
      <c r="A16" s="23"/>
      <c r="B16" s="23"/>
      <c r="C16" s="24"/>
      <c r="D16" s="25"/>
      <c r="E16" s="27"/>
      <c r="F16" s="25"/>
      <c r="G16" s="27"/>
      <c r="H16" s="29"/>
      <c r="I16" s="23"/>
      <c r="J16" s="23"/>
      <c r="K16" s="23"/>
      <c r="L16" s="23"/>
      <c r="M16" s="23"/>
    </row>
    <row r="17" spans="1:13" ht="15.75" x14ac:dyDescent="0.25">
      <c r="A17" s="4"/>
      <c r="B17" s="23"/>
      <c r="C17" s="24"/>
      <c r="D17" s="25"/>
      <c r="E17" s="27"/>
      <c r="F17" s="25"/>
      <c r="G17" s="27"/>
      <c r="H17" s="4"/>
      <c r="I17" s="4"/>
      <c r="J17" s="4"/>
      <c r="K17" s="4"/>
      <c r="L17" s="4"/>
      <c r="M17" s="4"/>
    </row>
    <row r="18" spans="1:13" ht="20.25" x14ac:dyDescent="0.2">
      <c r="A18" s="437" t="s">
        <v>459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</row>
    <row r="19" spans="1:13" ht="20.25" x14ac:dyDescent="0.3">
      <c r="A19" s="56"/>
      <c r="B19" s="428">
        <v>1559100000</v>
      </c>
      <c r="C19" s="428"/>
      <c r="D19" s="428"/>
      <c r="E19" s="429"/>
      <c r="F19" s="429"/>
      <c r="G19" s="429"/>
      <c r="H19" s="429"/>
      <c r="I19" s="56"/>
      <c r="J19" s="56"/>
      <c r="K19" s="56"/>
      <c r="L19" s="56"/>
      <c r="M19" s="56"/>
    </row>
    <row r="20" spans="1:13" ht="21" thickBot="1" x14ac:dyDescent="0.35">
      <c r="A20" s="56"/>
      <c r="B20" s="430" t="s">
        <v>0</v>
      </c>
      <c r="C20" s="430"/>
      <c r="D20" s="430"/>
      <c r="E20" s="122"/>
      <c r="F20" s="129"/>
      <c r="G20" s="122"/>
      <c r="H20" s="122"/>
      <c r="I20" s="56"/>
      <c r="J20" s="56"/>
      <c r="K20" s="56"/>
      <c r="L20" s="56"/>
      <c r="M20" s="56" t="s">
        <v>460</v>
      </c>
    </row>
    <row r="21" spans="1:13" ht="15" x14ac:dyDescent="0.2">
      <c r="A21" s="431" t="s">
        <v>461</v>
      </c>
      <c r="B21" s="419" t="s">
        <v>462</v>
      </c>
      <c r="C21" s="433" t="s">
        <v>463</v>
      </c>
      <c r="D21" s="419" t="s">
        <v>464</v>
      </c>
      <c r="E21" s="419" t="s">
        <v>465</v>
      </c>
      <c r="F21" s="419" t="s">
        <v>466</v>
      </c>
      <c r="G21" s="419" t="s">
        <v>467</v>
      </c>
      <c r="H21" s="421" t="s">
        <v>468</v>
      </c>
      <c r="I21" s="423" t="s">
        <v>469</v>
      </c>
      <c r="J21" s="423"/>
      <c r="K21" s="423"/>
      <c r="L21" s="423"/>
      <c r="M21" s="424"/>
    </row>
    <row r="22" spans="1:13" ht="60.75" thickBot="1" x14ac:dyDescent="0.25">
      <c r="A22" s="432"/>
      <c r="B22" s="420"/>
      <c r="C22" s="434"/>
      <c r="D22" s="420"/>
      <c r="E22" s="420"/>
      <c r="F22" s="420"/>
      <c r="G22" s="420"/>
      <c r="H22" s="422"/>
      <c r="I22" s="130" t="s">
        <v>470</v>
      </c>
      <c r="J22" s="130" t="s">
        <v>471</v>
      </c>
      <c r="K22" s="130" t="s">
        <v>472</v>
      </c>
      <c r="L22" s="130" t="s">
        <v>473</v>
      </c>
      <c r="M22" s="131" t="s">
        <v>474</v>
      </c>
    </row>
    <row r="23" spans="1:13" ht="19.5" thickBot="1" x14ac:dyDescent="0.25">
      <c r="A23" s="132" t="s">
        <v>58</v>
      </c>
      <c r="B23" s="133" t="s">
        <v>59</v>
      </c>
      <c r="C23" s="133" t="s">
        <v>60</v>
      </c>
      <c r="D23" s="133" t="s">
        <v>67</v>
      </c>
      <c r="E23" s="367" t="s">
        <v>61</v>
      </c>
      <c r="F23" s="132" t="s">
        <v>62</v>
      </c>
      <c r="G23" s="356" t="s">
        <v>63</v>
      </c>
      <c r="H23" s="368" t="s">
        <v>64</v>
      </c>
      <c r="I23" s="425" t="s">
        <v>65</v>
      </c>
      <c r="J23" s="425"/>
      <c r="K23" s="425"/>
      <c r="L23" s="425"/>
      <c r="M23" s="426"/>
    </row>
    <row r="24" spans="1:13" ht="75" x14ac:dyDescent="0.2">
      <c r="A24" s="134" t="s">
        <v>565</v>
      </c>
      <c r="B24" s="135" t="s">
        <v>559</v>
      </c>
      <c r="C24" s="134" t="s">
        <v>475</v>
      </c>
      <c r="D24" s="134" t="s">
        <v>476</v>
      </c>
      <c r="E24" s="136" t="s">
        <v>477</v>
      </c>
      <c r="F24" s="134" t="s">
        <v>144</v>
      </c>
      <c r="G24" s="358">
        <v>2100000</v>
      </c>
      <c r="H24" s="138">
        <v>2020106</v>
      </c>
      <c r="I24" s="138">
        <v>2020106</v>
      </c>
      <c r="J24" s="124"/>
      <c r="K24" s="124"/>
      <c r="L24" s="124"/>
      <c r="M24" s="124"/>
    </row>
    <row r="25" spans="1:13" ht="111" customHeight="1" x14ac:dyDescent="0.2">
      <c r="A25" s="134" t="s">
        <v>565</v>
      </c>
      <c r="B25" s="135" t="s">
        <v>559</v>
      </c>
      <c r="C25" s="134" t="s">
        <v>475</v>
      </c>
      <c r="D25" s="134" t="s">
        <v>671</v>
      </c>
      <c r="E25" s="136" t="s">
        <v>664</v>
      </c>
      <c r="F25" s="137" t="s">
        <v>147</v>
      </c>
      <c r="G25" s="359">
        <v>10266433</v>
      </c>
      <c r="H25" s="138">
        <v>4709663</v>
      </c>
      <c r="I25" s="138">
        <v>4709663</v>
      </c>
      <c r="J25" s="358"/>
      <c r="K25" s="358"/>
      <c r="L25" s="358"/>
      <c r="M25" s="358"/>
    </row>
    <row r="26" spans="1:13" ht="75" x14ac:dyDescent="0.2">
      <c r="A26" s="139" t="s">
        <v>566</v>
      </c>
      <c r="B26" s="140" t="s">
        <v>567</v>
      </c>
      <c r="C26" s="134" t="s">
        <v>475</v>
      </c>
      <c r="D26" s="139" t="s">
        <v>478</v>
      </c>
      <c r="E26" s="141" t="s">
        <v>479</v>
      </c>
      <c r="F26" s="139" t="s">
        <v>145</v>
      </c>
      <c r="G26" s="142">
        <v>2153714</v>
      </c>
      <c r="H26" s="143">
        <v>2132177</v>
      </c>
      <c r="I26" s="143">
        <v>2132177</v>
      </c>
      <c r="J26" s="142"/>
      <c r="K26" s="142"/>
      <c r="L26" s="142"/>
      <c r="M26" s="143">
        <v>21537</v>
      </c>
    </row>
    <row r="27" spans="1:13" ht="75" x14ac:dyDescent="0.2">
      <c r="A27" s="139" t="s">
        <v>566</v>
      </c>
      <c r="B27" s="140" t="s">
        <v>567</v>
      </c>
      <c r="C27" s="134" t="s">
        <v>475</v>
      </c>
      <c r="D27" s="139" t="s">
        <v>480</v>
      </c>
      <c r="E27" s="141" t="s">
        <v>481</v>
      </c>
      <c r="F27" s="139" t="s">
        <v>145</v>
      </c>
      <c r="G27" s="142">
        <v>2153714</v>
      </c>
      <c r="H27" s="143">
        <v>2132177</v>
      </c>
      <c r="I27" s="143">
        <v>2132177</v>
      </c>
      <c r="J27" s="142"/>
      <c r="K27" s="142"/>
      <c r="L27" s="142"/>
      <c r="M27" s="143">
        <v>21537</v>
      </c>
    </row>
    <row r="28" spans="1:13" ht="81" customHeight="1" x14ac:dyDescent="0.2">
      <c r="A28" s="139" t="s">
        <v>566</v>
      </c>
      <c r="B28" s="140" t="s">
        <v>567</v>
      </c>
      <c r="C28" s="134" t="s">
        <v>475</v>
      </c>
      <c r="D28" s="150" t="s">
        <v>672</v>
      </c>
      <c r="E28" s="141" t="s">
        <v>663</v>
      </c>
      <c r="F28" s="139" t="s">
        <v>145</v>
      </c>
      <c r="G28" s="358">
        <v>1863309</v>
      </c>
      <c r="H28" s="138">
        <v>501158</v>
      </c>
      <c r="I28" s="138">
        <v>501158</v>
      </c>
      <c r="J28" s="358"/>
      <c r="K28" s="358"/>
      <c r="L28" s="358"/>
      <c r="M28" s="138">
        <v>8932</v>
      </c>
    </row>
    <row r="29" spans="1:13" ht="131.25" x14ac:dyDescent="0.2">
      <c r="A29" s="144" t="s">
        <v>72</v>
      </c>
      <c r="B29" s="145" t="s">
        <v>130</v>
      </c>
      <c r="C29" s="134" t="s">
        <v>475</v>
      </c>
      <c r="D29" s="146" t="s">
        <v>482</v>
      </c>
      <c r="E29" s="141" t="s">
        <v>483</v>
      </c>
      <c r="F29" s="147" t="s">
        <v>132</v>
      </c>
      <c r="G29" s="138">
        <v>18200000</v>
      </c>
      <c r="H29" s="148">
        <f>5500000-1480000-754000</f>
        <v>3266000</v>
      </c>
      <c r="I29" s="148">
        <f>5500000-1480000-754000</f>
        <v>3266000</v>
      </c>
      <c r="J29" s="148"/>
      <c r="K29" s="148"/>
      <c r="L29" s="148"/>
      <c r="M29" s="148"/>
    </row>
    <row r="30" spans="1:13" ht="187.5" x14ac:dyDescent="0.2">
      <c r="A30" s="147" t="s">
        <v>568</v>
      </c>
      <c r="B30" s="311" t="s">
        <v>569</v>
      </c>
      <c r="C30" s="149" t="s">
        <v>484</v>
      </c>
      <c r="D30" s="150" t="s">
        <v>485</v>
      </c>
      <c r="E30" s="151" t="s">
        <v>486</v>
      </c>
      <c r="F30" s="123" t="s">
        <v>139</v>
      </c>
      <c r="G30" s="142">
        <v>16389490</v>
      </c>
      <c r="H30" s="143">
        <f>4989690+1071</f>
        <v>4990761</v>
      </c>
      <c r="I30" s="148">
        <v>4990761</v>
      </c>
      <c r="J30" s="148"/>
      <c r="K30" s="148"/>
      <c r="L30" s="148"/>
      <c r="M30" s="148"/>
    </row>
    <row r="31" spans="1:13" ht="187.5" x14ac:dyDescent="0.2">
      <c r="A31" s="147" t="s">
        <v>568</v>
      </c>
      <c r="B31" s="311" t="s">
        <v>569</v>
      </c>
      <c r="C31" s="149" t="s">
        <v>484</v>
      </c>
      <c r="D31" s="150" t="s">
        <v>673</v>
      </c>
      <c r="E31" s="151" t="s">
        <v>665</v>
      </c>
      <c r="F31" s="357" t="s">
        <v>144</v>
      </c>
      <c r="G31" s="142">
        <v>49219132</v>
      </c>
      <c r="H31" s="143">
        <v>10000000</v>
      </c>
      <c r="I31" s="148">
        <v>10000000</v>
      </c>
      <c r="J31" s="148"/>
      <c r="K31" s="148"/>
      <c r="L31" s="148"/>
      <c r="M31" s="148"/>
    </row>
    <row r="32" spans="1:13" ht="206.25" x14ac:dyDescent="0.2">
      <c r="A32" s="147" t="s">
        <v>568</v>
      </c>
      <c r="B32" s="311" t="s">
        <v>569</v>
      </c>
      <c r="C32" s="149" t="s">
        <v>484</v>
      </c>
      <c r="D32" s="150" t="s">
        <v>668</v>
      </c>
      <c r="E32" s="151" t="s">
        <v>666</v>
      </c>
      <c r="F32" s="357" t="s">
        <v>147</v>
      </c>
      <c r="G32" s="142">
        <v>24112549</v>
      </c>
      <c r="H32" s="143">
        <v>90337</v>
      </c>
      <c r="I32" s="148">
        <v>90337</v>
      </c>
      <c r="J32" s="148"/>
      <c r="K32" s="148"/>
      <c r="L32" s="148"/>
      <c r="M32" s="148"/>
    </row>
    <row r="33" spans="1:13" ht="112.5" x14ac:dyDescent="0.2">
      <c r="A33" s="147" t="s">
        <v>566</v>
      </c>
      <c r="B33" s="311" t="s">
        <v>570</v>
      </c>
      <c r="C33" s="134" t="s">
        <v>475</v>
      </c>
      <c r="D33" s="150" t="s">
        <v>487</v>
      </c>
      <c r="E33" s="141" t="s">
        <v>517</v>
      </c>
      <c r="F33" s="121" t="s">
        <v>132</v>
      </c>
      <c r="G33" s="143">
        <v>11533080</v>
      </c>
      <c r="H33" s="143">
        <f>I33</f>
        <v>970680</v>
      </c>
      <c r="I33" s="152">
        <f>11518080-11518080+970680</f>
        <v>970680</v>
      </c>
      <c r="J33" s="148"/>
      <c r="K33" s="148"/>
      <c r="L33" s="148"/>
      <c r="M33" s="148"/>
    </row>
    <row r="34" spans="1:13" ht="150" x14ac:dyDescent="0.2">
      <c r="A34" s="147" t="s">
        <v>566</v>
      </c>
      <c r="B34" s="311" t="s">
        <v>570</v>
      </c>
      <c r="C34" s="134" t="s">
        <v>475</v>
      </c>
      <c r="D34" s="146" t="s">
        <v>488</v>
      </c>
      <c r="E34" s="141" t="s">
        <v>489</v>
      </c>
      <c r="F34" s="147" t="s">
        <v>142</v>
      </c>
      <c r="G34" s="143">
        <v>20406558</v>
      </c>
      <c r="H34" s="153">
        <f>I34</f>
        <v>251111</v>
      </c>
      <c r="I34" s="152">
        <f>10611228-10611228+251111</f>
        <v>251111</v>
      </c>
      <c r="J34" s="148"/>
      <c r="K34" s="148"/>
      <c r="L34" s="148"/>
      <c r="M34" s="148"/>
    </row>
    <row r="35" spans="1:13" ht="93.75" x14ac:dyDescent="0.2">
      <c r="A35" s="147" t="s">
        <v>566</v>
      </c>
      <c r="B35" s="311" t="s">
        <v>570</v>
      </c>
      <c r="C35" s="134" t="s">
        <v>475</v>
      </c>
      <c r="D35" s="140" t="s">
        <v>490</v>
      </c>
      <c r="E35" s="141" t="s">
        <v>528</v>
      </c>
      <c r="F35" s="139" t="s">
        <v>145</v>
      </c>
      <c r="G35" s="143">
        <f>49800+1480000</f>
        <v>1529800</v>
      </c>
      <c r="H35" s="153">
        <f>49800+1480000</f>
        <v>1529800</v>
      </c>
      <c r="I35" s="156">
        <f>49800+1480000</f>
        <v>1529800</v>
      </c>
      <c r="J35" s="156"/>
      <c r="K35" s="156"/>
      <c r="L35" s="156"/>
      <c r="M35" s="156"/>
    </row>
    <row r="36" spans="1:13" ht="112.5" x14ac:dyDescent="0.2">
      <c r="A36" s="147" t="s">
        <v>566</v>
      </c>
      <c r="B36" s="311" t="s">
        <v>570</v>
      </c>
      <c r="C36" s="134" t="s">
        <v>475</v>
      </c>
      <c r="D36" s="146" t="s">
        <v>491</v>
      </c>
      <c r="E36" s="151" t="s">
        <v>492</v>
      </c>
      <c r="F36" s="139" t="s">
        <v>147</v>
      </c>
      <c r="G36" s="143">
        <v>3910004</v>
      </c>
      <c r="H36" s="153">
        <f>I36</f>
        <v>2680093</v>
      </c>
      <c r="I36" s="148">
        <f>569300+224293+1886500</f>
        <v>2680093</v>
      </c>
      <c r="J36" s="148"/>
      <c r="K36" s="148"/>
      <c r="L36" s="148"/>
      <c r="M36" s="148"/>
    </row>
    <row r="37" spans="1:13" ht="112.5" x14ac:dyDescent="0.2">
      <c r="A37" s="147" t="s">
        <v>566</v>
      </c>
      <c r="B37" s="311" t="s">
        <v>570</v>
      </c>
      <c r="C37" s="134" t="s">
        <v>475</v>
      </c>
      <c r="D37" s="142" t="s">
        <v>493</v>
      </c>
      <c r="E37" s="151" t="s">
        <v>152</v>
      </c>
      <c r="F37" s="147" t="s">
        <v>145</v>
      </c>
      <c r="G37" s="154">
        <v>410000</v>
      </c>
      <c r="H37" s="157">
        <v>410000</v>
      </c>
      <c r="I37" s="156">
        <v>410000</v>
      </c>
      <c r="J37" s="156"/>
      <c r="K37" s="156"/>
      <c r="L37" s="156"/>
      <c r="M37" s="156"/>
    </row>
    <row r="38" spans="1:13" ht="168.75" x14ac:dyDescent="0.2">
      <c r="A38" s="147" t="s">
        <v>566</v>
      </c>
      <c r="B38" s="311" t="s">
        <v>570</v>
      </c>
      <c r="C38" s="134" t="s">
        <v>475</v>
      </c>
      <c r="D38" s="370" t="s">
        <v>669</v>
      </c>
      <c r="E38" s="151" t="s">
        <v>667</v>
      </c>
      <c r="F38" s="139" t="s">
        <v>144</v>
      </c>
      <c r="G38" s="143">
        <v>5864853</v>
      </c>
      <c r="H38" s="153">
        <v>582673</v>
      </c>
      <c r="I38" s="156">
        <v>582673</v>
      </c>
      <c r="J38" s="156"/>
      <c r="K38" s="156"/>
      <c r="L38" s="156"/>
      <c r="M38" s="156"/>
    </row>
    <row r="39" spans="1:13" ht="112.5" x14ac:dyDescent="0.2">
      <c r="A39" s="147" t="s">
        <v>566</v>
      </c>
      <c r="B39" s="311" t="s">
        <v>570</v>
      </c>
      <c r="C39" s="134" t="s">
        <v>475</v>
      </c>
      <c r="D39" s="370" t="s">
        <v>670</v>
      </c>
      <c r="E39" s="371" t="s">
        <v>607</v>
      </c>
      <c r="F39" s="369" t="s">
        <v>145</v>
      </c>
      <c r="G39" s="372">
        <v>4191071</v>
      </c>
      <c r="H39" s="372">
        <v>4191071</v>
      </c>
      <c r="I39" s="372">
        <v>4191071</v>
      </c>
      <c r="J39" s="155"/>
      <c r="K39" s="155"/>
      <c r="L39" s="155"/>
      <c r="M39" s="155"/>
    </row>
    <row r="40" spans="1:13" ht="75" x14ac:dyDescent="0.2">
      <c r="A40" s="144" t="s">
        <v>571</v>
      </c>
      <c r="B40" s="145" t="s">
        <v>572</v>
      </c>
      <c r="C40" s="158" t="s">
        <v>494</v>
      </c>
      <c r="D40" s="146" t="s">
        <v>495</v>
      </c>
      <c r="E40" s="159" t="s">
        <v>496</v>
      </c>
      <c r="F40" s="147" t="s">
        <v>149</v>
      </c>
      <c r="G40" s="154">
        <f>45050824-45050824+41614646</f>
        <v>41614646</v>
      </c>
      <c r="H40" s="160">
        <f>I40</f>
        <v>91134</v>
      </c>
      <c r="I40" s="160">
        <f>6142657-6142657+91134</f>
        <v>91134</v>
      </c>
      <c r="J40" s="160"/>
      <c r="K40" s="160"/>
      <c r="L40" s="160"/>
      <c r="M40" s="160"/>
    </row>
    <row r="41" spans="1:13" ht="18.75" x14ac:dyDescent="0.3">
      <c r="A41" s="427" t="s">
        <v>497</v>
      </c>
      <c r="B41" s="427"/>
      <c r="C41" s="427"/>
      <c r="D41" s="427"/>
      <c r="E41" s="427"/>
      <c r="F41" s="427"/>
      <c r="G41" s="427"/>
      <c r="H41" s="161">
        <f>H24+H25+H26+H27+H28+H29+H30+H31+H32+H33+H34+H35+H36+H37+H38+H40+H39</f>
        <v>40548941</v>
      </c>
      <c r="I41" s="161">
        <f>I24+I25+I26+I27+I28+I29+I30+I31+I32+I33+I34+I35+I36+I37+I38+I40+I39</f>
        <v>40548941</v>
      </c>
      <c r="J41" s="161">
        <f t="shared" ref="J41:M41" si="0">J24+J25+J26+J27+J28+J29+J30+J31+J32+J33+J34+J35+J36+J37+J38+J40+J39</f>
        <v>0</v>
      </c>
      <c r="K41" s="161">
        <f t="shared" si="0"/>
        <v>0</v>
      </c>
      <c r="L41" s="161">
        <f t="shared" si="0"/>
        <v>0</v>
      </c>
      <c r="M41" s="161">
        <f t="shared" si="0"/>
        <v>52006</v>
      </c>
    </row>
    <row r="42" spans="1:13" ht="15" x14ac:dyDescent="0.25">
      <c r="A42" s="23"/>
      <c r="B42" s="23"/>
      <c r="C42" s="24"/>
      <c r="D42" s="25"/>
      <c r="E42" s="27"/>
      <c r="F42" s="25"/>
      <c r="G42" s="28"/>
      <c r="H42" s="29"/>
      <c r="I42" s="23"/>
      <c r="J42" s="23"/>
      <c r="K42" s="23"/>
      <c r="L42" s="23"/>
      <c r="M42" s="23"/>
    </row>
    <row r="43" spans="1:13" ht="18.75" x14ac:dyDescent="0.3">
      <c r="C43" s="376" t="s">
        <v>106</v>
      </c>
      <c r="D43" s="376"/>
      <c r="E43" s="376"/>
      <c r="F43" s="376"/>
      <c r="G43" s="376"/>
      <c r="H43" s="376"/>
      <c r="I43" s="376"/>
      <c r="J43" s="376"/>
      <c r="K43" s="376"/>
      <c r="L43" s="376"/>
    </row>
  </sheetData>
  <mergeCells count="20">
    <mergeCell ref="K5:L5"/>
    <mergeCell ref="K9:M9"/>
    <mergeCell ref="K10:M10"/>
    <mergeCell ref="K13:L13"/>
    <mergeCell ref="A18:M18"/>
    <mergeCell ref="B19:D19"/>
    <mergeCell ref="E19:H19"/>
    <mergeCell ref="B20:D20"/>
    <mergeCell ref="A21:A22"/>
    <mergeCell ref="B21:B22"/>
    <mergeCell ref="C21:C22"/>
    <mergeCell ref="D21:D22"/>
    <mergeCell ref="C43:L43"/>
    <mergeCell ref="F21:F22"/>
    <mergeCell ref="G21:G22"/>
    <mergeCell ref="H21:H22"/>
    <mergeCell ref="I21:M21"/>
    <mergeCell ref="I23:M23"/>
    <mergeCell ref="A41:G41"/>
    <mergeCell ref="E21:E22"/>
  </mergeCells>
  <pageMargins left="0.7" right="0.7" top="0.75" bottom="0.75" header="0.3" footer="0.3"/>
  <pageSetup paperSize="9" scale="36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5"/>
  <sheetViews>
    <sheetView view="pageBreakPreview" topLeftCell="A73" zoomScale="70" zoomScaleNormal="100" zoomScaleSheetLayoutView="70" workbookViewId="0">
      <selection activeCell="H79" sqref="H79"/>
    </sheetView>
  </sheetViews>
  <sheetFormatPr defaultRowHeight="12.75" x14ac:dyDescent="0.2"/>
  <cols>
    <col min="1" max="1" width="15.28515625" customWidth="1"/>
    <col min="2" max="2" width="10.7109375" customWidth="1"/>
    <col min="3" max="3" width="12.5703125" customWidth="1"/>
    <col min="4" max="4" width="39.85546875" customWidth="1"/>
    <col min="5" max="5" width="57.5703125" customWidth="1"/>
    <col min="6" max="6" width="43" customWidth="1"/>
    <col min="7" max="7" width="19.42578125" customWidth="1"/>
    <col min="8" max="8" width="22" customWidth="1"/>
    <col min="9" max="9" width="18" customWidth="1"/>
    <col min="10" max="10" width="19.42578125" customWidth="1"/>
  </cols>
  <sheetData>
    <row r="1" spans="1:10" ht="18.75" x14ac:dyDescent="0.2">
      <c r="H1" s="353" t="s">
        <v>458</v>
      </c>
      <c r="I1" s="20"/>
    </row>
    <row r="2" spans="1:10" ht="18.75" x14ac:dyDescent="0.2">
      <c r="H2" s="353" t="s">
        <v>612</v>
      </c>
      <c r="I2" s="20"/>
    </row>
    <row r="3" spans="1:10" ht="18.75" x14ac:dyDescent="0.3">
      <c r="H3" s="117" t="s">
        <v>628</v>
      </c>
      <c r="I3" s="118"/>
    </row>
    <row r="4" spans="1:10" ht="18.75" x14ac:dyDescent="0.3">
      <c r="H4" s="119" t="s">
        <v>629</v>
      </c>
      <c r="I4" s="120"/>
    </row>
    <row r="5" spans="1:10" ht="18.75" x14ac:dyDescent="0.2">
      <c r="H5" s="375" t="s">
        <v>648</v>
      </c>
      <c r="I5" s="375"/>
    </row>
    <row r="7" spans="1:10" ht="18.75" x14ac:dyDescent="0.3">
      <c r="A7" s="190"/>
      <c r="B7" s="190"/>
      <c r="C7" s="190"/>
      <c r="D7" s="190"/>
      <c r="E7" s="190"/>
      <c r="F7" s="190"/>
      <c r="G7" s="190"/>
      <c r="H7" s="193" t="s">
        <v>658</v>
      </c>
      <c r="I7" s="193"/>
      <c r="J7" s="193"/>
    </row>
    <row r="8" spans="1:10" ht="18.75" x14ac:dyDescent="0.25">
      <c r="A8" s="190"/>
      <c r="B8" s="190"/>
      <c r="C8" s="190"/>
      <c r="D8" s="190"/>
      <c r="E8" s="190"/>
      <c r="F8" s="190"/>
      <c r="G8" s="190"/>
      <c r="H8" s="115" t="s">
        <v>104</v>
      </c>
      <c r="I8" s="20"/>
      <c r="J8" s="116"/>
    </row>
    <row r="9" spans="1:10" ht="18.75" x14ac:dyDescent="0.25">
      <c r="A9" s="190"/>
      <c r="B9" s="190"/>
      <c r="C9" s="190"/>
      <c r="D9" s="190"/>
      <c r="E9" s="190"/>
      <c r="F9" s="190"/>
      <c r="G9" s="190"/>
      <c r="H9" s="375" t="s">
        <v>108</v>
      </c>
      <c r="I9" s="375"/>
      <c r="J9" s="375"/>
    </row>
    <row r="10" spans="1:10" ht="18.75" x14ac:dyDescent="0.25">
      <c r="A10" s="190"/>
      <c r="B10" s="190"/>
      <c r="C10" s="190"/>
      <c r="D10" s="190"/>
      <c r="E10" s="190"/>
      <c r="F10" s="190"/>
      <c r="G10" s="190"/>
      <c r="H10" s="375" t="s">
        <v>109</v>
      </c>
      <c r="I10" s="375"/>
      <c r="J10" s="375"/>
    </row>
    <row r="11" spans="1:10" ht="18.75" x14ac:dyDescent="0.3">
      <c r="A11" s="190"/>
      <c r="B11" s="190"/>
      <c r="C11" s="190"/>
      <c r="D11" s="190"/>
      <c r="E11" s="190"/>
      <c r="F11" s="190"/>
      <c r="G11" s="190"/>
      <c r="H11" s="117" t="s">
        <v>574</v>
      </c>
      <c r="I11" s="118"/>
      <c r="J11" s="116"/>
    </row>
    <row r="12" spans="1:10" ht="18.75" x14ac:dyDescent="0.3">
      <c r="A12" s="190"/>
      <c r="B12" s="190"/>
      <c r="C12" s="190"/>
      <c r="D12" s="190"/>
      <c r="E12" s="190"/>
      <c r="F12" s="190"/>
      <c r="G12" s="190"/>
      <c r="H12" s="119" t="s">
        <v>575</v>
      </c>
      <c r="I12" s="120"/>
      <c r="J12" s="116"/>
    </row>
    <row r="13" spans="1:10" ht="18.75" x14ac:dyDescent="0.3">
      <c r="A13" s="190"/>
      <c r="B13" s="190"/>
      <c r="C13" s="190"/>
      <c r="D13" s="190"/>
      <c r="E13" s="190"/>
      <c r="F13" s="190"/>
      <c r="G13" s="190"/>
      <c r="H13" s="229" t="s">
        <v>659</v>
      </c>
      <c r="I13" s="193"/>
      <c r="J13" s="193"/>
    </row>
    <row r="15" spans="1:10" ht="20.25" x14ac:dyDescent="0.3">
      <c r="A15" s="438" t="s">
        <v>436</v>
      </c>
      <c r="B15" s="439"/>
      <c r="C15" s="439"/>
      <c r="D15" s="439"/>
      <c r="E15" s="439"/>
      <c r="F15" s="439"/>
      <c r="G15" s="439"/>
      <c r="H15" s="439"/>
      <c r="I15" s="439"/>
      <c r="J15" s="439"/>
    </row>
    <row r="17" spans="1:10" ht="15" x14ac:dyDescent="0.25">
      <c r="A17" s="224" t="s">
        <v>70</v>
      </c>
      <c r="B17" s="190"/>
      <c r="C17" s="190"/>
      <c r="D17" s="190"/>
      <c r="E17" s="190"/>
      <c r="F17" s="190"/>
      <c r="G17" s="190"/>
      <c r="H17" s="190"/>
      <c r="I17" s="190"/>
      <c r="J17" s="190"/>
    </row>
    <row r="18" spans="1:10" ht="15.75" thickBot="1" x14ac:dyDescent="0.3">
      <c r="A18" s="190" t="s">
        <v>0</v>
      </c>
      <c r="B18" s="190"/>
      <c r="C18" s="190"/>
      <c r="D18" s="190"/>
      <c r="E18" s="190"/>
      <c r="F18" s="190"/>
      <c r="G18" s="190"/>
      <c r="H18" s="190"/>
      <c r="I18" s="190"/>
      <c r="J18" s="192" t="s">
        <v>1</v>
      </c>
    </row>
    <row r="19" spans="1:10" x14ac:dyDescent="0.2">
      <c r="A19" s="440" t="s">
        <v>2</v>
      </c>
      <c r="B19" s="442" t="s">
        <v>3</v>
      </c>
      <c r="C19" s="442" t="s">
        <v>286</v>
      </c>
      <c r="D19" s="442" t="s">
        <v>287</v>
      </c>
      <c r="E19" s="442" t="s">
        <v>437</v>
      </c>
      <c r="F19" s="442" t="s">
        <v>438</v>
      </c>
      <c r="G19" s="442" t="s">
        <v>158</v>
      </c>
      <c r="H19" s="442" t="s">
        <v>159</v>
      </c>
      <c r="I19" s="442" t="s">
        <v>160</v>
      </c>
      <c r="J19" s="444"/>
    </row>
    <row r="20" spans="1:10" ht="107.25" customHeight="1" thickBot="1" x14ac:dyDescent="0.25">
      <c r="A20" s="441"/>
      <c r="B20" s="443"/>
      <c r="C20" s="443"/>
      <c r="D20" s="443"/>
      <c r="E20" s="443"/>
      <c r="F20" s="443"/>
      <c r="G20" s="443"/>
      <c r="H20" s="443"/>
      <c r="I20" s="310" t="s">
        <v>161</v>
      </c>
      <c r="J20" s="288" t="s">
        <v>162</v>
      </c>
    </row>
    <row r="21" spans="1:10" ht="19.5" thickBot="1" x14ac:dyDescent="0.25">
      <c r="A21" s="289">
        <v>1</v>
      </c>
      <c r="B21" s="290">
        <v>2</v>
      </c>
      <c r="C21" s="290">
        <v>3</v>
      </c>
      <c r="D21" s="290">
        <v>4</v>
      </c>
      <c r="E21" s="290">
        <v>5</v>
      </c>
      <c r="F21" s="290">
        <v>6</v>
      </c>
      <c r="G21" s="290">
        <v>7</v>
      </c>
      <c r="H21" s="290">
        <v>8</v>
      </c>
      <c r="I21" s="291">
        <v>9</v>
      </c>
      <c r="J21" s="292">
        <v>10</v>
      </c>
    </row>
    <row r="22" spans="1:10" ht="75.75" thickBot="1" x14ac:dyDescent="0.25">
      <c r="A22" s="273" t="s">
        <v>5</v>
      </c>
      <c r="B22" s="274" t="s">
        <v>6</v>
      </c>
      <c r="C22" s="274" t="s">
        <v>6</v>
      </c>
      <c r="D22" s="287" t="s">
        <v>293</v>
      </c>
      <c r="E22" s="287" t="s">
        <v>6</v>
      </c>
      <c r="F22" s="287" t="s">
        <v>6</v>
      </c>
      <c r="G22" s="276">
        <f>G23</f>
        <v>48412481</v>
      </c>
      <c r="H22" s="276">
        <f>H23</f>
        <v>46392375</v>
      </c>
      <c r="I22" s="276">
        <f t="shared" ref="I22:J22" si="0">I23</f>
        <v>2020106</v>
      </c>
      <c r="J22" s="277">
        <f t="shared" si="0"/>
        <v>2020106</v>
      </c>
    </row>
    <row r="23" spans="1:10" ht="75" x14ac:dyDescent="0.2">
      <c r="A23" s="282" t="s">
        <v>7</v>
      </c>
      <c r="B23" s="283" t="s">
        <v>6</v>
      </c>
      <c r="C23" s="283" t="s">
        <v>6</v>
      </c>
      <c r="D23" s="284" t="s">
        <v>293</v>
      </c>
      <c r="E23" s="284" t="s">
        <v>6</v>
      </c>
      <c r="F23" s="284" t="s">
        <v>6</v>
      </c>
      <c r="G23" s="285">
        <f>G24+G25+G26+G27+G28+G29+G30+G31+G32+G33</f>
        <v>48412481</v>
      </c>
      <c r="H23" s="285">
        <f>H24+H25+H26+H27+H28+H29+H30+H31+H32+H33</f>
        <v>46392375</v>
      </c>
      <c r="I23" s="285">
        <f>I24+I25+I26+I27+I28+I29+I30+I31+I32+I33</f>
        <v>2020106</v>
      </c>
      <c r="J23" s="286">
        <f>J24+J25+J26+J27+J28+J29+J30+J31+J32+J33</f>
        <v>2020106</v>
      </c>
    </row>
    <row r="24" spans="1:10" ht="132.75" customHeight="1" x14ac:dyDescent="0.2">
      <c r="A24" s="278" t="s">
        <v>71</v>
      </c>
      <c r="B24" s="225" t="s">
        <v>72</v>
      </c>
      <c r="C24" s="225" t="s">
        <v>8</v>
      </c>
      <c r="D24" s="226" t="s">
        <v>73</v>
      </c>
      <c r="E24" s="226" t="s">
        <v>510</v>
      </c>
      <c r="F24" s="226" t="s">
        <v>511</v>
      </c>
      <c r="G24" s="227">
        <v>253185</v>
      </c>
      <c r="H24" s="227">
        <v>253185</v>
      </c>
      <c r="I24" s="227">
        <v>0</v>
      </c>
      <c r="J24" s="279">
        <v>0</v>
      </c>
    </row>
    <row r="25" spans="1:10" ht="135.75" customHeight="1" x14ac:dyDescent="0.2">
      <c r="A25" s="278" t="s">
        <v>294</v>
      </c>
      <c r="B25" s="225" t="s">
        <v>295</v>
      </c>
      <c r="C25" s="225" t="s">
        <v>296</v>
      </c>
      <c r="D25" s="226" t="s">
        <v>297</v>
      </c>
      <c r="E25" s="226" t="s">
        <v>501</v>
      </c>
      <c r="F25" s="226" t="s">
        <v>576</v>
      </c>
      <c r="G25" s="227">
        <f>H25+I25</f>
        <v>409000</v>
      </c>
      <c r="H25" s="227">
        <f>49000+360000</f>
        <v>409000</v>
      </c>
      <c r="I25" s="227">
        <v>0</v>
      </c>
      <c r="J25" s="279">
        <v>0</v>
      </c>
    </row>
    <row r="26" spans="1:10" ht="83.25" customHeight="1" x14ac:dyDescent="0.2">
      <c r="A26" s="278" t="s">
        <v>9</v>
      </c>
      <c r="B26" s="225" t="s">
        <v>10</v>
      </c>
      <c r="C26" s="225" t="s">
        <v>11</v>
      </c>
      <c r="D26" s="226" t="s">
        <v>12</v>
      </c>
      <c r="E26" s="226" t="s">
        <v>577</v>
      </c>
      <c r="F26" s="226" t="s">
        <v>549</v>
      </c>
      <c r="G26" s="227">
        <f>H26+I26</f>
        <v>12200294</v>
      </c>
      <c r="H26" s="227">
        <v>12200294</v>
      </c>
      <c r="I26" s="227">
        <f>954733-954733</f>
        <v>0</v>
      </c>
      <c r="J26" s="279">
        <f>954733-954733</f>
        <v>0</v>
      </c>
    </row>
    <row r="27" spans="1:10" ht="93.75" x14ac:dyDescent="0.2">
      <c r="A27" s="278" t="s">
        <v>9</v>
      </c>
      <c r="B27" s="225" t="s">
        <v>10</v>
      </c>
      <c r="C27" s="225" t="s">
        <v>11</v>
      </c>
      <c r="D27" s="226" t="s">
        <v>12</v>
      </c>
      <c r="E27" s="226" t="s">
        <v>578</v>
      </c>
      <c r="F27" s="226" t="s">
        <v>548</v>
      </c>
      <c r="G27" s="227">
        <f>H27</f>
        <v>13749736</v>
      </c>
      <c r="H27" s="227">
        <f>12795003+954733</f>
        <v>13749736</v>
      </c>
      <c r="I27" s="227"/>
      <c r="J27" s="279"/>
    </row>
    <row r="28" spans="1:10" ht="112.5" x14ac:dyDescent="0.2">
      <c r="A28" s="278">
        <v>212170</v>
      </c>
      <c r="B28" s="225">
        <v>2170</v>
      </c>
      <c r="C28" s="312" t="s">
        <v>304</v>
      </c>
      <c r="D28" s="226" t="s">
        <v>560</v>
      </c>
      <c r="E28" s="226" t="s">
        <v>543</v>
      </c>
      <c r="F28" s="226" t="s">
        <v>593</v>
      </c>
      <c r="G28" s="227">
        <f>I28</f>
        <v>2020106</v>
      </c>
      <c r="H28" s="227"/>
      <c r="I28" s="227">
        <v>2020106</v>
      </c>
      <c r="J28" s="279">
        <v>2020106</v>
      </c>
    </row>
    <row r="29" spans="1:10" ht="81" customHeight="1" x14ac:dyDescent="0.2">
      <c r="A29" s="278" t="s">
        <v>298</v>
      </c>
      <c r="B29" s="225" t="s">
        <v>299</v>
      </c>
      <c r="C29" s="225" t="s">
        <v>300</v>
      </c>
      <c r="D29" s="226" t="s">
        <v>301</v>
      </c>
      <c r="E29" s="226" t="s">
        <v>439</v>
      </c>
      <c r="F29" s="226" t="s">
        <v>594</v>
      </c>
      <c r="G29" s="227">
        <v>543071</v>
      </c>
      <c r="H29" s="227">
        <v>543071</v>
      </c>
      <c r="I29" s="227">
        <v>0</v>
      </c>
      <c r="J29" s="279">
        <v>0</v>
      </c>
    </row>
    <row r="30" spans="1:10" ht="78" customHeight="1" x14ac:dyDescent="0.2">
      <c r="A30" s="278" t="s">
        <v>302</v>
      </c>
      <c r="B30" s="225" t="s">
        <v>303</v>
      </c>
      <c r="C30" s="225" t="s">
        <v>304</v>
      </c>
      <c r="D30" s="226" t="s">
        <v>305</v>
      </c>
      <c r="E30" s="226" t="s">
        <v>440</v>
      </c>
      <c r="F30" s="226" t="s">
        <v>595</v>
      </c>
      <c r="G30" s="227">
        <v>2731972</v>
      </c>
      <c r="H30" s="227">
        <v>2731972</v>
      </c>
      <c r="I30" s="227">
        <v>0</v>
      </c>
      <c r="J30" s="279">
        <v>0</v>
      </c>
    </row>
    <row r="31" spans="1:10" ht="76.5" customHeight="1" x14ac:dyDescent="0.2">
      <c r="A31" s="278" t="s">
        <v>306</v>
      </c>
      <c r="B31" s="225" t="s">
        <v>307</v>
      </c>
      <c r="C31" s="225" t="s">
        <v>308</v>
      </c>
      <c r="D31" s="226" t="s">
        <v>309</v>
      </c>
      <c r="E31" s="226" t="s">
        <v>441</v>
      </c>
      <c r="F31" s="226" t="s">
        <v>596</v>
      </c>
      <c r="G31" s="227">
        <f>H31</f>
        <v>185952</v>
      </c>
      <c r="H31" s="227">
        <f>177516+8436</f>
        <v>185952</v>
      </c>
      <c r="I31" s="227">
        <v>0</v>
      </c>
      <c r="J31" s="279">
        <v>0</v>
      </c>
    </row>
    <row r="32" spans="1:10" ht="78.75" customHeight="1" x14ac:dyDescent="0.2">
      <c r="A32" s="278" t="s">
        <v>314</v>
      </c>
      <c r="B32" s="225" t="s">
        <v>315</v>
      </c>
      <c r="C32" s="225" t="s">
        <v>316</v>
      </c>
      <c r="D32" s="226" t="s">
        <v>317</v>
      </c>
      <c r="E32" s="226" t="s">
        <v>579</v>
      </c>
      <c r="F32" s="226" t="s">
        <v>597</v>
      </c>
      <c r="G32" s="227">
        <v>11945766</v>
      </c>
      <c r="H32" s="227">
        <v>11945766</v>
      </c>
      <c r="I32" s="227">
        <v>0</v>
      </c>
      <c r="J32" s="279">
        <v>0</v>
      </c>
    </row>
    <row r="33" spans="1:10" ht="113.25" thickBot="1" x14ac:dyDescent="0.25">
      <c r="A33" s="280" t="s">
        <v>318</v>
      </c>
      <c r="B33" s="270" t="s">
        <v>319</v>
      </c>
      <c r="C33" s="270" t="s">
        <v>320</v>
      </c>
      <c r="D33" s="271" t="s">
        <v>321</v>
      </c>
      <c r="E33" s="271" t="s">
        <v>442</v>
      </c>
      <c r="F33" s="271" t="s">
        <v>598</v>
      </c>
      <c r="G33" s="272">
        <f>H33</f>
        <v>4373399</v>
      </c>
      <c r="H33" s="272">
        <f>4139627+233772</f>
        <v>4373399</v>
      </c>
      <c r="I33" s="272">
        <v>0</v>
      </c>
      <c r="J33" s="281">
        <v>0</v>
      </c>
    </row>
    <row r="34" spans="1:10" ht="75.75" thickBot="1" x14ac:dyDescent="0.25">
      <c r="A34" s="273" t="s">
        <v>16</v>
      </c>
      <c r="B34" s="274" t="s">
        <v>6</v>
      </c>
      <c r="C34" s="274" t="s">
        <v>6</v>
      </c>
      <c r="D34" s="287" t="s">
        <v>512</v>
      </c>
      <c r="E34" s="287" t="s">
        <v>6</v>
      </c>
      <c r="F34" s="287" t="s">
        <v>6</v>
      </c>
      <c r="G34" s="276">
        <f>G35</f>
        <v>8836283</v>
      </c>
      <c r="H34" s="276">
        <f>H35</f>
        <v>8836283</v>
      </c>
      <c r="I34" s="276">
        <f t="shared" ref="I34:J34" si="1">I35</f>
        <v>0</v>
      </c>
      <c r="J34" s="277">
        <f t="shared" si="1"/>
        <v>0</v>
      </c>
    </row>
    <row r="35" spans="1:10" ht="75" x14ac:dyDescent="0.2">
      <c r="A35" s="282" t="s">
        <v>17</v>
      </c>
      <c r="B35" s="283" t="s">
        <v>6</v>
      </c>
      <c r="C35" s="283" t="s">
        <v>6</v>
      </c>
      <c r="D35" s="284" t="s">
        <v>512</v>
      </c>
      <c r="E35" s="284" t="s">
        <v>6</v>
      </c>
      <c r="F35" s="284" t="s">
        <v>6</v>
      </c>
      <c r="G35" s="285">
        <f>G36+G37+G38+G39+G40+G41+G42+G43</f>
        <v>8836283</v>
      </c>
      <c r="H35" s="285">
        <f>H36+H37+H38+H39+H40+H41+H42+H43</f>
        <v>8836283</v>
      </c>
      <c r="I35" s="285">
        <f t="shared" ref="I35:J35" si="2">I36+I37+I38+I39+I40+I41+I42+I43</f>
        <v>0</v>
      </c>
      <c r="J35" s="286">
        <f t="shared" si="2"/>
        <v>0</v>
      </c>
    </row>
    <row r="36" spans="1:10" ht="81" customHeight="1" x14ac:dyDescent="0.2">
      <c r="A36" s="278" t="s">
        <v>19</v>
      </c>
      <c r="B36" s="225" t="s">
        <v>20</v>
      </c>
      <c r="C36" s="225" t="s">
        <v>21</v>
      </c>
      <c r="D36" s="226" t="s">
        <v>22</v>
      </c>
      <c r="E36" s="226" t="s">
        <v>580</v>
      </c>
      <c r="F36" s="226" t="s">
        <v>550</v>
      </c>
      <c r="G36" s="227">
        <v>855358</v>
      </c>
      <c r="H36" s="227">
        <v>855358</v>
      </c>
      <c r="I36" s="227">
        <v>0</v>
      </c>
      <c r="J36" s="279">
        <v>0</v>
      </c>
    </row>
    <row r="37" spans="1:10" ht="81" customHeight="1" x14ac:dyDescent="0.2">
      <c r="A37" s="278" t="s">
        <v>324</v>
      </c>
      <c r="B37" s="225" t="s">
        <v>135</v>
      </c>
      <c r="C37" s="225" t="s">
        <v>136</v>
      </c>
      <c r="D37" s="226" t="s">
        <v>137</v>
      </c>
      <c r="E37" s="226" t="s">
        <v>580</v>
      </c>
      <c r="F37" s="226" t="s">
        <v>550</v>
      </c>
      <c r="G37" s="227">
        <v>6677166</v>
      </c>
      <c r="H37" s="227">
        <v>6677166</v>
      </c>
      <c r="I37" s="227">
        <v>0</v>
      </c>
      <c r="J37" s="279">
        <v>0</v>
      </c>
    </row>
    <row r="38" spans="1:10" ht="78.75" customHeight="1" x14ac:dyDescent="0.2">
      <c r="A38" s="278" t="s">
        <v>325</v>
      </c>
      <c r="B38" s="225" t="s">
        <v>326</v>
      </c>
      <c r="C38" s="225" t="s">
        <v>127</v>
      </c>
      <c r="D38" s="226" t="s">
        <v>327</v>
      </c>
      <c r="E38" s="226" t="s">
        <v>580</v>
      </c>
      <c r="F38" s="226" t="s">
        <v>550</v>
      </c>
      <c r="G38" s="227">
        <v>33661</v>
      </c>
      <c r="H38" s="227">
        <v>33661</v>
      </c>
      <c r="I38" s="227">
        <v>0</v>
      </c>
      <c r="J38" s="279">
        <v>0</v>
      </c>
    </row>
    <row r="39" spans="1:10" ht="86.25" customHeight="1" x14ac:dyDescent="0.2">
      <c r="A39" s="278" t="s">
        <v>331</v>
      </c>
      <c r="B39" s="225" t="s">
        <v>332</v>
      </c>
      <c r="C39" s="225" t="s">
        <v>23</v>
      </c>
      <c r="D39" s="226" t="s">
        <v>333</v>
      </c>
      <c r="E39" s="226" t="s">
        <v>580</v>
      </c>
      <c r="F39" s="226" t="s">
        <v>550</v>
      </c>
      <c r="G39" s="227">
        <v>38708</v>
      </c>
      <c r="H39" s="227">
        <v>38708</v>
      </c>
      <c r="I39" s="227">
        <v>0</v>
      </c>
      <c r="J39" s="279">
        <v>0</v>
      </c>
    </row>
    <row r="40" spans="1:10" ht="84" customHeight="1" x14ac:dyDescent="0.2">
      <c r="A40" s="278" t="s">
        <v>334</v>
      </c>
      <c r="B40" s="225" t="s">
        <v>335</v>
      </c>
      <c r="C40" s="225" t="s">
        <v>23</v>
      </c>
      <c r="D40" s="226" t="s">
        <v>336</v>
      </c>
      <c r="E40" s="226" t="s">
        <v>580</v>
      </c>
      <c r="F40" s="226" t="s">
        <v>550</v>
      </c>
      <c r="G40" s="227">
        <v>7070</v>
      </c>
      <c r="H40" s="227">
        <v>7070</v>
      </c>
      <c r="I40" s="227">
        <v>0</v>
      </c>
      <c r="J40" s="279">
        <v>0</v>
      </c>
    </row>
    <row r="41" spans="1:10" ht="78.75" customHeight="1" x14ac:dyDescent="0.2">
      <c r="A41" s="278" t="s">
        <v>337</v>
      </c>
      <c r="B41" s="225" t="s">
        <v>338</v>
      </c>
      <c r="C41" s="225" t="s">
        <v>23</v>
      </c>
      <c r="D41" s="226" t="s">
        <v>339</v>
      </c>
      <c r="E41" s="226" t="s">
        <v>580</v>
      </c>
      <c r="F41" s="226" t="s">
        <v>550</v>
      </c>
      <c r="G41" s="227">
        <v>6921</v>
      </c>
      <c r="H41" s="227">
        <v>6921</v>
      </c>
      <c r="I41" s="227">
        <v>0</v>
      </c>
      <c r="J41" s="279">
        <v>0</v>
      </c>
    </row>
    <row r="42" spans="1:10" ht="67.5" customHeight="1" x14ac:dyDescent="0.2">
      <c r="A42" s="278" t="s">
        <v>337</v>
      </c>
      <c r="B42" s="225" t="s">
        <v>338</v>
      </c>
      <c r="C42" s="225" t="s">
        <v>23</v>
      </c>
      <c r="D42" s="226" t="s">
        <v>339</v>
      </c>
      <c r="E42" s="226" t="s">
        <v>581</v>
      </c>
      <c r="F42" s="226" t="s">
        <v>500</v>
      </c>
      <c r="G42" s="227">
        <v>49008</v>
      </c>
      <c r="H42" s="227">
        <v>49008</v>
      </c>
      <c r="I42" s="227">
        <v>0</v>
      </c>
      <c r="J42" s="279">
        <v>0</v>
      </c>
    </row>
    <row r="43" spans="1:10" ht="131.25" customHeight="1" thickBot="1" x14ac:dyDescent="0.25">
      <c r="A43" s="280" t="s">
        <v>340</v>
      </c>
      <c r="B43" s="270" t="s">
        <v>341</v>
      </c>
      <c r="C43" s="270" t="s">
        <v>342</v>
      </c>
      <c r="D43" s="271" t="s">
        <v>343</v>
      </c>
      <c r="E43" s="271" t="s">
        <v>551</v>
      </c>
      <c r="F43" s="271" t="s">
        <v>443</v>
      </c>
      <c r="G43" s="272">
        <v>1168391</v>
      </c>
      <c r="H43" s="272">
        <v>1168391</v>
      </c>
      <c r="I43" s="272">
        <v>0</v>
      </c>
      <c r="J43" s="281">
        <v>0</v>
      </c>
    </row>
    <row r="44" spans="1:10" ht="75.75" thickBot="1" x14ac:dyDescent="0.25">
      <c r="A44" s="273" t="s">
        <v>24</v>
      </c>
      <c r="B44" s="274" t="s">
        <v>6</v>
      </c>
      <c r="C44" s="274" t="s">
        <v>6</v>
      </c>
      <c r="D44" s="287" t="s">
        <v>93</v>
      </c>
      <c r="E44" s="287" t="s">
        <v>6</v>
      </c>
      <c r="F44" s="287" t="s">
        <v>6</v>
      </c>
      <c r="G44" s="276">
        <f>G45</f>
        <v>26066835</v>
      </c>
      <c r="H44" s="276">
        <f t="shared" ref="H44:J44" si="3">H45</f>
        <v>26066835</v>
      </c>
      <c r="I44" s="276">
        <f t="shared" si="3"/>
        <v>0</v>
      </c>
      <c r="J44" s="277">
        <f t="shared" si="3"/>
        <v>0</v>
      </c>
    </row>
    <row r="45" spans="1:10" ht="75" x14ac:dyDescent="0.2">
      <c r="A45" s="282" t="s">
        <v>25</v>
      </c>
      <c r="B45" s="283" t="s">
        <v>6</v>
      </c>
      <c r="C45" s="283" t="s">
        <v>6</v>
      </c>
      <c r="D45" s="284" t="s">
        <v>93</v>
      </c>
      <c r="E45" s="284" t="s">
        <v>6</v>
      </c>
      <c r="F45" s="284" t="s">
        <v>6</v>
      </c>
      <c r="G45" s="285">
        <f>G46+G48+G49+G50+G51+G52+G47</f>
        <v>26066835</v>
      </c>
      <c r="H45" s="285">
        <f>H46+H48+H49+H50+H51+H52+H47</f>
        <v>26066835</v>
      </c>
      <c r="I45" s="285">
        <f t="shared" ref="I45:J45" si="4">I46+I48+I49</f>
        <v>0</v>
      </c>
      <c r="J45" s="286">
        <f t="shared" si="4"/>
        <v>0</v>
      </c>
    </row>
    <row r="46" spans="1:10" ht="95.25" customHeight="1" x14ac:dyDescent="0.2">
      <c r="A46" s="278" t="s">
        <v>77</v>
      </c>
      <c r="B46" s="225" t="s">
        <v>78</v>
      </c>
      <c r="C46" s="225" t="s">
        <v>20</v>
      </c>
      <c r="D46" s="226" t="s">
        <v>79</v>
      </c>
      <c r="E46" s="226" t="s">
        <v>513</v>
      </c>
      <c r="F46" s="226" t="s">
        <v>444</v>
      </c>
      <c r="G46" s="227">
        <v>17943</v>
      </c>
      <c r="H46" s="227">
        <v>17943</v>
      </c>
      <c r="I46" s="227">
        <v>0</v>
      </c>
      <c r="J46" s="279">
        <v>0</v>
      </c>
    </row>
    <row r="47" spans="1:10" ht="74.25" customHeight="1" x14ac:dyDescent="0.2">
      <c r="A47" s="365" t="s">
        <v>638</v>
      </c>
      <c r="B47" s="225">
        <v>3032</v>
      </c>
      <c r="C47" s="225">
        <v>1070</v>
      </c>
      <c r="D47" s="187" t="s">
        <v>639</v>
      </c>
      <c r="E47" s="366" t="s">
        <v>661</v>
      </c>
      <c r="F47" s="366" t="s">
        <v>660</v>
      </c>
      <c r="G47" s="227">
        <f>H47+I47</f>
        <v>2130</v>
      </c>
      <c r="H47" s="227">
        <v>2130</v>
      </c>
      <c r="I47" s="227"/>
      <c r="J47" s="279"/>
    </row>
    <row r="48" spans="1:10" ht="112.5" x14ac:dyDescent="0.2">
      <c r="A48" s="278" t="s">
        <v>115</v>
      </c>
      <c r="B48" s="225" t="s">
        <v>347</v>
      </c>
      <c r="C48" s="225" t="s">
        <v>348</v>
      </c>
      <c r="D48" s="226" t="s">
        <v>116</v>
      </c>
      <c r="E48" s="226" t="s">
        <v>582</v>
      </c>
      <c r="F48" s="226" t="s">
        <v>552</v>
      </c>
      <c r="G48" s="227">
        <v>63800</v>
      </c>
      <c r="H48" s="227">
        <v>63800</v>
      </c>
      <c r="I48" s="227">
        <v>0</v>
      </c>
      <c r="J48" s="279">
        <v>0</v>
      </c>
    </row>
    <row r="49" spans="1:10" ht="88.5" customHeight="1" x14ac:dyDescent="0.2">
      <c r="A49" s="278" t="s">
        <v>349</v>
      </c>
      <c r="B49" s="225" t="s">
        <v>350</v>
      </c>
      <c r="C49" s="225" t="s">
        <v>348</v>
      </c>
      <c r="D49" s="187" t="s">
        <v>674</v>
      </c>
      <c r="E49" s="226" t="s">
        <v>502</v>
      </c>
      <c r="F49" s="226" t="s">
        <v>544</v>
      </c>
      <c r="G49" s="227">
        <f>H49</f>
        <v>22801900</v>
      </c>
      <c r="H49" s="227">
        <v>22801900</v>
      </c>
      <c r="I49" s="227">
        <v>0</v>
      </c>
      <c r="J49" s="279">
        <v>0</v>
      </c>
    </row>
    <row r="50" spans="1:10" ht="131.25" x14ac:dyDescent="0.2">
      <c r="A50" s="278" t="s">
        <v>349</v>
      </c>
      <c r="B50" s="225" t="s">
        <v>350</v>
      </c>
      <c r="C50" s="225" t="s">
        <v>348</v>
      </c>
      <c r="D50" s="187" t="s">
        <v>674</v>
      </c>
      <c r="E50" s="226" t="s">
        <v>503</v>
      </c>
      <c r="F50" s="226" t="s">
        <v>504</v>
      </c>
      <c r="G50" s="227">
        <f>H50</f>
        <v>3000000</v>
      </c>
      <c r="H50" s="227">
        <v>3000000</v>
      </c>
      <c r="I50" s="227"/>
      <c r="J50" s="279"/>
    </row>
    <row r="51" spans="1:10" ht="93.75" x14ac:dyDescent="0.2">
      <c r="A51" s="278" t="s">
        <v>349</v>
      </c>
      <c r="B51" s="225" t="s">
        <v>350</v>
      </c>
      <c r="C51" s="225" t="s">
        <v>348</v>
      </c>
      <c r="D51" s="187" t="s">
        <v>674</v>
      </c>
      <c r="E51" s="226" t="s">
        <v>505</v>
      </c>
      <c r="F51" s="226" t="s">
        <v>545</v>
      </c>
      <c r="G51" s="227">
        <f>H51</f>
        <v>97200</v>
      </c>
      <c r="H51" s="227">
        <v>97200</v>
      </c>
      <c r="I51" s="227"/>
      <c r="J51" s="279"/>
    </row>
    <row r="52" spans="1:10" ht="113.25" thickBot="1" x14ac:dyDescent="0.25">
      <c r="A52" s="280" t="s">
        <v>349</v>
      </c>
      <c r="B52" s="270" t="s">
        <v>350</v>
      </c>
      <c r="C52" s="270" t="s">
        <v>348</v>
      </c>
      <c r="D52" s="187" t="s">
        <v>674</v>
      </c>
      <c r="E52" s="271" t="s">
        <v>506</v>
      </c>
      <c r="F52" s="271" t="s">
        <v>507</v>
      </c>
      <c r="G52" s="272">
        <f>H52</f>
        <v>83862</v>
      </c>
      <c r="H52" s="272">
        <v>83862</v>
      </c>
      <c r="I52" s="272"/>
      <c r="J52" s="281"/>
    </row>
    <row r="53" spans="1:10" ht="75.75" thickBot="1" x14ac:dyDescent="0.25">
      <c r="A53" s="273" t="s">
        <v>26</v>
      </c>
      <c r="B53" s="274" t="s">
        <v>6</v>
      </c>
      <c r="C53" s="274" t="s">
        <v>6</v>
      </c>
      <c r="D53" s="287" t="s">
        <v>94</v>
      </c>
      <c r="E53" s="287" t="s">
        <v>6</v>
      </c>
      <c r="F53" s="287" t="s">
        <v>6</v>
      </c>
      <c r="G53" s="276">
        <f>G54</f>
        <v>100000</v>
      </c>
      <c r="H53" s="276">
        <f t="shared" ref="H53:J54" si="5">H54</f>
        <v>100000</v>
      </c>
      <c r="I53" s="276">
        <f t="shared" si="5"/>
        <v>0</v>
      </c>
      <c r="J53" s="277">
        <f t="shared" si="5"/>
        <v>0</v>
      </c>
    </row>
    <row r="54" spans="1:10" ht="75" x14ac:dyDescent="0.2">
      <c r="A54" s="282" t="s">
        <v>27</v>
      </c>
      <c r="B54" s="283" t="s">
        <v>6</v>
      </c>
      <c r="C54" s="283" t="s">
        <v>6</v>
      </c>
      <c r="D54" s="284" t="s">
        <v>94</v>
      </c>
      <c r="E54" s="284" t="s">
        <v>6</v>
      </c>
      <c r="F54" s="284" t="s">
        <v>6</v>
      </c>
      <c r="G54" s="285">
        <f>G55</f>
        <v>100000</v>
      </c>
      <c r="H54" s="285">
        <f t="shared" si="5"/>
        <v>100000</v>
      </c>
      <c r="I54" s="285">
        <f t="shared" si="5"/>
        <v>0</v>
      </c>
      <c r="J54" s="286">
        <f t="shared" si="5"/>
        <v>0</v>
      </c>
    </row>
    <row r="55" spans="1:10" ht="94.5" thickBot="1" x14ac:dyDescent="0.25">
      <c r="A55" s="280" t="s">
        <v>352</v>
      </c>
      <c r="B55" s="270" t="s">
        <v>353</v>
      </c>
      <c r="C55" s="270" t="s">
        <v>342</v>
      </c>
      <c r="D55" s="271" t="s">
        <v>354</v>
      </c>
      <c r="E55" s="271" t="s">
        <v>445</v>
      </c>
      <c r="F55" s="271" t="s">
        <v>553</v>
      </c>
      <c r="G55" s="272">
        <v>100000</v>
      </c>
      <c r="H55" s="272">
        <v>100000</v>
      </c>
      <c r="I55" s="272">
        <v>0</v>
      </c>
      <c r="J55" s="281">
        <v>0</v>
      </c>
    </row>
    <row r="56" spans="1:10" ht="94.5" thickBot="1" x14ac:dyDescent="0.25">
      <c r="A56" s="273" t="s">
        <v>28</v>
      </c>
      <c r="B56" s="274" t="s">
        <v>6</v>
      </c>
      <c r="C56" s="274" t="s">
        <v>6</v>
      </c>
      <c r="D56" s="287" t="s">
        <v>95</v>
      </c>
      <c r="E56" s="287" t="s">
        <v>6</v>
      </c>
      <c r="F56" s="287" t="s">
        <v>6</v>
      </c>
      <c r="G56" s="276">
        <f>G57</f>
        <v>46044505</v>
      </c>
      <c r="H56" s="276">
        <f t="shared" ref="H56:J56" si="6">H57</f>
        <v>46044505</v>
      </c>
      <c r="I56" s="276">
        <f t="shared" si="6"/>
        <v>0</v>
      </c>
      <c r="J56" s="277">
        <f t="shared" si="6"/>
        <v>0</v>
      </c>
    </row>
    <row r="57" spans="1:10" ht="93.75" x14ac:dyDescent="0.2">
      <c r="A57" s="282" t="s">
        <v>29</v>
      </c>
      <c r="B57" s="283" t="s">
        <v>6</v>
      </c>
      <c r="C57" s="283" t="s">
        <v>6</v>
      </c>
      <c r="D57" s="284" t="s">
        <v>95</v>
      </c>
      <c r="E57" s="284" t="s">
        <v>6</v>
      </c>
      <c r="F57" s="284" t="s">
        <v>6</v>
      </c>
      <c r="G57" s="285">
        <f>G58+G59+G60+G61+G62+G63+G64+G65+G66+G67+G68+G69</f>
        <v>46044505</v>
      </c>
      <c r="H57" s="285">
        <f>H58+H59+H60+H61+H62+H63+H64+H65+H66+H67+H68+H69</f>
        <v>46044505</v>
      </c>
      <c r="I57" s="285">
        <v>0</v>
      </c>
      <c r="J57" s="286">
        <v>0</v>
      </c>
    </row>
    <row r="58" spans="1:10" ht="93.75" x14ac:dyDescent="0.2">
      <c r="A58" s="278" t="s">
        <v>356</v>
      </c>
      <c r="B58" s="225" t="s">
        <v>357</v>
      </c>
      <c r="C58" s="225" t="s">
        <v>127</v>
      </c>
      <c r="D58" s="226" t="s">
        <v>117</v>
      </c>
      <c r="E58" s="226" t="s">
        <v>446</v>
      </c>
      <c r="F58" s="226" t="s">
        <v>514</v>
      </c>
      <c r="G58" s="227">
        <f>H58+I58</f>
        <v>47184</v>
      </c>
      <c r="H58" s="227">
        <f>35200+11984</f>
        <v>47184</v>
      </c>
      <c r="I58" s="227">
        <v>0</v>
      </c>
      <c r="J58" s="279">
        <v>0</v>
      </c>
    </row>
    <row r="59" spans="1:10" ht="93.75" x14ac:dyDescent="0.2">
      <c r="A59" s="278" t="s">
        <v>358</v>
      </c>
      <c r="B59" s="225" t="s">
        <v>359</v>
      </c>
      <c r="C59" s="225" t="s">
        <v>342</v>
      </c>
      <c r="D59" s="226" t="s">
        <v>360</v>
      </c>
      <c r="E59" s="226" t="s">
        <v>582</v>
      </c>
      <c r="F59" s="226" t="s">
        <v>552</v>
      </c>
      <c r="G59" s="227">
        <v>336762</v>
      </c>
      <c r="H59" s="227">
        <v>336762</v>
      </c>
      <c r="I59" s="227">
        <v>0</v>
      </c>
      <c r="J59" s="279">
        <v>0</v>
      </c>
    </row>
    <row r="60" spans="1:10" ht="93.75" x14ac:dyDescent="0.2">
      <c r="A60" s="278" t="s">
        <v>358</v>
      </c>
      <c r="B60" s="225" t="s">
        <v>359</v>
      </c>
      <c r="C60" s="225" t="s">
        <v>342</v>
      </c>
      <c r="D60" s="226" t="s">
        <v>360</v>
      </c>
      <c r="E60" s="226" t="s">
        <v>558</v>
      </c>
      <c r="F60" s="226" t="s">
        <v>500</v>
      </c>
      <c r="G60" s="227">
        <v>32970</v>
      </c>
      <c r="H60" s="227">
        <v>32970</v>
      </c>
      <c r="I60" s="227">
        <v>0</v>
      </c>
      <c r="J60" s="279">
        <v>0</v>
      </c>
    </row>
    <row r="61" spans="1:10" ht="93.75" x14ac:dyDescent="0.2">
      <c r="A61" s="278" t="s">
        <v>30</v>
      </c>
      <c r="B61" s="225" t="s">
        <v>31</v>
      </c>
      <c r="C61" s="225" t="s">
        <v>32</v>
      </c>
      <c r="D61" s="226" t="s">
        <v>33</v>
      </c>
      <c r="E61" s="226" t="s">
        <v>446</v>
      </c>
      <c r="F61" s="226" t="s">
        <v>447</v>
      </c>
      <c r="G61" s="227">
        <f>H61+I61</f>
        <v>15076</v>
      </c>
      <c r="H61" s="227">
        <f>9000+6076</f>
        <v>15076</v>
      </c>
      <c r="I61" s="227">
        <v>0</v>
      </c>
      <c r="J61" s="279">
        <v>0</v>
      </c>
    </row>
    <row r="62" spans="1:10" ht="93.75" x14ac:dyDescent="0.2">
      <c r="A62" s="278" t="s">
        <v>34</v>
      </c>
      <c r="B62" s="225" t="s">
        <v>35</v>
      </c>
      <c r="C62" s="225" t="s">
        <v>32</v>
      </c>
      <c r="D62" s="226" t="s">
        <v>36</v>
      </c>
      <c r="E62" s="226" t="s">
        <v>446</v>
      </c>
      <c r="F62" s="226" t="s">
        <v>448</v>
      </c>
      <c r="G62" s="227">
        <f>H62+I62</f>
        <v>4712</v>
      </c>
      <c r="H62" s="227">
        <f>3000+1712</f>
        <v>4712</v>
      </c>
      <c r="I62" s="227">
        <v>0</v>
      </c>
      <c r="J62" s="279">
        <v>0</v>
      </c>
    </row>
    <row r="63" spans="1:10" ht="93.75" x14ac:dyDescent="0.2">
      <c r="A63" s="278" t="s">
        <v>361</v>
      </c>
      <c r="B63" s="225" t="s">
        <v>362</v>
      </c>
      <c r="C63" s="225" t="s">
        <v>128</v>
      </c>
      <c r="D63" s="226" t="s">
        <v>118</v>
      </c>
      <c r="E63" s="226" t="s">
        <v>446</v>
      </c>
      <c r="F63" s="226" t="s">
        <v>448</v>
      </c>
      <c r="G63" s="227">
        <f>H63+I63</f>
        <v>75378</v>
      </c>
      <c r="H63" s="227">
        <f>40000+35378</f>
        <v>75378</v>
      </c>
      <c r="I63" s="227">
        <v>0</v>
      </c>
      <c r="J63" s="279">
        <v>0</v>
      </c>
    </row>
    <row r="64" spans="1:10" ht="93.75" x14ac:dyDescent="0.2">
      <c r="A64" s="278" t="s">
        <v>365</v>
      </c>
      <c r="B64" s="225" t="s">
        <v>366</v>
      </c>
      <c r="C64" s="225" t="s">
        <v>129</v>
      </c>
      <c r="D64" s="226" t="s">
        <v>367</v>
      </c>
      <c r="E64" s="226" t="s">
        <v>446</v>
      </c>
      <c r="F64" s="226" t="s">
        <v>449</v>
      </c>
      <c r="G64" s="227">
        <v>329000</v>
      </c>
      <c r="H64" s="227">
        <v>329000</v>
      </c>
      <c r="I64" s="227">
        <v>0</v>
      </c>
      <c r="J64" s="279">
        <v>0</v>
      </c>
    </row>
    <row r="65" spans="1:10" ht="93.75" x14ac:dyDescent="0.2">
      <c r="A65" s="278" t="s">
        <v>368</v>
      </c>
      <c r="B65" s="225" t="s">
        <v>369</v>
      </c>
      <c r="C65" s="225" t="s">
        <v>370</v>
      </c>
      <c r="D65" s="226" t="s">
        <v>371</v>
      </c>
      <c r="E65" s="226" t="s">
        <v>450</v>
      </c>
      <c r="F65" s="226" t="s">
        <v>451</v>
      </c>
      <c r="G65" s="227">
        <v>100000</v>
      </c>
      <c r="H65" s="227">
        <v>100000</v>
      </c>
      <c r="I65" s="227">
        <v>0</v>
      </c>
      <c r="J65" s="279">
        <v>0</v>
      </c>
    </row>
    <row r="66" spans="1:10" ht="93.75" x14ac:dyDescent="0.2">
      <c r="A66" s="278" t="s">
        <v>372</v>
      </c>
      <c r="B66" s="225" t="s">
        <v>373</v>
      </c>
      <c r="C66" s="225" t="s">
        <v>370</v>
      </c>
      <c r="D66" s="226" t="s">
        <v>374</v>
      </c>
      <c r="E66" s="226" t="s">
        <v>450</v>
      </c>
      <c r="F66" s="226" t="s">
        <v>452</v>
      </c>
      <c r="G66" s="227">
        <f>H66+I66</f>
        <v>3325736</v>
      </c>
      <c r="H66" s="227">
        <f>3315744+9992</f>
        <v>3325736</v>
      </c>
      <c r="I66" s="227">
        <v>0</v>
      </c>
      <c r="J66" s="279">
        <v>0</v>
      </c>
    </row>
    <row r="67" spans="1:10" ht="93.75" x14ac:dyDescent="0.2">
      <c r="A67" s="278" t="s">
        <v>375</v>
      </c>
      <c r="B67" s="225" t="s">
        <v>376</v>
      </c>
      <c r="C67" s="225" t="s">
        <v>370</v>
      </c>
      <c r="D67" s="226" t="s">
        <v>377</v>
      </c>
      <c r="E67" s="226" t="s">
        <v>453</v>
      </c>
      <c r="F67" s="226" t="s">
        <v>452</v>
      </c>
      <c r="G67" s="227">
        <f>H67+I67</f>
        <v>39476905</v>
      </c>
      <c r="H67" s="227">
        <f>36452533+3024372</f>
        <v>39476905</v>
      </c>
      <c r="I67" s="227">
        <v>0</v>
      </c>
      <c r="J67" s="279">
        <v>0</v>
      </c>
    </row>
    <row r="68" spans="1:10" ht="112.5" x14ac:dyDescent="0.2">
      <c r="A68" s="278" t="s">
        <v>378</v>
      </c>
      <c r="B68" s="225" t="s">
        <v>379</v>
      </c>
      <c r="C68" s="225" t="s">
        <v>370</v>
      </c>
      <c r="D68" s="187" t="s">
        <v>676</v>
      </c>
      <c r="E68" s="226" t="s">
        <v>450</v>
      </c>
      <c r="F68" s="226" t="s">
        <v>452</v>
      </c>
      <c r="G68" s="227">
        <f>H68+I68</f>
        <v>1666932</v>
      </c>
      <c r="H68" s="227">
        <f>1662641+4291</f>
        <v>1666932</v>
      </c>
      <c r="I68" s="227">
        <v>0</v>
      </c>
      <c r="J68" s="279">
        <v>0</v>
      </c>
    </row>
    <row r="69" spans="1:10" ht="94.5" thickBot="1" x14ac:dyDescent="0.25">
      <c r="A69" s="280" t="s">
        <v>380</v>
      </c>
      <c r="B69" s="270" t="s">
        <v>381</v>
      </c>
      <c r="C69" s="270" t="s">
        <v>370</v>
      </c>
      <c r="D69" s="271" t="s">
        <v>382</v>
      </c>
      <c r="E69" s="271" t="s">
        <v>450</v>
      </c>
      <c r="F69" s="271" t="s">
        <v>452</v>
      </c>
      <c r="G69" s="272">
        <f>H69+I69</f>
        <v>633850</v>
      </c>
      <c r="H69" s="272">
        <f>678000-44150</f>
        <v>633850</v>
      </c>
      <c r="I69" s="272">
        <v>0</v>
      </c>
      <c r="J69" s="281">
        <v>0</v>
      </c>
    </row>
    <row r="70" spans="1:10" ht="94.5" thickBot="1" x14ac:dyDescent="0.25">
      <c r="A70" s="273" t="s">
        <v>37</v>
      </c>
      <c r="B70" s="274" t="s">
        <v>6</v>
      </c>
      <c r="C70" s="274" t="s">
        <v>6</v>
      </c>
      <c r="D70" s="287" t="s">
        <v>150</v>
      </c>
      <c r="E70" s="287" t="s">
        <v>6</v>
      </c>
      <c r="F70" s="287" t="s">
        <v>6</v>
      </c>
      <c r="G70" s="276">
        <f>H70+I70</f>
        <v>72865532</v>
      </c>
      <c r="H70" s="276">
        <f>H71</f>
        <v>67656620</v>
      </c>
      <c r="I70" s="276">
        <f>I71</f>
        <v>5208912</v>
      </c>
      <c r="J70" s="276">
        <f>J71</f>
        <v>4765512</v>
      </c>
    </row>
    <row r="71" spans="1:10" ht="93.75" x14ac:dyDescent="0.2">
      <c r="A71" s="282" t="s">
        <v>38</v>
      </c>
      <c r="B71" s="283" t="s">
        <v>6</v>
      </c>
      <c r="C71" s="283" t="s">
        <v>6</v>
      </c>
      <c r="D71" s="284" t="s">
        <v>150</v>
      </c>
      <c r="E71" s="284" t="s">
        <v>6</v>
      </c>
      <c r="F71" s="284" t="s">
        <v>6</v>
      </c>
      <c r="G71" s="285">
        <f>G72+G73+G74+G75+G77+G78+G79+G80+G82+G83+G76+G81</f>
        <v>72865532</v>
      </c>
      <c r="H71" s="285">
        <f>H72+H73+H74+H75+H77+H78+H79+H82+H83+H80+H76+H81</f>
        <v>67656620</v>
      </c>
      <c r="I71" s="285">
        <f>I72+I73+I74+I75+I77+I78+I79+I80+I82+I83</f>
        <v>5208912</v>
      </c>
      <c r="J71" s="286">
        <f>J72+J73+J74+J75+J77+J78+J79+J80+J82+J83</f>
        <v>4765512</v>
      </c>
    </row>
    <row r="72" spans="1:10" ht="93.75" x14ac:dyDescent="0.2">
      <c r="A72" s="278" t="s">
        <v>383</v>
      </c>
      <c r="B72" s="225" t="s">
        <v>384</v>
      </c>
      <c r="C72" s="225" t="s">
        <v>385</v>
      </c>
      <c r="D72" s="226" t="s">
        <v>386</v>
      </c>
      <c r="E72" s="226" t="s">
        <v>583</v>
      </c>
      <c r="F72" s="271" t="s">
        <v>555</v>
      </c>
      <c r="G72" s="227">
        <v>10550</v>
      </c>
      <c r="H72" s="227">
        <v>10550</v>
      </c>
      <c r="I72" s="227">
        <v>0</v>
      </c>
      <c r="J72" s="279">
        <v>0</v>
      </c>
    </row>
    <row r="73" spans="1:10" ht="93.75" x14ac:dyDescent="0.2">
      <c r="A73" s="278" t="s">
        <v>387</v>
      </c>
      <c r="B73" s="225" t="s">
        <v>388</v>
      </c>
      <c r="C73" s="225" t="s">
        <v>14</v>
      </c>
      <c r="D73" s="226" t="s">
        <v>389</v>
      </c>
      <c r="E73" s="226" t="s">
        <v>583</v>
      </c>
      <c r="F73" s="271" t="s">
        <v>555</v>
      </c>
      <c r="G73" s="227">
        <f>H73+I73</f>
        <v>1627245</v>
      </c>
      <c r="H73" s="227">
        <f>1526996+100249</f>
        <v>1627245</v>
      </c>
      <c r="I73" s="227">
        <v>0</v>
      </c>
      <c r="J73" s="279">
        <v>0</v>
      </c>
    </row>
    <row r="74" spans="1:10" ht="123" customHeight="1" x14ac:dyDescent="0.2">
      <c r="A74" s="278">
        <v>1216091</v>
      </c>
      <c r="B74" s="225">
        <v>6091</v>
      </c>
      <c r="C74" s="312" t="s">
        <v>563</v>
      </c>
      <c r="D74" s="313" t="s">
        <v>561</v>
      </c>
      <c r="E74" s="226" t="s">
        <v>546</v>
      </c>
      <c r="F74" s="226" t="s">
        <v>584</v>
      </c>
      <c r="G74" s="227">
        <f>H74+I74</f>
        <v>4765512</v>
      </c>
      <c r="H74" s="227">
        <v>0</v>
      </c>
      <c r="I74" s="227">
        <f>4264354+501158</f>
        <v>4765512</v>
      </c>
      <c r="J74" s="279">
        <f>I74</f>
        <v>4765512</v>
      </c>
    </row>
    <row r="75" spans="1:10" ht="93.75" x14ac:dyDescent="0.2">
      <c r="A75" s="278" t="s">
        <v>39</v>
      </c>
      <c r="B75" s="225" t="s">
        <v>13</v>
      </c>
      <c r="C75" s="225" t="s">
        <v>14</v>
      </c>
      <c r="D75" s="226" t="s">
        <v>15</v>
      </c>
      <c r="E75" s="226" t="s">
        <v>583</v>
      </c>
      <c r="F75" s="271" t="s">
        <v>555</v>
      </c>
      <c r="G75" s="227">
        <f>H75+I75</f>
        <v>59998263</v>
      </c>
      <c r="H75" s="227">
        <f>52005547+734689+7200664+57363</f>
        <v>59998263</v>
      </c>
      <c r="I75" s="227">
        <v>0</v>
      </c>
      <c r="J75" s="279">
        <v>0</v>
      </c>
    </row>
    <row r="76" spans="1:10" ht="115.5" customHeight="1" x14ac:dyDescent="0.2">
      <c r="A76" s="278" t="s">
        <v>39</v>
      </c>
      <c r="B76" s="225" t="s">
        <v>13</v>
      </c>
      <c r="C76" s="225" t="s">
        <v>14</v>
      </c>
      <c r="D76" s="226" t="s">
        <v>15</v>
      </c>
      <c r="E76" s="226" t="s">
        <v>588</v>
      </c>
      <c r="F76" s="226" t="s">
        <v>589</v>
      </c>
      <c r="G76" s="227">
        <f>H76+I76</f>
        <v>118468</v>
      </c>
      <c r="H76" s="227">
        <f>118468</f>
        <v>118468</v>
      </c>
      <c r="I76" s="227"/>
      <c r="J76" s="279"/>
    </row>
    <row r="77" spans="1:10" ht="93.75" x14ac:dyDescent="0.2">
      <c r="A77" s="278" t="s">
        <v>39</v>
      </c>
      <c r="B77" s="225" t="s">
        <v>13</v>
      </c>
      <c r="C77" s="225" t="s">
        <v>14</v>
      </c>
      <c r="D77" s="226" t="s">
        <v>15</v>
      </c>
      <c r="E77" s="226" t="s">
        <v>508</v>
      </c>
      <c r="F77" s="226" t="s">
        <v>547</v>
      </c>
      <c r="G77" s="227">
        <f>H77</f>
        <v>232737</v>
      </c>
      <c r="H77" s="227">
        <v>232737</v>
      </c>
      <c r="I77" s="227"/>
      <c r="J77" s="279"/>
    </row>
    <row r="78" spans="1:10" ht="93.75" x14ac:dyDescent="0.2">
      <c r="A78" s="278" t="s">
        <v>39</v>
      </c>
      <c r="B78" s="225" t="s">
        <v>13</v>
      </c>
      <c r="C78" s="225" t="s">
        <v>14</v>
      </c>
      <c r="D78" s="226" t="s">
        <v>15</v>
      </c>
      <c r="E78" s="226" t="s">
        <v>556</v>
      </c>
      <c r="F78" s="226" t="s">
        <v>557</v>
      </c>
      <c r="G78" s="227">
        <f>H78</f>
        <v>893348</v>
      </c>
      <c r="H78" s="227">
        <v>893348</v>
      </c>
      <c r="I78" s="227"/>
      <c r="J78" s="279"/>
    </row>
    <row r="79" spans="1:10" ht="93.75" x14ac:dyDescent="0.2">
      <c r="A79" s="278" t="s">
        <v>390</v>
      </c>
      <c r="B79" s="225" t="s">
        <v>40</v>
      </c>
      <c r="C79" s="225" t="s">
        <v>41</v>
      </c>
      <c r="D79" s="226" t="s">
        <v>42</v>
      </c>
      <c r="E79" s="226" t="s">
        <v>583</v>
      </c>
      <c r="F79" s="271" t="s">
        <v>555</v>
      </c>
      <c r="G79" s="227">
        <f>H79+I79</f>
        <v>4000982</v>
      </c>
      <c r="H79" s="227">
        <f>2982420+198562+66000+754000</f>
        <v>4000982</v>
      </c>
      <c r="I79" s="227">
        <v>0</v>
      </c>
      <c r="J79" s="279">
        <v>0</v>
      </c>
    </row>
    <row r="80" spans="1:10" ht="119.25" customHeight="1" x14ac:dyDescent="0.2">
      <c r="A80" s="278" t="s">
        <v>391</v>
      </c>
      <c r="B80" s="225" t="s">
        <v>392</v>
      </c>
      <c r="C80" s="225" t="s">
        <v>393</v>
      </c>
      <c r="D80" s="226" t="s">
        <v>394</v>
      </c>
      <c r="E80" s="230" t="s">
        <v>585</v>
      </c>
      <c r="F80" s="230" t="s">
        <v>586</v>
      </c>
      <c r="G80" s="231">
        <f>327927+415100</f>
        <v>743027</v>
      </c>
      <c r="H80" s="231">
        <f>327927+415100</f>
        <v>743027</v>
      </c>
      <c r="I80" s="227">
        <v>0</v>
      </c>
      <c r="J80" s="279">
        <v>0</v>
      </c>
    </row>
    <row r="81" spans="1:10" ht="90" customHeight="1" x14ac:dyDescent="0.2">
      <c r="A81" s="278">
        <v>1218311</v>
      </c>
      <c r="B81" s="225">
        <v>8311</v>
      </c>
      <c r="C81" s="232" t="s">
        <v>644</v>
      </c>
      <c r="D81" s="187" t="s">
        <v>643</v>
      </c>
      <c r="E81" s="226" t="s">
        <v>583</v>
      </c>
      <c r="F81" s="271" t="s">
        <v>555</v>
      </c>
      <c r="G81" s="231">
        <f>H81+I81</f>
        <v>32000</v>
      </c>
      <c r="H81" s="231">
        <f>32000</f>
        <v>32000</v>
      </c>
      <c r="I81" s="227"/>
      <c r="J81" s="279"/>
    </row>
    <row r="82" spans="1:10" ht="93.75" x14ac:dyDescent="0.2">
      <c r="A82" s="278" t="s">
        <v>43</v>
      </c>
      <c r="B82" s="225" t="s">
        <v>395</v>
      </c>
      <c r="C82" s="225" t="s">
        <v>44</v>
      </c>
      <c r="D82" s="226" t="s">
        <v>45</v>
      </c>
      <c r="E82" s="230" t="s">
        <v>662</v>
      </c>
      <c r="F82" s="230" t="s">
        <v>509</v>
      </c>
      <c r="G82" s="227">
        <f>I82</f>
        <v>330018</v>
      </c>
      <c r="H82" s="227">
        <v>0</v>
      </c>
      <c r="I82" s="227">
        <v>330018</v>
      </c>
      <c r="J82" s="279">
        <v>0</v>
      </c>
    </row>
    <row r="83" spans="1:10" ht="94.5" thickBot="1" x14ac:dyDescent="0.25">
      <c r="A83" s="280" t="s">
        <v>43</v>
      </c>
      <c r="B83" s="270" t="s">
        <v>395</v>
      </c>
      <c r="C83" s="270" t="s">
        <v>44</v>
      </c>
      <c r="D83" s="271" t="s">
        <v>45</v>
      </c>
      <c r="E83" s="226" t="s">
        <v>583</v>
      </c>
      <c r="F83" s="271" t="s">
        <v>555</v>
      </c>
      <c r="G83" s="272">
        <f>I83</f>
        <v>113382</v>
      </c>
      <c r="H83" s="272"/>
      <c r="I83" s="272">
        <v>113382</v>
      </c>
      <c r="J83" s="281"/>
    </row>
    <row r="84" spans="1:10" ht="75.75" thickBot="1" x14ac:dyDescent="0.25">
      <c r="A84" s="273" t="s">
        <v>46</v>
      </c>
      <c r="B84" s="274" t="s">
        <v>6</v>
      </c>
      <c r="C84" s="274" t="s">
        <v>6</v>
      </c>
      <c r="D84" s="287" t="s">
        <v>151</v>
      </c>
      <c r="E84" s="287" t="s">
        <v>6</v>
      </c>
      <c r="F84" s="287" t="s">
        <v>6</v>
      </c>
      <c r="G84" s="276">
        <f>G85</f>
        <v>33763323</v>
      </c>
      <c r="H84" s="276">
        <f t="shared" ref="H84:J84" si="7">H85</f>
        <v>0</v>
      </c>
      <c r="I84" s="276">
        <f t="shared" si="7"/>
        <v>33763323</v>
      </c>
      <c r="J84" s="276">
        <f t="shared" si="7"/>
        <v>33763323</v>
      </c>
    </row>
    <row r="85" spans="1:10" ht="75" x14ac:dyDescent="0.2">
      <c r="A85" s="282" t="s">
        <v>47</v>
      </c>
      <c r="B85" s="283" t="s">
        <v>6</v>
      </c>
      <c r="C85" s="283" t="s">
        <v>6</v>
      </c>
      <c r="D85" s="284" t="s">
        <v>151</v>
      </c>
      <c r="E85" s="284" t="s">
        <v>6</v>
      </c>
      <c r="F85" s="284" t="s">
        <v>6</v>
      </c>
      <c r="G85" s="285">
        <f>G86+G87+G89+G90+G92+G93+G91+G88</f>
        <v>33763323</v>
      </c>
      <c r="H85" s="285">
        <f t="shared" ref="H85" si="8">H86+H87+H89+H90+H92+H93</f>
        <v>0</v>
      </c>
      <c r="I85" s="285">
        <f>I86+I87+I89+I90+I92+I93+I91+I88</f>
        <v>33763323</v>
      </c>
      <c r="J85" s="286">
        <f>J86+J87+J89+J90+J92+J93+J91+J88</f>
        <v>33763323</v>
      </c>
    </row>
    <row r="86" spans="1:10" ht="150" x14ac:dyDescent="0.2">
      <c r="A86" s="278" t="s">
        <v>130</v>
      </c>
      <c r="B86" s="225" t="s">
        <v>72</v>
      </c>
      <c r="C86" s="225" t="s">
        <v>8</v>
      </c>
      <c r="D86" s="226" t="s">
        <v>73</v>
      </c>
      <c r="E86" s="226" t="s">
        <v>587</v>
      </c>
      <c r="F86" s="226" t="s">
        <v>554</v>
      </c>
      <c r="G86" s="227">
        <f>H86+I86</f>
        <v>3266000</v>
      </c>
      <c r="H86" s="227">
        <v>0</v>
      </c>
      <c r="I86" s="227">
        <f>5500000-1480000-754000</f>
        <v>3266000</v>
      </c>
      <c r="J86" s="279">
        <f>5500000-1480000-754000</f>
        <v>3266000</v>
      </c>
    </row>
    <row r="87" spans="1:10" ht="112.5" x14ac:dyDescent="0.2">
      <c r="A87" s="278">
        <v>1511300</v>
      </c>
      <c r="B87" s="225">
        <v>1300</v>
      </c>
      <c r="C87" s="225" t="s">
        <v>136</v>
      </c>
      <c r="D87" s="226" t="s">
        <v>562</v>
      </c>
      <c r="E87" s="226" t="s">
        <v>587</v>
      </c>
      <c r="F87" s="226" t="s">
        <v>554</v>
      </c>
      <c r="G87" s="227">
        <f>H87+I87</f>
        <v>15081098</v>
      </c>
      <c r="H87" s="227">
        <v>0</v>
      </c>
      <c r="I87" s="227">
        <f>4990761+10000000+90337</f>
        <v>15081098</v>
      </c>
      <c r="J87" s="279">
        <f t="shared" ref="J87:J93" si="9">I87</f>
        <v>15081098</v>
      </c>
    </row>
    <row r="88" spans="1:10" ht="112.5" x14ac:dyDescent="0.2">
      <c r="A88" s="278">
        <v>1512170</v>
      </c>
      <c r="B88" s="225">
        <v>2170</v>
      </c>
      <c r="C88" s="225" t="s">
        <v>304</v>
      </c>
      <c r="D88" s="226" t="s">
        <v>560</v>
      </c>
      <c r="E88" s="226" t="s">
        <v>587</v>
      </c>
      <c r="F88" s="226" t="s">
        <v>554</v>
      </c>
      <c r="G88" s="227">
        <f>H88+I88</f>
        <v>4709663</v>
      </c>
      <c r="H88" s="227"/>
      <c r="I88" s="227">
        <f>0+4709663</f>
        <v>4709663</v>
      </c>
      <c r="J88" s="279">
        <f t="shared" si="9"/>
        <v>4709663</v>
      </c>
    </row>
    <row r="89" spans="1:10" ht="131.25" hidden="1" x14ac:dyDescent="0.2">
      <c r="A89" s="278">
        <v>1516091</v>
      </c>
      <c r="B89" s="225">
        <v>6091</v>
      </c>
      <c r="C89" s="312" t="s">
        <v>563</v>
      </c>
      <c r="D89" s="226" t="s">
        <v>561</v>
      </c>
      <c r="E89" s="226" t="s">
        <v>583</v>
      </c>
      <c r="F89" s="271" t="s">
        <v>555</v>
      </c>
      <c r="G89" s="227">
        <f>H89+I89</f>
        <v>0</v>
      </c>
      <c r="H89" s="227">
        <v>0</v>
      </c>
      <c r="I89" s="227">
        <f>3606782-3606782</f>
        <v>0</v>
      </c>
      <c r="J89" s="279">
        <f t="shared" si="9"/>
        <v>0</v>
      </c>
    </row>
    <row r="90" spans="1:10" ht="131.25" x14ac:dyDescent="0.2">
      <c r="A90" s="278">
        <v>1516091</v>
      </c>
      <c r="B90" s="225">
        <v>6091</v>
      </c>
      <c r="C90" s="312" t="s">
        <v>563</v>
      </c>
      <c r="D90" s="226" t="s">
        <v>561</v>
      </c>
      <c r="E90" s="226" t="s">
        <v>583</v>
      </c>
      <c r="F90" s="271" t="s">
        <v>555</v>
      </c>
      <c r="G90" s="227">
        <f>H90+I90</f>
        <v>9954317</v>
      </c>
      <c r="H90" s="227">
        <v>0</v>
      </c>
      <c r="I90" s="227">
        <f>17117180+582673-11518080+970680-3500000+1886500+224293+565316+101772+3523983</f>
        <v>9954317</v>
      </c>
      <c r="J90" s="279">
        <f t="shared" si="9"/>
        <v>9954317</v>
      </c>
    </row>
    <row r="91" spans="1:10" ht="135" customHeight="1" x14ac:dyDescent="0.2">
      <c r="A91" s="278">
        <v>1516091</v>
      </c>
      <c r="B91" s="225">
        <v>6091</v>
      </c>
      <c r="C91" s="312" t="s">
        <v>563</v>
      </c>
      <c r="D91" s="226" t="s">
        <v>561</v>
      </c>
      <c r="E91" s="226" t="s">
        <v>588</v>
      </c>
      <c r="F91" s="226" t="s">
        <v>589</v>
      </c>
      <c r="G91" s="227">
        <v>410000</v>
      </c>
      <c r="H91" s="227">
        <v>0</v>
      </c>
      <c r="I91" s="227">
        <f>G91</f>
        <v>410000</v>
      </c>
      <c r="J91" s="279">
        <f t="shared" si="9"/>
        <v>410000</v>
      </c>
    </row>
    <row r="92" spans="1:10" ht="131.25" x14ac:dyDescent="0.2">
      <c r="A92" s="278">
        <v>1516091</v>
      </c>
      <c r="B92" s="225">
        <v>6091</v>
      </c>
      <c r="C92" s="312" t="s">
        <v>563</v>
      </c>
      <c r="D92" s="226" t="s">
        <v>561</v>
      </c>
      <c r="E92" s="226" t="s">
        <v>587</v>
      </c>
      <c r="F92" s="226" t="s">
        <v>554</v>
      </c>
      <c r="G92" s="227">
        <f>H92+I92</f>
        <v>251111</v>
      </c>
      <c r="H92" s="227">
        <v>0</v>
      </c>
      <c r="I92" s="227">
        <f>10611228-10611228+251111</f>
        <v>251111</v>
      </c>
      <c r="J92" s="279">
        <f t="shared" si="9"/>
        <v>251111</v>
      </c>
    </row>
    <row r="93" spans="1:10" ht="113.25" thickBot="1" x14ac:dyDescent="0.35">
      <c r="A93" s="280">
        <v>1517480</v>
      </c>
      <c r="B93" s="270">
        <v>7480</v>
      </c>
      <c r="C93" s="270" t="s">
        <v>41</v>
      </c>
      <c r="D93" s="314" t="s">
        <v>564</v>
      </c>
      <c r="E93" s="226" t="s">
        <v>583</v>
      </c>
      <c r="F93" s="271" t="s">
        <v>555</v>
      </c>
      <c r="G93" s="272">
        <f>H93+I93</f>
        <v>91134</v>
      </c>
      <c r="H93" s="272">
        <v>0</v>
      </c>
      <c r="I93" s="272">
        <f>6142657-6142657+91134</f>
        <v>91134</v>
      </c>
      <c r="J93" s="281">
        <f t="shared" si="9"/>
        <v>91134</v>
      </c>
    </row>
    <row r="94" spans="1:10" ht="75.75" thickBot="1" x14ac:dyDescent="0.25">
      <c r="A94" s="273" t="s">
        <v>399</v>
      </c>
      <c r="B94" s="274" t="s">
        <v>6</v>
      </c>
      <c r="C94" s="274" t="s">
        <v>6</v>
      </c>
      <c r="D94" s="287" t="s">
        <v>112</v>
      </c>
      <c r="E94" s="287" t="s">
        <v>6</v>
      </c>
      <c r="F94" s="287" t="s">
        <v>6</v>
      </c>
      <c r="G94" s="276">
        <v>6292350</v>
      </c>
      <c r="H94" s="276">
        <v>6292350</v>
      </c>
      <c r="I94" s="276">
        <v>0</v>
      </c>
      <c r="J94" s="277">
        <v>0</v>
      </c>
    </row>
    <row r="95" spans="1:10" ht="75" x14ac:dyDescent="0.2">
      <c r="A95" s="282" t="s">
        <v>401</v>
      </c>
      <c r="B95" s="283" t="s">
        <v>6</v>
      </c>
      <c r="C95" s="283" t="s">
        <v>6</v>
      </c>
      <c r="D95" s="284" t="s">
        <v>112</v>
      </c>
      <c r="E95" s="284" t="s">
        <v>6</v>
      </c>
      <c r="F95" s="284" t="s">
        <v>6</v>
      </c>
      <c r="G95" s="285">
        <v>6292350</v>
      </c>
      <c r="H95" s="285">
        <v>6292350</v>
      </c>
      <c r="I95" s="285">
        <v>0</v>
      </c>
      <c r="J95" s="286">
        <v>0</v>
      </c>
    </row>
    <row r="96" spans="1:10" ht="112.5" x14ac:dyDescent="0.2">
      <c r="A96" s="278" t="s">
        <v>403</v>
      </c>
      <c r="B96" s="225" t="s">
        <v>404</v>
      </c>
      <c r="C96" s="225" t="s">
        <v>405</v>
      </c>
      <c r="D96" s="226" t="s">
        <v>406</v>
      </c>
      <c r="E96" s="226" t="s">
        <v>454</v>
      </c>
      <c r="F96" s="226" t="s">
        <v>455</v>
      </c>
      <c r="G96" s="227">
        <v>6021350</v>
      </c>
      <c r="H96" s="227">
        <v>6021350</v>
      </c>
      <c r="I96" s="227">
        <v>0</v>
      </c>
      <c r="J96" s="279">
        <v>0</v>
      </c>
    </row>
    <row r="97" spans="1:10" ht="94.5" thickBot="1" x14ac:dyDescent="0.25">
      <c r="A97" s="280" t="s">
        <v>407</v>
      </c>
      <c r="B97" s="270" t="s">
        <v>408</v>
      </c>
      <c r="C97" s="270" t="s">
        <v>74</v>
      </c>
      <c r="D97" s="271" t="s">
        <v>409</v>
      </c>
      <c r="E97" s="271" t="s">
        <v>456</v>
      </c>
      <c r="F97" s="271" t="s">
        <v>457</v>
      </c>
      <c r="G97" s="272">
        <v>271000</v>
      </c>
      <c r="H97" s="272">
        <v>271000</v>
      </c>
      <c r="I97" s="272">
        <v>0</v>
      </c>
      <c r="J97" s="281">
        <v>0</v>
      </c>
    </row>
    <row r="98" spans="1:10" ht="75.75" thickBot="1" x14ac:dyDescent="0.25">
      <c r="A98" s="273" t="s">
        <v>121</v>
      </c>
      <c r="B98" s="274" t="s">
        <v>6</v>
      </c>
      <c r="C98" s="274" t="s">
        <v>6</v>
      </c>
      <c r="D98" s="287" t="s">
        <v>111</v>
      </c>
      <c r="E98" s="287" t="s">
        <v>6</v>
      </c>
      <c r="F98" s="287" t="s">
        <v>6</v>
      </c>
      <c r="G98" s="276">
        <f>G99</f>
        <v>1418537</v>
      </c>
      <c r="H98" s="276">
        <f>H99</f>
        <v>1418537</v>
      </c>
      <c r="I98" s="276">
        <v>0</v>
      </c>
      <c r="J98" s="277">
        <v>0</v>
      </c>
    </row>
    <row r="99" spans="1:10" ht="75" x14ac:dyDescent="0.2">
      <c r="A99" s="282" t="s">
        <v>122</v>
      </c>
      <c r="B99" s="283" t="s">
        <v>6</v>
      </c>
      <c r="C99" s="283" t="s">
        <v>6</v>
      </c>
      <c r="D99" s="284" t="s">
        <v>111</v>
      </c>
      <c r="E99" s="284" t="s">
        <v>6</v>
      </c>
      <c r="F99" s="284" t="s">
        <v>6</v>
      </c>
      <c r="G99" s="285">
        <f>G100+G101+G102</f>
        <v>1418537</v>
      </c>
      <c r="H99" s="285">
        <f>H100+H101+H102</f>
        <v>1418537</v>
      </c>
      <c r="I99" s="285">
        <v>0</v>
      </c>
      <c r="J99" s="286">
        <v>0</v>
      </c>
    </row>
    <row r="100" spans="1:10" ht="78.75" customHeight="1" x14ac:dyDescent="0.2">
      <c r="A100" s="278" t="s">
        <v>410</v>
      </c>
      <c r="B100" s="225" t="s">
        <v>408</v>
      </c>
      <c r="C100" s="225" t="s">
        <v>74</v>
      </c>
      <c r="D100" s="226" t="s">
        <v>409</v>
      </c>
      <c r="E100" s="226" t="s">
        <v>583</v>
      </c>
      <c r="F100" s="271" t="s">
        <v>555</v>
      </c>
      <c r="G100" s="227">
        <f>H100+I100</f>
        <v>854037</v>
      </c>
      <c r="H100" s="227">
        <f>827605+26432</f>
        <v>854037</v>
      </c>
      <c r="I100" s="227">
        <v>0</v>
      </c>
      <c r="J100" s="279">
        <v>0</v>
      </c>
    </row>
    <row r="101" spans="1:10" ht="132.75" customHeight="1" x14ac:dyDescent="0.2">
      <c r="A101" s="278" t="s">
        <v>410</v>
      </c>
      <c r="B101" s="225" t="s">
        <v>408</v>
      </c>
      <c r="C101" s="225" t="s">
        <v>74</v>
      </c>
      <c r="D101" s="226" t="s">
        <v>409</v>
      </c>
      <c r="E101" s="226" t="s">
        <v>515</v>
      </c>
      <c r="F101" s="226" t="s">
        <v>499</v>
      </c>
      <c r="G101" s="227">
        <v>271000</v>
      </c>
      <c r="H101" s="227">
        <v>271000</v>
      </c>
      <c r="I101" s="227"/>
      <c r="J101" s="279"/>
    </row>
    <row r="102" spans="1:10" ht="77.25" customHeight="1" thickBot="1" x14ac:dyDescent="0.25">
      <c r="A102" s="280" t="s">
        <v>411</v>
      </c>
      <c r="B102" s="270" t="s">
        <v>392</v>
      </c>
      <c r="C102" s="270" t="s">
        <v>393</v>
      </c>
      <c r="D102" s="271" t="s">
        <v>394</v>
      </c>
      <c r="E102" s="226" t="s">
        <v>583</v>
      </c>
      <c r="F102" s="271" t="s">
        <v>555</v>
      </c>
      <c r="G102" s="272">
        <v>293500</v>
      </c>
      <c r="H102" s="272">
        <v>293500</v>
      </c>
      <c r="I102" s="272">
        <v>0</v>
      </c>
      <c r="J102" s="281">
        <v>0</v>
      </c>
    </row>
    <row r="103" spans="1:10" ht="19.5" thickBot="1" x14ac:dyDescent="0.25">
      <c r="A103" s="273" t="s">
        <v>256</v>
      </c>
      <c r="B103" s="274" t="s">
        <v>256</v>
      </c>
      <c r="C103" s="274" t="s">
        <v>256</v>
      </c>
      <c r="D103" s="275" t="s">
        <v>48</v>
      </c>
      <c r="E103" s="275" t="s">
        <v>256</v>
      </c>
      <c r="F103" s="275" t="s">
        <v>256</v>
      </c>
      <c r="G103" s="276">
        <f>H103+I103</f>
        <v>243799846</v>
      </c>
      <c r="H103" s="276">
        <f>H22+H34+H44+H53+H56+H70+H84+H94+H98</f>
        <v>202807505</v>
      </c>
      <c r="I103" s="276">
        <f t="shared" ref="I103:J103" si="10">I22+I34+I44+I53+I56+I70+I84+I94+I98</f>
        <v>40992341</v>
      </c>
      <c r="J103" s="276">
        <f t="shared" si="10"/>
        <v>40548941</v>
      </c>
    </row>
    <row r="105" spans="1:10" ht="18.75" x14ac:dyDescent="0.2">
      <c r="C105" s="18" t="s">
        <v>105</v>
      </c>
      <c r="D105" s="18"/>
      <c r="E105" s="397" t="s">
        <v>90</v>
      </c>
      <c r="F105" s="397"/>
    </row>
  </sheetData>
  <mergeCells count="14">
    <mergeCell ref="H5:I5"/>
    <mergeCell ref="E105:F105"/>
    <mergeCell ref="H9:J9"/>
    <mergeCell ref="H10:J10"/>
    <mergeCell ref="A15:J15"/>
    <mergeCell ref="A19:A20"/>
    <mergeCell ref="B19:B20"/>
    <mergeCell ref="C19:C20"/>
    <mergeCell ref="D19:D20"/>
    <mergeCell ref="E19:E20"/>
    <mergeCell ref="F19:F20"/>
    <mergeCell ref="G19:G20"/>
    <mergeCell ref="H19:H20"/>
    <mergeCell ref="I19:J19"/>
  </mergeCells>
  <pageMargins left="0.7" right="0.7" top="0.75" bottom="0.75" header="0.3" footer="0.3"/>
  <pageSetup paperSize="9" scale="5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K66"/>
  <sheetViews>
    <sheetView view="pageBreakPreview" zoomScale="70" zoomScaleNormal="50" zoomScaleSheetLayoutView="70" workbookViewId="0">
      <selection activeCell="J35" sqref="J35"/>
    </sheetView>
  </sheetViews>
  <sheetFormatPr defaultColWidth="9.28515625" defaultRowHeight="15" x14ac:dyDescent="0.25"/>
  <cols>
    <col min="1" max="1" width="14.5703125" style="23" customWidth="1"/>
    <col min="2" max="2" width="15.140625" style="24" customWidth="1"/>
    <col min="3" max="3" width="11" style="25" customWidth="1"/>
    <col min="4" max="4" width="51.42578125" style="26" customWidth="1"/>
    <col min="5" max="5" width="60.140625" style="27" customWidth="1"/>
    <col min="6" max="6" width="15.28515625" style="25" customWidth="1"/>
    <col min="7" max="7" width="18" style="28" customWidth="1"/>
    <col min="8" max="8" width="22.28515625" style="28" customWidth="1"/>
    <col min="9" max="9" width="13.85546875" style="28" customWidth="1"/>
    <col min="10" max="10" width="22.7109375" style="29" customWidth="1"/>
    <col min="11" max="11" width="13.85546875" style="29" customWidth="1"/>
    <col min="12" max="12" width="9.28515625" style="23"/>
    <col min="13" max="13" width="16.85546875" style="23" bestFit="1" customWidth="1"/>
    <col min="14" max="14" width="9.28515625" style="23"/>
    <col min="15" max="15" width="13.7109375" style="23" bestFit="1" customWidth="1"/>
    <col min="16" max="256" width="9.28515625" style="23"/>
    <col min="257" max="257" width="15" style="23" customWidth="1"/>
    <col min="258" max="258" width="12.7109375" style="23" customWidth="1"/>
    <col min="259" max="259" width="11.7109375" style="23" customWidth="1"/>
    <col min="260" max="260" width="44.85546875" style="23" customWidth="1"/>
    <col min="261" max="261" width="54.7109375" style="23" customWidth="1"/>
    <col min="262" max="262" width="15.28515625" style="23" customWidth="1"/>
    <col min="263" max="264" width="19.28515625" style="23" customWidth="1"/>
    <col min="265" max="265" width="13.85546875" style="23" customWidth="1"/>
    <col min="266" max="266" width="25.28515625" style="23" customWidth="1"/>
    <col min="267" max="267" width="16.28515625" style="23" customWidth="1"/>
    <col min="268" max="512" width="9.28515625" style="23"/>
    <col min="513" max="513" width="15" style="23" customWidth="1"/>
    <col min="514" max="514" width="12.7109375" style="23" customWidth="1"/>
    <col min="515" max="515" width="11.7109375" style="23" customWidth="1"/>
    <col min="516" max="516" width="44.85546875" style="23" customWidth="1"/>
    <col min="517" max="517" width="54.7109375" style="23" customWidth="1"/>
    <col min="518" max="518" width="15.28515625" style="23" customWidth="1"/>
    <col min="519" max="520" width="19.28515625" style="23" customWidth="1"/>
    <col min="521" max="521" width="13.85546875" style="23" customWidth="1"/>
    <col min="522" max="522" width="25.28515625" style="23" customWidth="1"/>
    <col min="523" max="523" width="16.28515625" style="23" customWidth="1"/>
    <col min="524" max="768" width="9.28515625" style="23"/>
    <col min="769" max="769" width="15" style="23" customWidth="1"/>
    <col min="770" max="770" width="12.7109375" style="23" customWidth="1"/>
    <col min="771" max="771" width="11.7109375" style="23" customWidth="1"/>
    <col min="772" max="772" width="44.85546875" style="23" customWidth="1"/>
    <col min="773" max="773" width="54.7109375" style="23" customWidth="1"/>
    <col min="774" max="774" width="15.28515625" style="23" customWidth="1"/>
    <col min="775" max="776" width="19.28515625" style="23" customWidth="1"/>
    <col min="777" max="777" width="13.85546875" style="23" customWidth="1"/>
    <col min="778" max="778" width="25.28515625" style="23" customWidth="1"/>
    <col min="779" max="779" width="16.28515625" style="23" customWidth="1"/>
    <col min="780" max="1024" width="9.28515625" style="23"/>
    <col min="1025" max="1025" width="15" style="23" customWidth="1"/>
    <col min="1026" max="1026" width="12.7109375" style="23" customWidth="1"/>
    <col min="1027" max="1027" width="11.7109375" style="23" customWidth="1"/>
    <col min="1028" max="1028" width="44.85546875" style="23" customWidth="1"/>
    <col min="1029" max="1029" width="54.7109375" style="23" customWidth="1"/>
    <col min="1030" max="1030" width="15.28515625" style="23" customWidth="1"/>
    <col min="1031" max="1032" width="19.28515625" style="23" customWidth="1"/>
    <col min="1033" max="1033" width="13.85546875" style="23" customWidth="1"/>
    <col min="1034" max="1034" width="25.28515625" style="23" customWidth="1"/>
    <col min="1035" max="1035" width="16.28515625" style="23" customWidth="1"/>
    <col min="1036" max="1280" width="9.28515625" style="23"/>
    <col min="1281" max="1281" width="15" style="23" customWidth="1"/>
    <col min="1282" max="1282" width="12.7109375" style="23" customWidth="1"/>
    <col min="1283" max="1283" width="11.7109375" style="23" customWidth="1"/>
    <col min="1284" max="1284" width="44.85546875" style="23" customWidth="1"/>
    <col min="1285" max="1285" width="54.7109375" style="23" customWidth="1"/>
    <col min="1286" max="1286" width="15.28515625" style="23" customWidth="1"/>
    <col min="1287" max="1288" width="19.28515625" style="23" customWidth="1"/>
    <col min="1289" max="1289" width="13.85546875" style="23" customWidth="1"/>
    <col min="1290" max="1290" width="25.28515625" style="23" customWidth="1"/>
    <col min="1291" max="1291" width="16.28515625" style="23" customWidth="1"/>
    <col min="1292" max="1536" width="9.28515625" style="23"/>
    <col min="1537" max="1537" width="15" style="23" customWidth="1"/>
    <col min="1538" max="1538" width="12.7109375" style="23" customWidth="1"/>
    <col min="1539" max="1539" width="11.7109375" style="23" customWidth="1"/>
    <col min="1540" max="1540" width="44.85546875" style="23" customWidth="1"/>
    <col min="1541" max="1541" width="54.7109375" style="23" customWidth="1"/>
    <col min="1542" max="1542" width="15.28515625" style="23" customWidth="1"/>
    <col min="1543" max="1544" width="19.28515625" style="23" customWidth="1"/>
    <col min="1545" max="1545" width="13.85546875" style="23" customWidth="1"/>
    <col min="1546" max="1546" width="25.28515625" style="23" customWidth="1"/>
    <col min="1547" max="1547" width="16.28515625" style="23" customWidth="1"/>
    <col min="1548" max="1792" width="9.28515625" style="23"/>
    <col min="1793" max="1793" width="15" style="23" customWidth="1"/>
    <col min="1794" max="1794" width="12.7109375" style="23" customWidth="1"/>
    <col min="1795" max="1795" width="11.7109375" style="23" customWidth="1"/>
    <col min="1796" max="1796" width="44.85546875" style="23" customWidth="1"/>
    <col min="1797" max="1797" width="54.7109375" style="23" customWidth="1"/>
    <col min="1798" max="1798" width="15.28515625" style="23" customWidth="1"/>
    <col min="1799" max="1800" width="19.28515625" style="23" customWidth="1"/>
    <col min="1801" max="1801" width="13.85546875" style="23" customWidth="1"/>
    <col min="1802" max="1802" width="25.28515625" style="23" customWidth="1"/>
    <col min="1803" max="1803" width="16.28515625" style="23" customWidth="1"/>
    <col min="1804" max="2048" width="9.28515625" style="23"/>
    <col min="2049" max="2049" width="15" style="23" customWidth="1"/>
    <col min="2050" max="2050" width="12.7109375" style="23" customWidth="1"/>
    <col min="2051" max="2051" width="11.7109375" style="23" customWidth="1"/>
    <col min="2052" max="2052" width="44.85546875" style="23" customWidth="1"/>
    <col min="2053" max="2053" width="54.7109375" style="23" customWidth="1"/>
    <col min="2054" max="2054" width="15.28515625" style="23" customWidth="1"/>
    <col min="2055" max="2056" width="19.28515625" style="23" customWidth="1"/>
    <col min="2057" max="2057" width="13.85546875" style="23" customWidth="1"/>
    <col min="2058" max="2058" width="25.28515625" style="23" customWidth="1"/>
    <col min="2059" max="2059" width="16.28515625" style="23" customWidth="1"/>
    <col min="2060" max="2304" width="9.28515625" style="23"/>
    <col min="2305" max="2305" width="15" style="23" customWidth="1"/>
    <col min="2306" max="2306" width="12.7109375" style="23" customWidth="1"/>
    <col min="2307" max="2307" width="11.7109375" style="23" customWidth="1"/>
    <col min="2308" max="2308" width="44.85546875" style="23" customWidth="1"/>
    <col min="2309" max="2309" width="54.7109375" style="23" customWidth="1"/>
    <col min="2310" max="2310" width="15.28515625" style="23" customWidth="1"/>
    <col min="2311" max="2312" width="19.28515625" style="23" customWidth="1"/>
    <col min="2313" max="2313" width="13.85546875" style="23" customWidth="1"/>
    <col min="2314" max="2314" width="25.28515625" style="23" customWidth="1"/>
    <col min="2315" max="2315" width="16.28515625" style="23" customWidth="1"/>
    <col min="2316" max="2560" width="9.28515625" style="23"/>
    <col min="2561" max="2561" width="15" style="23" customWidth="1"/>
    <col min="2562" max="2562" width="12.7109375" style="23" customWidth="1"/>
    <col min="2563" max="2563" width="11.7109375" style="23" customWidth="1"/>
    <col min="2564" max="2564" width="44.85546875" style="23" customWidth="1"/>
    <col min="2565" max="2565" width="54.7109375" style="23" customWidth="1"/>
    <col min="2566" max="2566" width="15.28515625" style="23" customWidth="1"/>
    <col min="2567" max="2568" width="19.28515625" style="23" customWidth="1"/>
    <col min="2569" max="2569" width="13.85546875" style="23" customWidth="1"/>
    <col min="2570" max="2570" width="25.28515625" style="23" customWidth="1"/>
    <col min="2571" max="2571" width="16.28515625" style="23" customWidth="1"/>
    <col min="2572" max="2816" width="9.28515625" style="23"/>
    <col min="2817" max="2817" width="15" style="23" customWidth="1"/>
    <col min="2818" max="2818" width="12.7109375" style="23" customWidth="1"/>
    <col min="2819" max="2819" width="11.7109375" style="23" customWidth="1"/>
    <col min="2820" max="2820" width="44.85546875" style="23" customWidth="1"/>
    <col min="2821" max="2821" width="54.7109375" style="23" customWidth="1"/>
    <col min="2822" max="2822" width="15.28515625" style="23" customWidth="1"/>
    <col min="2823" max="2824" width="19.28515625" style="23" customWidth="1"/>
    <col min="2825" max="2825" width="13.85546875" style="23" customWidth="1"/>
    <col min="2826" max="2826" width="25.28515625" style="23" customWidth="1"/>
    <col min="2827" max="2827" width="16.28515625" style="23" customWidth="1"/>
    <col min="2828" max="3072" width="9.28515625" style="23"/>
    <col min="3073" max="3073" width="15" style="23" customWidth="1"/>
    <col min="3074" max="3074" width="12.7109375" style="23" customWidth="1"/>
    <col min="3075" max="3075" width="11.7109375" style="23" customWidth="1"/>
    <col min="3076" max="3076" width="44.85546875" style="23" customWidth="1"/>
    <col min="3077" max="3077" width="54.7109375" style="23" customWidth="1"/>
    <col min="3078" max="3078" width="15.28515625" style="23" customWidth="1"/>
    <col min="3079" max="3080" width="19.28515625" style="23" customWidth="1"/>
    <col min="3081" max="3081" width="13.85546875" style="23" customWidth="1"/>
    <col min="3082" max="3082" width="25.28515625" style="23" customWidth="1"/>
    <col min="3083" max="3083" width="16.28515625" style="23" customWidth="1"/>
    <col min="3084" max="3328" width="9.28515625" style="23"/>
    <col min="3329" max="3329" width="15" style="23" customWidth="1"/>
    <col min="3330" max="3330" width="12.7109375" style="23" customWidth="1"/>
    <col min="3331" max="3331" width="11.7109375" style="23" customWidth="1"/>
    <col min="3332" max="3332" width="44.85546875" style="23" customWidth="1"/>
    <col min="3333" max="3333" width="54.7109375" style="23" customWidth="1"/>
    <col min="3334" max="3334" width="15.28515625" style="23" customWidth="1"/>
    <col min="3335" max="3336" width="19.28515625" style="23" customWidth="1"/>
    <col min="3337" max="3337" width="13.85546875" style="23" customWidth="1"/>
    <col min="3338" max="3338" width="25.28515625" style="23" customWidth="1"/>
    <col min="3339" max="3339" width="16.28515625" style="23" customWidth="1"/>
    <col min="3340" max="3584" width="9.28515625" style="23"/>
    <col min="3585" max="3585" width="15" style="23" customWidth="1"/>
    <col min="3586" max="3586" width="12.7109375" style="23" customWidth="1"/>
    <col min="3587" max="3587" width="11.7109375" style="23" customWidth="1"/>
    <col min="3588" max="3588" width="44.85546875" style="23" customWidth="1"/>
    <col min="3589" max="3589" width="54.7109375" style="23" customWidth="1"/>
    <col min="3590" max="3590" width="15.28515625" style="23" customWidth="1"/>
    <col min="3591" max="3592" width="19.28515625" style="23" customWidth="1"/>
    <col min="3593" max="3593" width="13.85546875" style="23" customWidth="1"/>
    <col min="3594" max="3594" width="25.28515625" style="23" customWidth="1"/>
    <col min="3595" max="3595" width="16.28515625" style="23" customWidth="1"/>
    <col min="3596" max="3840" width="9.28515625" style="23"/>
    <col min="3841" max="3841" width="15" style="23" customWidth="1"/>
    <col min="3842" max="3842" width="12.7109375" style="23" customWidth="1"/>
    <col min="3843" max="3843" width="11.7109375" style="23" customWidth="1"/>
    <col min="3844" max="3844" width="44.85546875" style="23" customWidth="1"/>
    <col min="3845" max="3845" width="54.7109375" style="23" customWidth="1"/>
    <col min="3846" max="3846" width="15.28515625" style="23" customWidth="1"/>
    <col min="3847" max="3848" width="19.28515625" style="23" customWidth="1"/>
    <col min="3849" max="3849" width="13.85546875" style="23" customWidth="1"/>
    <col min="3850" max="3850" width="25.28515625" style="23" customWidth="1"/>
    <col min="3851" max="3851" width="16.28515625" style="23" customWidth="1"/>
    <col min="3852" max="4096" width="9.28515625" style="23"/>
    <col min="4097" max="4097" width="15" style="23" customWidth="1"/>
    <col min="4098" max="4098" width="12.7109375" style="23" customWidth="1"/>
    <col min="4099" max="4099" width="11.7109375" style="23" customWidth="1"/>
    <col min="4100" max="4100" width="44.85546875" style="23" customWidth="1"/>
    <col min="4101" max="4101" width="54.7109375" style="23" customWidth="1"/>
    <col min="4102" max="4102" width="15.28515625" style="23" customWidth="1"/>
    <col min="4103" max="4104" width="19.28515625" style="23" customWidth="1"/>
    <col min="4105" max="4105" width="13.85546875" style="23" customWidth="1"/>
    <col min="4106" max="4106" width="25.28515625" style="23" customWidth="1"/>
    <col min="4107" max="4107" width="16.28515625" style="23" customWidth="1"/>
    <col min="4108" max="4352" width="9.28515625" style="23"/>
    <col min="4353" max="4353" width="15" style="23" customWidth="1"/>
    <col min="4354" max="4354" width="12.7109375" style="23" customWidth="1"/>
    <col min="4355" max="4355" width="11.7109375" style="23" customWidth="1"/>
    <col min="4356" max="4356" width="44.85546875" style="23" customWidth="1"/>
    <col min="4357" max="4357" width="54.7109375" style="23" customWidth="1"/>
    <col min="4358" max="4358" width="15.28515625" style="23" customWidth="1"/>
    <col min="4359" max="4360" width="19.28515625" style="23" customWidth="1"/>
    <col min="4361" max="4361" width="13.85546875" style="23" customWidth="1"/>
    <col min="4362" max="4362" width="25.28515625" style="23" customWidth="1"/>
    <col min="4363" max="4363" width="16.28515625" style="23" customWidth="1"/>
    <col min="4364" max="4608" width="9.28515625" style="23"/>
    <col min="4609" max="4609" width="15" style="23" customWidth="1"/>
    <col min="4610" max="4610" width="12.7109375" style="23" customWidth="1"/>
    <col min="4611" max="4611" width="11.7109375" style="23" customWidth="1"/>
    <col min="4612" max="4612" width="44.85546875" style="23" customWidth="1"/>
    <col min="4613" max="4613" width="54.7109375" style="23" customWidth="1"/>
    <col min="4614" max="4614" width="15.28515625" style="23" customWidth="1"/>
    <col min="4615" max="4616" width="19.28515625" style="23" customWidth="1"/>
    <col min="4617" max="4617" width="13.85546875" style="23" customWidth="1"/>
    <col min="4618" max="4618" width="25.28515625" style="23" customWidth="1"/>
    <col min="4619" max="4619" width="16.28515625" style="23" customWidth="1"/>
    <col min="4620" max="4864" width="9.28515625" style="23"/>
    <col min="4865" max="4865" width="15" style="23" customWidth="1"/>
    <col min="4866" max="4866" width="12.7109375" style="23" customWidth="1"/>
    <col min="4867" max="4867" width="11.7109375" style="23" customWidth="1"/>
    <col min="4868" max="4868" width="44.85546875" style="23" customWidth="1"/>
    <col min="4869" max="4869" width="54.7109375" style="23" customWidth="1"/>
    <col min="4870" max="4870" width="15.28515625" style="23" customWidth="1"/>
    <col min="4871" max="4872" width="19.28515625" style="23" customWidth="1"/>
    <col min="4873" max="4873" width="13.85546875" style="23" customWidth="1"/>
    <col min="4874" max="4874" width="25.28515625" style="23" customWidth="1"/>
    <col min="4875" max="4875" width="16.28515625" style="23" customWidth="1"/>
    <col min="4876" max="5120" width="9.28515625" style="23"/>
    <col min="5121" max="5121" width="15" style="23" customWidth="1"/>
    <col min="5122" max="5122" width="12.7109375" style="23" customWidth="1"/>
    <col min="5123" max="5123" width="11.7109375" style="23" customWidth="1"/>
    <col min="5124" max="5124" width="44.85546875" style="23" customWidth="1"/>
    <col min="5125" max="5125" width="54.7109375" style="23" customWidth="1"/>
    <col min="5126" max="5126" width="15.28515625" style="23" customWidth="1"/>
    <col min="5127" max="5128" width="19.28515625" style="23" customWidth="1"/>
    <col min="5129" max="5129" width="13.85546875" style="23" customWidth="1"/>
    <col min="5130" max="5130" width="25.28515625" style="23" customWidth="1"/>
    <col min="5131" max="5131" width="16.28515625" style="23" customWidth="1"/>
    <col min="5132" max="5376" width="9.28515625" style="23"/>
    <col min="5377" max="5377" width="15" style="23" customWidth="1"/>
    <col min="5378" max="5378" width="12.7109375" style="23" customWidth="1"/>
    <col min="5379" max="5379" width="11.7109375" style="23" customWidth="1"/>
    <col min="5380" max="5380" width="44.85546875" style="23" customWidth="1"/>
    <col min="5381" max="5381" width="54.7109375" style="23" customWidth="1"/>
    <col min="5382" max="5382" width="15.28515625" style="23" customWidth="1"/>
    <col min="5383" max="5384" width="19.28515625" style="23" customWidth="1"/>
    <col min="5385" max="5385" width="13.85546875" style="23" customWidth="1"/>
    <col min="5386" max="5386" width="25.28515625" style="23" customWidth="1"/>
    <col min="5387" max="5387" width="16.28515625" style="23" customWidth="1"/>
    <col min="5388" max="5632" width="9.28515625" style="23"/>
    <col min="5633" max="5633" width="15" style="23" customWidth="1"/>
    <col min="5634" max="5634" width="12.7109375" style="23" customWidth="1"/>
    <col min="5635" max="5635" width="11.7109375" style="23" customWidth="1"/>
    <col min="5636" max="5636" width="44.85546875" style="23" customWidth="1"/>
    <col min="5637" max="5637" width="54.7109375" style="23" customWidth="1"/>
    <col min="5638" max="5638" width="15.28515625" style="23" customWidth="1"/>
    <col min="5639" max="5640" width="19.28515625" style="23" customWidth="1"/>
    <col min="5641" max="5641" width="13.85546875" style="23" customWidth="1"/>
    <col min="5642" max="5642" width="25.28515625" style="23" customWidth="1"/>
    <col min="5643" max="5643" width="16.28515625" style="23" customWidth="1"/>
    <col min="5644" max="5888" width="9.28515625" style="23"/>
    <col min="5889" max="5889" width="15" style="23" customWidth="1"/>
    <col min="5890" max="5890" width="12.7109375" style="23" customWidth="1"/>
    <col min="5891" max="5891" width="11.7109375" style="23" customWidth="1"/>
    <col min="5892" max="5892" width="44.85546875" style="23" customWidth="1"/>
    <col min="5893" max="5893" width="54.7109375" style="23" customWidth="1"/>
    <col min="5894" max="5894" width="15.28515625" style="23" customWidth="1"/>
    <col min="5895" max="5896" width="19.28515625" style="23" customWidth="1"/>
    <col min="5897" max="5897" width="13.85546875" style="23" customWidth="1"/>
    <col min="5898" max="5898" width="25.28515625" style="23" customWidth="1"/>
    <col min="5899" max="5899" width="16.28515625" style="23" customWidth="1"/>
    <col min="5900" max="6144" width="9.28515625" style="23"/>
    <col min="6145" max="6145" width="15" style="23" customWidth="1"/>
    <col min="6146" max="6146" width="12.7109375" style="23" customWidth="1"/>
    <col min="6147" max="6147" width="11.7109375" style="23" customWidth="1"/>
    <col min="6148" max="6148" width="44.85546875" style="23" customWidth="1"/>
    <col min="6149" max="6149" width="54.7109375" style="23" customWidth="1"/>
    <col min="6150" max="6150" width="15.28515625" style="23" customWidth="1"/>
    <col min="6151" max="6152" width="19.28515625" style="23" customWidth="1"/>
    <col min="6153" max="6153" width="13.85546875" style="23" customWidth="1"/>
    <col min="6154" max="6154" width="25.28515625" style="23" customWidth="1"/>
    <col min="6155" max="6155" width="16.28515625" style="23" customWidth="1"/>
    <col min="6156" max="6400" width="9.28515625" style="23"/>
    <col min="6401" max="6401" width="15" style="23" customWidth="1"/>
    <col min="6402" max="6402" width="12.7109375" style="23" customWidth="1"/>
    <col min="6403" max="6403" width="11.7109375" style="23" customWidth="1"/>
    <col min="6404" max="6404" width="44.85546875" style="23" customWidth="1"/>
    <col min="6405" max="6405" width="54.7109375" style="23" customWidth="1"/>
    <col min="6406" max="6406" width="15.28515625" style="23" customWidth="1"/>
    <col min="6407" max="6408" width="19.28515625" style="23" customWidth="1"/>
    <col min="6409" max="6409" width="13.85546875" style="23" customWidth="1"/>
    <col min="6410" max="6410" width="25.28515625" style="23" customWidth="1"/>
    <col min="6411" max="6411" width="16.28515625" style="23" customWidth="1"/>
    <col min="6412" max="6656" width="9.28515625" style="23"/>
    <col min="6657" max="6657" width="15" style="23" customWidth="1"/>
    <col min="6658" max="6658" width="12.7109375" style="23" customWidth="1"/>
    <col min="6659" max="6659" width="11.7109375" style="23" customWidth="1"/>
    <col min="6660" max="6660" width="44.85546875" style="23" customWidth="1"/>
    <col min="6661" max="6661" width="54.7109375" style="23" customWidth="1"/>
    <col min="6662" max="6662" width="15.28515625" style="23" customWidth="1"/>
    <col min="6663" max="6664" width="19.28515625" style="23" customWidth="1"/>
    <col min="6665" max="6665" width="13.85546875" style="23" customWidth="1"/>
    <col min="6666" max="6666" width="25.28515625" style="23" customWidth="1"/>
    <col min="6667" max="6667" width="16.28515625" style="23" customWidth="1"/>
    <col min="6668" max="6912" width="9.28515625" style="23"/>
    <col min="6913" max="6913" width="15" style="23" customWidth="1"/>
    <col min="6914" max="6914" width="12.7109375" style="23" customWidth="1"/>
    <col min="6915" max="6915" width="11.7109375" style="23" customWidth="1"/>
    <col min="6916" max="6916" width="44.85546875" style="23" customWidth="1"/>
    <col min="6917" max="6917" width="54.7109375" style="23" customWidth="1"/>
    <col min="6918" max="6918" width="15.28515625" style="23" customWidth="1"/>
    <col min="6919" max="6920" width="19.28515625" style="23" customWidth="1"/>
    <col min="6921" max="6921" width="13.85546875" style="23" customWidth="1"/>
    <col min="6922" max="6922" width="25.28515625" style="23" customWidth="1"/>
    <col min="6923" max="6923" width="16.28515625" style="23" customWidth="1"/>
    <col min="6924" max="7168" width="9.28515625" style="23"/>
    <col min="7169" max="7169" width="15" style="23" customWidth="1"/>
    <col min="7170" max="7170" width="12.7109375" style="23" customWidth="1"/>
    <col min="7171" max="7171" width="11.7109375" style="23" customWidth="1"/>
    <col min="7172" max="7172" width="44.85546875" style="23" customWidth="1"/>
    <col min="7173" max="7173" width="54.7109375" style="23" customWidth="1"/>
    <col min="7174" max="7174" width="15.28515625" style="23" customWidth="1"/>
    <col min="7175" max="7176" width="19.28515625" style="23" customWidth="1"/>
    <col min="7177" max="7177" width="13.85546875" style="23" customWidth="1"/>
    <col min="7178" max="7178" width="25.28515625" style="23" customWidth="1"/>
    <col min="7179" max="7179" width="16.28515625" style="23" customWidth="1"/>
    <col min="7180" max="7424" width="9.28515625" style="23"/>
    <col min="7425" max="7425" width="15" style="23" customWidth="1"/>
    <col min="7426" max="7426" width="12.7109375" style="23" customWidth="1"/>
    <col min="7427" max="7427" width="11.7109375" style="23" customWidth="1"/>
    <col min="7428" max="7428" width="44.85546875" style="23" customWidth="1"/>
    <col min="7429" max="7429" width="54.7109375" style="23" customWidth="1"/>
    <col min="7430" max="7430" width="15.28515625" style="23" customWidth="1"/>
    <col min="7431" max="7432" width="19.28515625" style="23" customWidth="1"/>
    <col min="7433" max="7433" width="13.85546875" style="23" customWidth="1"/>
    <col min="7434" max="7434" width="25.28515625" style="23" customWidth="1"/>
    <col min="7435" max="7435" width="16.28515625" style="23" customWidth="1"/>
    <col min="7436" max="7680" width="9.28515625" style="23"/>
    <col min="7681" max="7681" width="15" style="23" customWidth="1"/>
    <col min="7682" max="7682" width="12.7109375" style="23" customWidth="1"/>
    <col min="7683" max="7683" width="11.7109375" style="23" customWidth="1"/>
    <col min="7684" max="7684" width="44.85546875" style="23" customWidth="1"/>
    <col min="7685" max="7685" width="54.7109375" style="23" customWidth="1"/>
    <col min="7686" max="7686" width="15.28515625" style="23" customWidth="1"/>
    <col min="7687" max="7688" width="19.28515625" style="23" customWidth="1"/>
    <col min="7689" max="7689" width="13.85546875" style="23" customWidth="1"/>
    <col min="7690" max="7690" width="25.28515625" style="23" customWidth="1"/>
    <col min="7691" max="7691" width="16.28515625" style="23" customWidth="1"/>
    <col min="7692" max="7936" width="9.28515625" style="23"/>
    <col min="7937" max="7937" width="15" style="23" customWidth="1"/>
    <col min="7938" max="7938" width="12.7109375" style="23" customWidth="1"/>
    <col min="7939" max="7939" width="11.7109375" style="23" customWidth="1"/>
    <col min="7940" max="7940" width="44.85546875" style="23" customWidth="1"/>
    <col min="7941" max="7941" width="54.7109375" style="23" customWidth="1"/>
    <col min="7942" max="7942" width="15.28515625" style="23" customWidth="1"/>
    <col min="7943" max="7944" width="19.28515625" style="23" customWidth="1"/>
    <col min="7945" max="7945" width="13.85546875" style="23" customWidth="1"/>
    <col min="7946" max="7946" width="25.28515625" style="23" customWidth="1"/>
    <col min="7947" max="7947" width="16.28515625" style="23" customWidth="1"/>
    <col min="7948" max="8192" width="9.28515625" style="23"/>
    <col min="8193" max="8193" width="15" style="23" customWidth="1"/>
    <col min="8194" max="8194" width="12.7109375" style="23" customWidth="1"/>
    <col min="8195" max="8195" width="11.7109375" style="23" customWidth="1"/>
    <col min="8196" max="8196" width="44.85546875" style="23" customWidth="1"/>
    <col min="8197" max="8197" width="54.7109375" style="23" customWidth="1"/>
    <col min="8198" max="8198" width="15.28515625" style="23" customWidth="1"/>
    <col min="8199" max="8200" width="19.28515625" style="23" customWidth="1"/>
    <col min="8201" max="8201" width="13.85546875" style="23" customWidth="1"/>
    <col min="8202" max="8202" width="25.28515625" style="23" customWidth="1"/>
    <col min="8203" max="8203" width="16.28515625" style="23" customWidth="1"/>
    <col min="8204" max="8448" width="9.28515625" style="23"/>
    <col min="8449" max="8449" width="15" style="23" customWidth="1"/>
    <col min="8450" max="8450" width="12.7109375" style="23" customWidth="1"/>
    <col min="8451" max="8451" width="11.7109375" style="23" customWidth="1"/>
    <col min="8452" max="8452" width="44.85546875" style="23" customWidth="1"/>
    <col min="8453" max="8453" width="54.7109375" style="23" customWidth="1"/>
    <col min="8454" max="8454" width="15.28515625" style="23" customWidth="1"/>
    <col min="8455" max="8456" width="19.28515625" style="23" customWidth="1"/>
    <col min="8457" max="8457" width="13.85546875" style="23" customWidth="1"/>
    <col min="8458" max="8458" width="25.28515625" style="23" customWidth="1"/>
    <col min="8459" max="8459" width="16.28515625" style="23" customWidth="1"/>
    <col min="8460" max="8704" width="9.28515625" style="23"/>
    <col min="8705" max="8705" width="15" style="23" customWidth="1"/>
    <col min="8706" max="8706" width="12.7109375" style="23" customWidth="1"/>
    <col min="8707" max="8707" width="11.7109375" style="23" customWidth="1"/>
    <col min="8708" max="8708" width="44.85546875" style="23" customWidth="1"/>
    <col min="8709" max="8709" width="54.7109375" style="23" customWidth="1"/>
    <col min="8710" max="8710" width="15.28515625" style="23" customWidth="1"/>
    <col min="8711" max="8712" width="19.28515625" style="23" customWidth="1"/>
    <col min="8713" max="8713" width="13.85546875" style="23" customWidth="1"/>
    <col min="8714" max="8714" width="25.28515625" style="23" customWidth="1"/>
    <col min="8715" max="8715" width="16.28515625" style="23" customWidth="1"/>
    <col min="8716" max="8960" width="9.28515625" style="23"/>
    <col min="8961" max="8961" width="15" style="23" customWidth="1"/>
    <col min="8962" max="8962" width="12.7109375" style="23" customWidth="1"/>
    <col min="8963" max="8963" width="11.7109375" style="23" customWidth="1"/>
    <col min="8964" max="8964" width="44.85546875" style="23" customWidth="1"/>
    <col min="8965" max="8965" width="54.7109375" style="23" customWidth="1"/>
    <col min="8966" max="8966" width="15.28515625" style="23" customWidth="1"/>
    <col min="8967" max="8968" width="19.28515625" style="23" customWidth="1"/>
    <col min="8969" max="8969" width="13.85546875" style="23" customWidth="1"/>
    <col min="8970" max="8970" width="25.28515625" style="23" customWidth="1"/>
    <col min="8971" max="8971" width="16.28515625" style="23" customWidth="1"/>
    <col min="8972" max="9216" width="9.28515625" style="23"/>
    <col min="9217" max="9217" width="15" style="23" customWidth="1"/>
    <col min="9218" max="9218" width="12.7109375" style="23" customWidth="1"/>
    <col min="9219" max="9219" width="11.7109375" style="23" customWidth="1"/>
    <col min="9220" max="9220" width="44.85546875" style="23" customWidth="1"/>
    <col min="9221" max="9221" width="54.7109375" style="23" customWidth="1"/>
    <col min="9222" max="9222" width="15.28515625" style="23" customWidth="1"/>
    <col min="9223" max="9224" width="19.28515625" style="23" customWidth="1"/>
    <col min="9225" max="9225" width="13.85546875" style="23" customWidth="1"/>
    <col min="9226" max="9226" width="25.28515625" style="23" customWidth="1"/>
    <col min="9227" max="9227" width="16.28515625" style="23" customWidth="1"/>
    <col min="9228" max="9472" width="9.28515625" style="23"/>
    <col min="9473" max="9473" width="15" style="23" customWidth="1"/>
    <col min="9474" max="9474" width="12.7109375" style="23" customWidth="1"/>
    <col min="9475" max="9475" width="11.7109375" style="23" customWidth="1"/>
    <col min="9476" max="9476" width="44.85546875" style="23" customWidth="1"/>
    <col min="9477" max="9477" width="54.7109375" style="23" customWidth="1"/>
    <col min="9478" max="9478" width="15.28515625" style="23" customWidth="1"/>
    <col min="9479" max="9480" width="19.28515625" style="23" customWidth="1"/>
    <col min="9481" max="9481" width="13.85546875" style="23" customWidth="1"/>
    <col min="9482" max="9482" width="25.28515625" style="23" customWidth="1"/>
    <col min="9483" max="9483" width="16.28515625" style="23" customWidth="1"/>
    <col min="9484" max="9728" width="9.28515625" style="23"/>
    <col min="9729" max="9729" width="15" style="23" customWidth="1"/>
    <col min="9730" max="9730" width="12.7109375" style="23" customWidth="1"/>
    <col min="9731" max="9731" width="11.7109375" style="23" customWidth="1"/>
    <col min="9732" max="9732" width="44.85546875" style="23" customWidth="1"/>
    <col min="9733" max="9733" width="54.7109375" style="23" customWidth="1"/>
    <col min="9734" max="9734" width="15.28515625" style="23" customWidth="1"/>
    <col min="9735" max="9736" width="19.28515625" style="23" customWidth="1"/>
    <col min="9737" max="9737" width="13.85546875" style="23" customWidth="1"/>
    <col min="9738" max="9738" width="25.28515625" style="23" customWidth="1"/>
    <col min="9739" max="9739" width="16.28515625" style="23" customWidth="1"/>
    <col min="9740" max="9984" width="9.28515625" style="23"/>
    <col min="9985" max="9985" width="15" style="23" customWidth="1"/>
    <col min="9986" max="9986" width="12.7109375" style="23" customWidth="1"/>
    <col min="9987" max="9987" width="11.7109375" style="23" customWidth="1"/>
    <col min="9988" max="9988" width="44.85546875" style="23" customWidth="1"/>
    <col min="9989" max="9989" width="54.7109375" style="23" customWidth="1"/>
    <col min="9990" max="9990" width="15.28515625" style="23" customWidth="1"/>
    <col min="9991" max="9992" width="19.28515625" style="23" customWidth="1"/>
    <col min="9993" max="9993" width="13.85546875" style="23" customWidth="1"/>
    <col min="9994" max="9994" width="25.28515625" style="23" customWidth="1"/>
    <col min="9995" max="9995" width="16.28515625" style="23" customWidth="1"/>
    <col min="9996" max="10240" width="9.28515625" style="23"/>
    <col min="10241" max="10241" width="15" style="23" customWidth="1"/>
    <col min="10242" max="10242" width="12.7109375" style="23" customWidth="1"/>
    <col min="10243" max="10243" width="11.7109375" style="23" customWidth="1"/>
    <col min="10244" max="10244" width="44.85546875" style="23" customWidth="1"/>
    <col min="10245" max="10245" width="54.7109375" style="23" customWidth="1"/>
    <col min="10246" max="10246" width="15.28515625" style="23" customWidth="1"/>
    <col min="10247" max="10248" width="19.28515625" style="23" customWidth="1"/>
    <col min="10249" max="10249" width="13.85546875" style="23" customWidth="1"/>
    <col min="10250" max="10250" width="25.28515625" style="23" customWidth="1"/>
    <col min="10251" max="10251" width="16.28515625" style="23" customWidth="1"/>
    <col min="10252" max="10496" width="9.28515625" style="23"/>
    <col min="10497" max="10497" width="15" style="23" customWidth="1"/>
    <col min="10498" max="10498" width="12.7109375" style="23" customWidth="1"/>
    <col min="10499" max="10499" width="11.7109375" style="23" customWidth="1"/>
    <col min="10500" max="10500" width="44.85546875" style="23" customWidth="1"/>
    <col min="10501" max="10501" width="54.7109375" style="23" customWidth="1"/>
    <col min="10502" max="10502" width="15.28515625" style="23" customWidth="1"/>
    <col min="10503" max="10504" width="19.28515625" style="23" customWidth="1"/>
    <col min="10505" max="10505" width="13.85546875" style="23" customWidth="1"/>
    <col min="10506" max="10506" width="25.28515625" style="23" customWidth="1"/>
    <col min="10507" max="10507" width="16.28515625" style="23" customWidth="1"/>
    <col min="10508" max="10752" width="9.28515625" style="23"/>
    <col min="10753" max="10753" width="15" style="23" customWidth="1"/>
    <col min="10754" max="10754" width="12.7109375" style="23" customWidth="1"/>
    <col min="10755" max="10755" width="11.7109375" style="23" customWidth="1"/>
    <col min="10756" max="10756" width="44.85546875" style="23" customWidth="1"/>
    <col min="10757" max="10757" width="54.7109375" style="23" customWidth="1"/>
    <col min="10758" max="10758" width="15.28515625" style="23" customWidth="1"/>
    <col min="10759" max="10760" width="19.28515625" style="23" customWidth="1"/>
    <col min="10761" max="10761" width="13.85546875" style="23" customWidth="1"/>
    <col min="10762" max="10762" width="25.28515625" style="23" customWidth="1"/>
    <col min="10763" max="10763" width="16.28515625" style="23" customWidth="1"/>
    <col min="10764" max="11008" width="9.28515625" style="23"/>
    <col min="11009" max="11009" width="15" style="23" customWidth="1"/>
    <col min="11010" max="11010" width="12.7109375" style="23" customWidth="1"/>
    <col min="11011" max="11011" width="11.7109375" style="23" customWidth="1"/>
    <col min="11012" max="11012" width="44.85546875" style="23" customWidth="1"/>
    <col min="11013" max="11013" width="54.7109375" style="23" customWidth="1"/>
    <col min="11014" max="11014" width="15.28515625" style="23" customWidth="1"/>
    <col min="11015" max="11016" width="19.28515625" style="23" customWidth="1"/>
    <col min="11017" max="11017" width="13.85546875" style="23" customWidth="1"/>
    <col min="11018" max="11018" width="25.28515625" style="23" customWidth="1"/>
    <col min="11019" max="11019" width="16.28515625" style="23" customWidth="1"/>
    <col min="11020" max="11264" width="9.28515625" style="23"/>
    <col min="11265" max="11265" width="15" style="23" customWidth="1"/>
    <col min="11266" max="11266" width="12.7109375" style="23" customWidth="1"/>
    <col min="11267" max="11267" width="11.7109375" style="23" customWidth="1"/>
    <col min="11268" max="11268" width="44.85546875" style="23" customWidth="1"/>
    <col min="11269" max="11269" width="54.7109375" style="23" customWidth="1"/>
    <col min="11270" max="11270" width="15.28515625" style="23" customWidth="1"/>
    <col min="11271" max="11272" width="19.28515625" style="23" customWidth="1"/>
    <col min="11273" max="11273" width="13.85546875" style="23" customWidth="1"/>
    <col min="11274" max="11274" width="25.28515625" style="23" customWidth="1"/>
    <col min="11275" max="11275" width="16.28515625" style="23" customWidth="1"/>
    <col min="11276" max="11520" width="9.28515625" style="23"/>
    <col min="11521" max="11521" width="15" style="23" customWidth="1"/>
    <col min="11522" max="11522" width="12.7109375" style="23" customWidth="1"/>
    <col min="11523" max="11523" width="11.7109375" style="23" customWidth="1"/>
    <col min="11524" max="11524" width="44.85546875" style="23" customWidth="1"/>
    <col min="11525" max="11525" width="54.7109375" style="23" customWidth="1"/>
    <col min="11526" max="11526" width="15.28515625" style="23" customWidth="1"/>
    <col min="11527" max="11528" width="19.28515625" style="23" customWidth="1"/>
    <col min="11529" max="11529" width="13.85546875" style="23" customWidth="1"/>
    <col min="11530" max="11530" width="25.28515625" style="23" customWidth="1"/>
    <col min="11531" max="11531" width="16.28515625" style="23" customWidth="1"/>
    <col min="11532" max="11776" width="9.28515625" style="23"/>
    <col min="11777" max="11777" width="15" style="23" customWidth="1"/>
    <col min="11778" max="11778" width="12.7109375" style="23" customWidth="1"/>
    <col min="11779" max="11779" width="11.7109375" style="23" customWidth="1"/>
    <col min="11780" max="11780" width="44.85546875" style="23" customWidth="1"/>
    <col min="11781" max="11781" width="54.7109375" style="23" customWidth="1"/>
    <col min="11782" max="11782" width="15.28515625" style="23" customWidth="1"/>
    <col min="11783" max="11784" width="19.28515625" style="23" customWidth="1"/>
    <col min="11785" max="11785" width="13.85546875" style="23" customWidth="1"/>
    <col min="11786" max="11786" width="25.28515625" style="23" customWidth="1"/>
    <col min="11787" max="11787" width="16.28515625" style="23" customWidth="1"/>
    <col min="11788" max="12032" width="9.28515625" style="23"/>
    <col min="12033" max="12033" width="15" style="23" customWidth="1"/>
    <col min="12034" max="12034" width="12.7109375" style="23" customWidth="1"/>
    <col min="12035" max="12035" width="11.7109375" style="23" customWidth="1"/>
    <col min="12036" max="12036" width="44.85546875" style="23" customWidth="1"/>
    <col min="12037" max="12037" width="54.7109375" style="23" customWidth="1"/>
    <col min="12038" max="12038" width="15.28515625" style="23" customWidth="1"/>
    <col min="12039" max="12040" width="19.28515625" style="23" customWidth="1"/>
    <col min="12041" max="12041" width="13.85546875" style="23" customWidth="1"/>
    <col min="12042" max="12042" width="25.28515625" style="23" customWidth="1"/>
    <col min="12043" max="12043" width="16.28515625" style="23" customWidth="1"/>
    <col min="12044" max="12288" width="9.28515625" style="23"/>
    <col min="12289" max="12289" width="15" style="23" customWidth="1"/>
    <col min="12290" max="12290" width="12.7109375" style="23" customWidth="1"/>
    <col min="12291" max="12291" width="11.7109375" style="23" customWidth="1"/>
    <col min="12292" max="12292" width="44.85546875" style="23" customWidth="1"/>
    <col min="12293" max="12293" width="54.7109375" style="23" customWidth="1"/>
    <col min="12294" max="12294" width="15.28515625" style="23" customWidth="1"/>
    <col min="12295" max="12296" width="19.28515625" style="23" customWidth="1"/>
    <col min="12297" max="12297" width="13.85546875" style="23" customWidth="1"/>
    <col min="12298" max="12298" width="25.28515625" style="23" customWidth="1"/>
    <col min="12299" max="12299" width="16.28515625" style="23" customWidth="1"/>
    <col min="12300" max="12544" width="9.28515625" style="23"/>
    <col min="12545" max="12545" width="15" style="23" customWidth="1"/>
    <col min="12546" max="12546" width="12.7109375" style="23" customWidth="1"/>
    <col min="12547" max="12547" width="11.7109375" style="23" customWidth="1"/>
    <col min="12548" max="12548" width="44.85546875" style="23" customWidth="1"/>
    <col min="12549" max="12549" width="54.7109375" style="23" customWidth="1"/>
    <col min="12550" max="12550" width="15.28515625" style="23" customWidth="1"/>
    <col min="12551" max="12552" width="19.28515625" style="23" customWidth="1"/>
    <col min="12553" max="12553" width="13.85546875" style="23" customWidth="1"/>
    <col min="12554" max="12554" width="25.28515625" style="23" customWidth="1"/>
    <col min="12555" max="12555" width="16.28515625" style="23" customWidth="1"/>
    <col min="12556" max="12800" width="9.28515625" style="23"/>
    <col min="12801" max="12801" width="15" style="23" customWidth="1"/>
    <col min="12802" max="12802" width="12.7109375" style="23" customWidth="1"/>
    <col min="12803" max="12803" width="11.7109375" style="23" customWidth="1"/>
    <col min="12804" max="12804" width="44.85546875" style="23" customWidth="1"/>
    <col min="12805" max="12805" width="54.7109375" style="23" customWidth="1"/>
    <col min="12806" max="12806" width="15.28515625" style="23" customWidth="1"/>
    <col min="12807" max="12808" width="19.28515625" style="23" customWidth="1"/>
    <col min="12809" max="12809" width="13.85546875" style="23" customWidth="1"/>
    <col min="12810" max="12810" width="25.28515625" style="23" customWidth="1"/>
    <col min="12811" max="12811" width="16.28515625" style="23" customWidth="1"/>
    <col min="12812" max="13056" width="9.28515625" style="23"/>
    <col min="13057" max="13057" width="15" style="23" customWidth="1"/>
    <col min="13058" max="13058" width="12.7109375" style="23" customWidth="1"/>
    <col min="13059" max="13059" width="11.7109375" style="23" customWidth="1"/>
    <col min="13060" max="13060" width="44.85546875" style="23" customWidth="1"/>
    <col min="13061" max="13061" width="54.7109375" style="23" customWidth="1"/>
    <col min="13062" max="13062" width="15.28515625" style="23" customWidth="1"/>
    <col min="13063" max="13064" width="19.28515625" style="23" customWidth="1"/>
    <col min="13065" max="13065" width="13.85546875" style="23" customWidth="1"/>
    <col min="13066" max="13066" width="25.28515625" style="23" customWidth="1"/>
    <col min="13067" max="13067" width="16.28515625" style="23" customWidth="1"/>
    <col min="13068" max="13312" width="9.28515625" style="23"/>
    <col min="13313" max="13313" width="15" style="23" customWidth="1"/>
    <col min="13314" max="13314" width="12.7109375" style="23" customWidth="1"/>
    <col min="13315" max="13315" width="11.7109375" style="23" customWidth="1"/>
    <col min="13316" max="13316" width="44.85546875" style="23" customWidth="1"/>
    <col min="13317" max="13317" width="54.7109375" style="23" customWidth="1"/>
    <col min="13318" max="13318" width="15.28515625" style="23" customWidth="1"/>
    <col min="13319" max="13320" width="19.28515625" style="23" customWidth="1"/>
    <col min="13321" max="13321" width="13.85546875" style="23" customWidth="1"/>
    <col min="13322" max="13322" width="25.28515625" style="23" customWidth="1"/>
    <col min="13323" max="13323" width="16.28515625" style="23" customWidth="1"/>
    <col min="13324" max="13568" width="9.28515625" style="23"/>
    <col min="13569" max="13569" width="15" style="23" customWidth="1"/>
    <col min="13570" max="13570" width="12.7109375" style="23" customWidth="1"/>
    <col min="13571" max="13571" width="11.7109375" style="23" customWidth="1"/>
    <col min="13572" max="13572" width="44.85546875" style="23" customWidth="1"/>
    <col min="13573" max="13573" width="54.7109375" style="23" customWidth="1"/>
    <col min="13574" max="13574" width="15.28515625" style="23" customWidth="1"/>
    <col min="13575" max="13576" width="19.28515625" style="23" customWidth="1"/>
    <col min="13577" max="13577" width="13.85546875" style="23" customWidth="1"/>
    <col min="13578" max="13578" width="25.28515625" style="23" customWidth="1"/>
    <col min="13579" max="13579" width="16.28515625" style="23" customWidth="1"/>
    <col min="13580" max="13824" width="9.28515625" style="23"/>
    <col min="13825" max="13825" width="15" style="23" customWidth="1"/>
    <col min="13826" max="13826" width="12.7109375" style="23" customWidth="1"/>
    <col min="13827" max="13827" width="11.7109375" style="23" customWidth="1"/>
    <col min="13828" max="13828" width="44.85546875" style="23" customWidth="1"/>
    <col min="13829" max="13829" width="54.7109375" style="23" customWidth="1"/>
    <col min="13830" max="13830" width="15.28515625" style="23" customWidth="1"/>
    <col min="13831" max="13832" width="19.28515625" style="23" customWidth="1"/>
    <col min="13833" max="13833" width="13.85546875" style="23" customWidth="1"/>
    <col min="13834" max="13834" width="25.28515625" style="23" customWidth="1"/>
    <col min="13835" max="13835" width="16.28515625" style="23" customWidth="1"/>
    <col min="13836" max="14080" width="9.28515625" style="23"/>
    <col min="14081" max="14081" width="15" style="23" customWidth="1"/>
    <col min="14082" max="14082" width="12.7109375" style="23" customWidth="1"/>
    <col min="14083" max="14083" width="11.7109375" style="23" customWidth="1"/>
    <col min="14084" max="14084" width="44.85546875" style="23" customWidth="1"/>
    <col min="14085" max="14085" width="54.7109375" style="23" customWidth="1"/>
    <col min="14086" max="14086" width="15.28515625" style="23" customWidth="1"/>
    <col min="14087" max="14088" width="19.28515625" style="23" customWidth="1"/>
    <col min="14089" max="14089" width="13.85546875" style="23" customWidth="1"/>
    <col min="14090" max="14090" width="25.28515625" style="23" customWidth="1"/>
    <col min="14091" max="14091" width="16.28515625" style="23" customWidth="1"/>
    <col min="14092" max="14336" width="9.28515625" style="23"/>
    <col min="14337" max="14337" width="15" style="23" customWidth="1"/>
    <col min="14338" max="14338" width="12.7109375" style="23" customWidth="1"/>
    <col min="14339" max="14339" width="11.7109375" style="23" customWidth="1"/>
    <col min="14340" max="14340" width="44.85546875" style="23" customWidth="1"/>
    <col min="14341" max="14341" width="54.7109375" style="23" customWidth="1"/>
    <col min="14342" max="14342" width="15.28515625" style="23" customWidth="1"/>
    <col min="14343" max="14344" width="19.28515625" style="23" customWidth="1"/>
    <col min="14345" max="14345" width="13.85546875" style="23" customWidth="1"/>
    <col min="14346" max="14346" width="25.28515625" style="23" customWidth="1"/>
    <col min="14347" max="14347" width="16.28515625" style="23" customWidth="1"/>
    <col min="14348" max="14592" width="9.28515625" style="23"/>
    <col min="14593" max="14593" width="15" style="23" customWidth="1"/>
    <col min="14594" max="14594" width="12.7109375" style="23" customWidth="1"/>
    <col min="14595" max="14595" width="11.7109375" style="23" customWidth="1"/>
    <col min="14596" max="14596" width="44.85546875" style="23" customWidth="1"/>
    <col min="14597" max="14597" width="54.7109375" style="23" customWidth="1"/>
    <col min="14598" max="14598" width="15.28515625" style="23" customWidth="1"/>
    <col min="14599" max="14600" width="19.28515625" style="23" customWidth="1"/>
    <col min="14601" max="14601" width="13.85546875" style="23" customWidth="1"/>
    <col min="14602" max="14602" width="25.28515625" style="23" customWidth="1"/>
    <col min="14603" max="14603" width="16.28515625" style="23" customWidth="1"/>
    <col min="14604" max="14848" width="9.28515625" style="23"/>
    <col min="14849" max="14849" width="15" style="23" customWidth="1"/>
    <col min="14850" max="14850" width="12.7109375" style="23" customWidth="1"/>
    <col min="14851" max="14851" width="11.7109375" style="23" customWidth="1"/>
    <col min="14852" max="14852" width="44.85546875" style="23" customWidth="1"/>
    <col min="14853" max="14853" width="54.7109375" style="23" customWidth="1"/>
    <col min="14854" max="14854" width="15.28515625" style="23" customWidth="1"/>
    <col min="14855" max="14856" width="19.28515625" style="23" customWidth="1"/>
    <col min="14857" max="14857" width="13.85546875" style="23" customWidth="1"/>
    <col min="14858" max="14858" width="25.28515625" style="23" customWidth="1"/>
    <col min="14859" max="14859" width="16.28515625" style="23" customWidth="1"/>
    <col min="14860" max="15104" width="9.28515625" style="23"/>
    <col min="15105" max="15105" width="15" style="23" customWidth="1"/>
    <col min="15106" max="15106" width="12.7109375" style="23" customWidth="1"/>
    <col min="15107" max="15107" width="11.7109375" style="23" customWidth="1"/>
    <col min="15108" max="15108" width="44.85546875" style="23" customWidth="1"/>
    <col min="15109" max="15109" width="54.7109375" style="23" customWidth="1"/>
    <col min="15110" max="15110" width="15.28515625" style="23" customWidth="1"/>
    <col min="15111" max="15112" width="19.28515625" style="23" customWidth="1"/>
    <col min="15113" max="15113" width="13.85546875" style="23" customWidth="1"/>
    <col min="15114" max="15114" width="25.28515625" style="23" customWidth="1"/>
    <col min="15115" max="15115" width="16.28515625" style="23" customWidth="1"/>
    <col min="15116" max="15360" width="9.28515625" style="23"/>
    <col min="15361" max="15361" width="15" style="23" customWidth="1"/>
    <col min="15362" max="15362" width="12.7109375" style="23" customWidth="1"/>
    <col min="15363" max="15363" width="11.7109375" style="23" customWidth="1"/>
    <col min="15364" max="15364" width="44.85546875" style="23" customWidth="1"/>
    <col min="15365" max="15365" width="54.7109375" style="23" customWidth="1"/>
    <col min="15366" max="15366" width="15.28515625" style="23" customWidth="1"/>
    <col min="15367" max="15368" width="19.28515625" style="23" customWidth="1"/>
    <col min="15369" max="15369" width="13.85546875" style="23" customWidth="1"/>
    <col min="15370" max="15370" width="25.28515625" style="23" customWidth="1"/>
    <col min="15371" max="15371" width="16.28515625" style="23" customWidth="1"/>
    <col min="15372" max="15616" width="9.28515625" style="23"/>
    <col min="15617" max="15617" width="15" style="23" customWidth="1"/>
    <col min="15618" max="15618" width="12.7109375" style="23" customWidth="1"/>
    <col min="15619" max="15619" width="11.7109375" style="23" customWidth="1"/>
    <col min="15620" max="15620" width="44.85546875" style="23" customWidth="1"/>
    <col min="15621" max="15621" width="54.7109375" style="23" customWidth="1"/>
    <col min="15622" max="15622" width="15.28515625" style="23" customWidth="1"/>
    <col min="15623" max="15624" width="19.28515625" style="23" customWidth="1"/>
    <col min="15625" max="15625" width="13.85546875" style="23" customWidth="1"/>
    <col min="15626" max="15626" width="25.28515625" style="23" customWidth="1"/>
    <col min="15627" max="15627" width="16.28515625" style="23" customWidth="1"/>
    <col min="15628" max="15872" width="9.28515625" style="23"/>
    <col min="15873" max="15873" width="15" style="23" customWidth="1"/>
    <col min="15874" max="15874" width="12.7109375" style="23" customWidth="1"/>
    <col min="15875" max="15875" width="11.7109375" style="23" customWidth="1"/>
    <col min="15876" max="15876" width="44.85546875" style="23" customWidth="1"/>
    <col min="15877" max="15877" width="54.7109375" style="23" customWidth="1"/>
    <col min="15878" max="15878" width="15.28515625" style="23" customWidth="1"/>
    <col min="15879" max="15880" width="19.28515625" style="23" customWidth="1"/>
    <col min="15881" max="15881" width="13.85546875" style="23" customWidth="1"/>
    <col min="15882" max="15882" width="25.28515625" style="23" customWidth="1"/>
    <col min="15883" max="15883" width="16.28515625" style="23" customWidth="1"/>
    <col min="15884" max="16128" width="9.28515625" style="23"/>
    <col min="16129" max="16129" width="15" style="23" customWidth="1"/>
    <col min="16130" max="16130" width="12.7109375" style="23" customWidth="1"/>
    <col min="16131" max="16131" width="11.7109375" style="23" customWidth="1"/>
    <col min="16132" max="16132" width="44.85546875" style="23" customWidth="1"/>
    <col min="16133" max="16133" width="54.7109375" style="23" customWidth="1"/>
    <col min="16134" max="16134" width="15.28515625" style="23" customWidth="1"/>
    <col min="16135" max="16136" width="19.28515625" style="23" customWidth="1"/>
    <col min="16137" max="16137" width="13.85546875" style="23" customWidth="1"/>
    <col min="16138" max="16138" width="25.28515625" style="23" customWidth="1"/>
    <col min="16139" max="16139" width="16.28515625" style="23" customWidth="1"/>
    <col min="16140" max="16384" width="9.28515625" style="23"/>
  </cols>
  <sheetData>
    <row r="1" spans="7:11" ht="18.75" x14ac:dyDescent="0.25">
      <c r="I1" s="353" t="s">
        <v>435</v>
      </c>
      <c r="J1" s="20"/>
    </row>
    <row r="2" spans="7:11" ht="18.75" x14ac:dyDescent="0.25">
      <c r="I2" s="353" t="s">
        <v>612</v>
      </c>
      <c r="J2" s="20"/>
    </row>
    <row r="3" spans="7:11" ht="18.75" x14ac:dyDescent="0.3">
      <c r="I3" s="117" t="s">
        <v>628</v>
      </c>
      <c r="J3" s="118"/>
    </row>
    <row r="4" spans="7:11" ht="18.75" x14ac:dyDescent="0.3">
      <c r="I4" s="119" t="s">
        <v>629</v>
      </c>
      <c r="J4" s="120"/>
    </row>
    <row r="5" spans="7:11" ht="18.75" x14ac:dyDescent="0.25">
      <c r="I5" s="375" t="s">
        <v>648</v>
      </c>
      <c r="J5" s="375"/>
    </row>
    <row r="6" spans="7:11" ht="18.75" x14ac:dyDescent="0.25">
      <c r="I6" s="353"/>
      <c r="J6" s="353"/>
    </row>
    <row r="7" spans="7:11" ht="18.75" x14ac:dyDescent="0.25">
      <c r="I7" s="115" t="s">
        <v>656</v>
      </c>
      <c r="J7" s="20"/>
      <c r="K7" s="116"/>
    </row>
    <row r="8" spans="7:11" ht="18.75" x14ac:dyDescent="0.25">
      <c r="I8" s="115" t="s">
        <v>104</v>
      </c>
      <c r="J8" s="20"/>
      <c r="K8" s="116"/>
    </row>
    <row r="9" spans="7:11" ht="18.75" x14ac:dyDescent="0.25">
      <c r="I9" s="445" t="s">
        <v>108</v>
      </c>
      <c r="J9" s="445"/>
      <c r="K9" s="445"/>
    </row>
    <row r="10" spans="7:11" ht="18.75" x14ac:dyDescent="0.25">
      <c r="I10" s="445" t="s">
        <v>109</v>
      </c>
      <c r="J10" s="445"/>
      <c r="K10" s="445"/>
    </row>
    <row r="11" spans="7:11" ht="18.75" x14ac:dyDescent="0.3">
      <c r="I11" s="117" t="s">
        <v>590</v>
      </c>
      <c r="J11" s="118"/>
      <c r="K11" s="116"/>
    </row>
    <row r="12" spans="7:11" ht="18.75" x14ac:dyDescent="0.3">
      <c r="I12" s="119" t="s">
        <v>592</v>
      </c>
      <c r="J12" s="120"/>
      <c r="K12" s="116"/>
    </row>
    <row r="13" spans="7:11" ht="18.75" x14ac:dyDescent="0.25">
      <c r="I13" s="375" t="s">
        <v>657</v>
      </c>
      <c r="J13" s="375"/>
      <c r="K13" s="116"/>
    </row>
    <row r="14" spans="7:11" ht="14.1" customHeight="1" x14ac:dyDescent="0.25">
      <c r="G14" s="27"/>
      <c r="H14" s="27"/>
      <c r="I14" s="4"/>
      <c r="K14" s="23"/>
    </row>
    <row r="15" spans="7:11" ht="20.25" customHeight="1" x14ac:dyDescent="0.25">
      <c r="G15" s="27"/>
      <c r="H15" s="27"/>
      <c r="I15" s="4"/>
      <c r="K15" s="23"/>
    </row>
    <row r="16" spans="7:11" ht="15.75" x14ac:dyDescent="0.25">
      <c r="G16" s="27"/>
      <c r="H16" s="27"/>
      <c r="I16" s="66"/>
      <c r="K16" s="23"/>
    </row>
    <row r="17" spans="1:11" s="4" customFormat="1" ht="15.75" x14ac:dyDescent="0.25">
      <c r="A17" s="23"/>
      <c r="B17" s="24"/>
      <c r="C17" s="25"/>
      <c r="D17" s="26"/>
      <c r="E17" s="27"/>
      <c r="F17" s="25"/>
      <c r="G17" s="27"/>
      <c r="H17" s="27"/>
      <c r="I17" s="27"/>
      <c r="K17" s="30"/>
    </row>
    <row r="18" spans="1:11" ht="27" customHeight="1" x14ac:dyDescent="0.25">
      <c r="A18" s="437" t="s">
        <v>110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37"/>
    </row>
    <row r="19" spans="1:11" ht="28.35" customHeight="1" x14ac:dyDescent="0.25">
      <c r="A19" s="446">
        <v>1559100000</v>
      </c>
      <c r="B19" s="446"/>
      <c r="C19" s="446"/>
      <c r="D19" s="447"/>
      <c r="E19" s="447"/>
      <c r="F19" s="447"/>
      <c r="G19" s="447"/>
      <c r="H19" s="447"/>
      <c r="I19" s="447"/>
      <c r="J19" s="447"/>
      <c r="K19" s="447"/>
    </row>
    <row r="20" spans="1:11" ht="22.15" customHeight="1" thickBot="1" x14ac:dyDescent="0.3">
      <c r="A20" s="448" t="s">
        <v>0</v>
      </c>
      <c r="B20" s="448"/>
      <c r="C20" s="448"/>
      <c r="D20" s="21"/>
      <c r="E20" s="21"/>
      <c r="F20" s="31"/>
      <c r="G20" s="21"/>
      <c r="H20" s="21"/>
      <c r="I20" s="21"/>
      <c r="J20" s="21"/>
      <c r="K20" s="32" t="s">
        <v>1</v>
      </c>
    </row>
    <row r="21" spans="1:11" s="4" customFormat="1" ht="77.25" customHeight="1" x14ac:dyDescent="0.25">
      <c r="A21" s="459" t="s">
        <v>2</v>
      </c>
      <c r="B21" s="457" t="s">
        <v>3</v>
      </c>
      <c r="C21" s="453" t="s">
        <v>49</v>
      </c>
      <c r="D21" s="457" t="s">
        <v>50</v>
      </c>
      <c r="E21" s="453" t="s">
        <v>51</v>
      </c>
      <c r="F21" s="457" t="s">
        <v>52</v>
      </c>
      <c r="G21" s="453" t="s">
        <v>53</v>
      </c>
      <c r="H21" s="455" t="s">
        <v>54</v>
      </c>
      <c r="I21" s="457" t="s">
        <v>55</v>
      </c>
      <c r="J21" s="455" t="s">
        <v>56</v>
      </c>
      <c r="K21" s="451" t="s">
        <v>57</v>
      </c>
    </row>
    <row r="22" spans="1:11" s="4" customFormat="1" ht="95.25" customHeight="1" thickBot="1" x14ac:dyDescent="0.3">
      <c r="A22" s="460"/>
      <c r="B22" s="458"/>
      <c r="C22" s="454"/>
      <c r="D22" s="458"/>
      <c r="E22" s="454"/>
      <c r="F22" s="458"/>
      <c r="G22" s="454"/>
      <c r="H22" s="456"/>
      <c r="I22" s="458"/>
      <c r="J22" s="456"/>
      <c r="K22" s="452"/>
    </row>
    <row r="23" spans="1:11" s="37" customFormat="1" ht="24" customHeight="1" thickBot="1" x14ac:dyDescent="0.3">
      <c r="A23" s="33" t="s">
        <v>58</v>
      </c>
      <c r="B23" s="22" t="s">
        <v>59</v>
      </c>
      <c r="C23" s="34" t="s">
        <v>60</v>
      </c>
      <c r="D23" s="22" t="s">
        <v>67</v>
      </c>
      <c r="E23" s="22" t="s">
        <v>61</v>
      </c>
      <c r="F23" s="22" t="s">
        <v>62</v>
      </c>
      <c r="G23" s="22" t="s">
        <v>63</v>
      </c>
      <c r="H23" s="34" t="s">
        <v>64</v>
      </c>
      <c r="I23" s="34" t="s">
        <v>65</v>
      </c>
      <c r="J23" s="35">
        <v>10</v>
      </c>
      <c r="K23" s="36">
        <v>11</v>
      </c>
    </row>
    <row r="24" spans="1:11" s="37" customFormat="1" ht="57" thickBot="1" x14ac:dyDescent="0.3">
      <c r="A24" s="304" t="s">
        <v>5</v>
      </c>
      <c r="B24" s="294"/>
      <c r="C24" s="305"/>
      <c r="D24" s="306" t="s">
        <v>107</v>
      </c>
      <c r="E24" s="5"/>
      <c r="F24" s="6"/>
      <c r="G24" s="307"/>
      <c r="H24" s="308"/>
      <c r="I24" s="308"/>
      <c r="J24" s="309">
        <f>J25</f>
        <v>2092306</v>
      </c>
      <c r="K24" s="299"/>
    </row>
    <row r="25" spans="1:11" s="37" customFormat="1" ht="60" customHeight="1" x14ac:dyDescent="0.25">
      <c r="A25" s="38" t="s">
        <v>7</v>
      </c>
      <c r="B25" s="39"/>
      <c r="C25" s="39"/>
      <c r="D25" s="300" t="s">
        <v>91</v>
      </c>
      <c r="E25" s="301"/>
      <c r="F25" s="41"/>
      <c r="G25" s="302"/>
      <c r="H25" s="302"/>
      <c r="I25" s="302"/>
      <c r="J25" s="59">
        <f>SUM(J26:J28)</f>
        <v>2092306</v>
      </c>
      <c r="K25" s="303"/>
    </row>
    <row r="26" spans="1:11" s="37" customFormat="1" ht="107.25" customHeight="1" x14ac:dyDescent="0.25">
      <c r="A26" s="85" t="s">
        <v>559</v>
      </c>
      <c r="B26" s="67" t="s">
        <v>565</v>
      </c>
      <c r="C26" s="67" t="s">
        <v>304</v>
      </c>
      <c r="D26" s="68" t="s">
        <v>560</v>
      </c>
      <c r="E26" s="69" t="s">
        <v>92</v>
      </c>
      <c r="F26" s="58"/>
      <c r="G26" s="48"/>
      <c r="H26" s="48"/>
      <c r="I26" s="48"/>
      <c r="J26" s="57">
        <v>2020106</v>
      </c>
      <c r="K26" s="63"/>
    </row>
    <row r="27" spans="1:11" s="37" customFormat="1" ht="78" customHeight="1" x14ac:dyDescent="0.25">
      <c r="A27" s="64" t="s">
        <v>83</v>
      </c>
      <c r="B27" s="65">
        <v>7650</v>
      </c>
      <c r="C27" s="65" t="s">
        <v>74</v>
      </c>
      <c r="D27" s="70" t="s">
        <v>84</v>
      </c>
      <c r="E27" s="69" t="s">
        <v>88</v>
      </c>
      <c r="F27" s="58"/>
      <c r="G27" s="48"/>
      <c r="H27" s="48"/>
      <c r="I27" s="48"/>
      <c r="J27" s="57">
        <v>57000</v>
      </c>
      <c r="K27" s="63"/>
    </row>
    <row r="28" spans="1:11" s="37" customFormat="1" ht="97.5" customHeight="1" thickBot="1" x14ac:dyDescent="0.3">
      <c r="A28" s="64" t="s">
        <v>85</v>
      </c>
      <c r="B28" s="65" t="s">
        <v>86</v>
      </c>
      <c r="C28" s="65" t="s">
        <v>74</v>
      </c>
      <c r="D28" s="70" t="s">
        <v>87</v>
      </c>
      <c r="E28" s="69" t="s">
        <v>88</v>
      </c>
      <c r="F28" s="58"/>
      <c r="G28" s="48"/>
      <c r="H28" s="48"/>
      <c r="I28" s="48"/>
      <c r="J28" s="57">
        <v>15200</v>
      </c>
      <c r="K28" s="63"/>
    </row>
    <row r="29" spans="1:11" s="37" customFormat="1" ht="102" customHeight="1" thickBot="1" x14ac:dyDescent="0.3">
      <c r="A29" s="293" t="s">
        <v>37</v>
      </c>
      <c r="B29" s="294"/>
      <c r="C29" s="294"/>
      <c r="D29" s="295" t="s">
        <v>150</v>
      </c>
      <c r="E29" s="296"/>
      <c r="F29" s="6"/>
      <c r="G29" s="297"/>
      <c r="H29" s="297"/>
      <c r="I29" s="297"/>
      <c r="J29" s="298">
        <f>J30</f>
        <v>4765512</v>
      </c>
      <c r="K29" s="299"/>
    </row>
    <row r="30" spans="1:11" s="37" customFormat="1" ht="66" customHeight="1" x14ac:dyDescent="0.25">
      <c r="A30" s="38" t="s">
        <v>38</v>
      </c>
      <c r="B30" s="39"/>
      <c r="C30" s="39"/>
      <c r="D30" s="71" t="s">
        <v>96</v>
      </c>
      <c r="E30" s="40"/>
      <c r="F30" s="41"/>
      <c r="G30" s="42"/>
      <c r="H30" s="42"/>
      <c r="I30" s="42"/>
      <c r="J30" s="7">
        <f>SUM(J31:J31)</f>
        <v>4765512</v>
      </c>
      <c r="K30" s="8"/>
    </row>
    <row r="31" spans="1:11" s="37" customFormat="1" ht="110.25" customHeight="1" thickBot="1" x14ac:dyDescent="0.3">
      <c r="A31" s="62" t="s">
        <v>567</v>
      </c>
      <c r="B31" s="67" t="s">
        <v>566</v>
      </c>
      <c r="C31" s="67" t="s">
        <v>563</v>
      </c>
      <c r="D31" s="134" t="s">
        <v>561</v>
      </c>
      <c r="E31" s="69" t="s">
        <v>92</v>
      </c>
      <c r="F31" s="72"/>
      <c r="G31" s="73"/>
      <c r="H31" s="73"/>
      <c r="I31" s="73"/>
      <c r="J31" s="57">
        <f>4264354+501158</f>
        <v>4765512</v>
      </c>
      <c r="K31" s="74"/>
    </row>
    <row r="32" spans="1:11" s="37" customFormat="1" ht="81" customHeight="1" thickBot="1" x14ac:dyDescent="0.3">
      <c r="A32" s="75" t="s">
        <v>46</v>
      </c>
      <c r="B32" s="76"/>
      <c r="C32" s="76"/>
      <c r="D32" s="86" t="s">
        <v>151</v>
      </c>
      <c r="E32" s="77"/>
      <c r="F32" s="76"/>
      <c r="G32" s="78"/>
      <c r="H32" s="78"/>
      <c r="I32" s="78"/>
      <c r="J32" s="79">
        <f>J33</f>
        <v>33763323</v>
      </c>
      <c r="K32" s="80"/>
    </row>
    <row r="33" spans="1:11" s="37" customFormat="1" ht="56.25" customHeight="1" x14ac:dyDescent="0.25">
      <c r="A33" s="38" t="s">
        <v>47</v>
      </c>
      <c r="B33" s="318"/>
      <c r="C33" s="43"/>
      <c r="D33" s="82" t="s">
        <v>97</v>
      </c>
      <c r="E33" s="44"/>
      <c r="F33" s="45"/>
      <c r="G33" s="46"/>
      <c r="H33" s="46"/>
      <c r="I33" s="46"/>
      <c r="J33" s="46">
        <f>J34+J37+J40+J43+J45+J47+J48+J49+J51+J53+J55+J57+J58+J60+J61+J62</f>
        <v>33763323</v>
      </c>
      <c r="K33" s="47"/>
    </row>
    <row r="34" spans="1:11" s="37" customFormat="1" ht="168.75" customHeight="1" x14ac:dyDescent="0.25">
      <c r="A34" s="461" t="s">
        <v>130</v>
      </c>
      <c r="B34" s="464" t="s">
        <v>72</v>
      </c>
      <c r="C34" s="464" t="s">
        <v>8</v>
      </c>
      <c r="D34" s="467" t="s">
        <v>73</v>
      </c>
      <c r="E34" s="89" t="s">
        <v>131</v>
      </c>
      <c r="F34" s="449" t="s">
        <v>132</v>
      </c>
      <c r="G34" s="48">
        <v>18167785</v>
      </c>
      <c r="H34" s="48">
        <v>599219</v>
      </c>
      <c r="I34" s="90">
        <f>H34/G34</f>
        <v>3.2982501719389566E-2</v>
      </c>
      <c r="J34" s="91">
        <f>J35</f>
        <v>3266000</v>
      </c>
      <c r="K34" s="111">
        <f>(J34+H34)/G34</f>
        <v>0.21275125173487028</v>
      </c>
    </row>
    <row r="35" spans="1:11" s="37" customFormat="1" ht="174" customHeight="1" x14ac:dyDescent="0.25">
      <c r="A35" s="462"/>
      <c r="B35" s="465"/>
      <c r="C35" s="465"/>
      <c r="D35" s="468"/>
      <c r="E35" s="92" t="s">
        <v>133</v>
      </c>
      <c r="F35" s="450"/>
      <c r="G35" s="61">
        <v>6858678</v>
      </c>
      <c r="H35" s="61">
        <v>599219</v>
      </c>
      <c r="I35" s="93">
        <f>H35/G35</f>
        <v>8.7366544981408958E-2</v>
      </c>
      <c r="J35" s="94">
        <f>5500000-1480000-754000</f>
        <v>3266000</v>
      </c>
      <c r="K35" s="112">
        <f>(J35+H35)/G35</f>
        <v>0.56355160571760332</v>
      </c>
    </row>
    <row r="36" spans="1:11" s="37" customFormat="1" ht="20.25" x14ac:dyDescent="0.25">
      <c r="A36" s="463"/>
      <c r="B36" s="466"/>
      <c r="C36" s="466"/>
      <c r="D36" s="469"/>
      <c r="E36" s="92" t="s">
        <v>134</v>
      </c>
      <c r="F36" s="470"/>
      <c r="G36" s="61">
        <v>603674</v>
      </c>
      <c r="H36" s="61">
        <f>250000+349219</f>
        <v>599219</v>
      </c>
      <c r="I36" s="93">
        <v>1</v>
      </c>
      <c r="J36" s="94"/>
      <c r="K36" s="112">
        <v>1</v>
      </c>
    </row>
    <row r="37" spans="1:11" s="37" customFormat="1" ht="228.75" customHeight="1" x14ac:dyDescent="0.25">
      <c r="A37" s="461" t="s">
        <v>569</v>
      </c>
      <c r="B37" s="464" t="s">
        <v>568</v>
      </c>
      <c r="C37" s="464"/>
      <c r="D37" s="471" t="s">
        <v>562</v>
      </c>
      <c r="E37" s="324" t="s">
        <v>601</v>
      </c>
      <c r="F37" s="449" t="s">
        <v>147</v>
      </c>
      <c r="G37" s="48">
        <v>24112549</v>
      </c>
      <c r="H37" s="325">
        <v>23615792</v>
      </c>
      <c r="I37" s="326">
        <f>H37/G37</f>
        <v>0.9793984037108644</v>
      </c>
      <c r="J37" s="91">
        <v>90337</v>
      </c>
      <c r="K37" s="111">
        <v>1</v>
      </c>
    </row>
    <row r="38" spans="1:11" s="37" customFormat="1" ht="27.75" customHeight="1" x14ac:dyDescent="0.25">
      <c r="A38" s="462"/>
      <c r="B38" s="465"/>
      <c r="C38" s="465"/>
      <c r="D38" s="472"/>
      <c r="E38" s="327" t="s">
        <v>602</v>
      </c>
      <c r="F38" s="450"/>
      <c r="G38" s="61">
        <v>62711</v>
      </c>
      <c r="H38" s="328"/>
      <c r="I38" s="329"/>
      <c r="J38" s="94">
        <v>62711</v>
      </c>
      <c r="K38" s="112">
        <v>1</v>
      </c>
    </row>
    <row r="39" spans="1:11" s="37" customFormat="1" ht="96.75" customHeight="1" x14ac:dyDescent="0.25">
      <c r="A39" s="463"/>
      <c r="B39" s="466"/>
      <c r="C39" s="466"/>
      <c r="D39" s="473"/>
      <c r="E39" s="327" t="s">
        <v>603</v>
      </c>
      <c r="F39" s="470"/>
      <c r="G39" s="61">
        <v>106320</v>
      </c>
      <c r="H39" s="328"/>
      <c r="I39" s="329"/>
      <c r="J39" s="94">
        <v>27626</v>
      </c>
      <c r="K39" s="112">
        <v>1</v>
      </c>
    </row>
    <row r="40" spans="1:11" s="37" customFormat="1" ht="182.25" x14ac:dyDescent="0.25">
      <c r="A40" s="474" t="s">
        <v>569</v>
      </c>
      <c r="B40" s="449" t="s">
        <v>568</v>
      </c>
      <c r="C40" s="449" t="s">
        <v>23</v>
      </c>
      <c r="D40" s="471" t="s">
        <v>562</v>
      </c>
      <c r="E40" s="95" t="s">
        <v>138</v>
      </c>
      <c r="F40" s="471" t="s">
        <v>139</v>
      </c>
      <c r="G40" s="96">
        <v>16389490</v>
      </c>
      <c r="H40" s="97">
        <f>11185952+183418</f>
        <v>11369370</v>
      </c>
      <c r="I40" s="98">
        <f>H40/G40</f>
        <v>0.69369882772435265</v>
      </c>
      <c r="J40" s="48">
        <f>4989690+1071</f>
        <v>4990761</v>
      </c>
      <c r="K40" s="111">
        <v>1</v>
      </c>
    </row>
    <row r="41" spans="1:11" s="37" customFormat="1" ht="42" customHeight="1" x14ac:dyDescent="0.25">
      <c r="A41" s="475"/>
      <c r="B41" s="450"/>
      <c r="C41" s="450"/>
      <c r="D41" s="472"/>
      <c r="E41" s="99" t="s">
        <v>89</v>
      </c>
      <c r="F41" s="472"/>
      <c r="G41" s="100">
        <v>276327</v>
      </c>
      <c r="H41" s="101">
        <v>276326.53999999998</v>
      </c>
      <c r="I41" s="102">
        <v>1</v>
      </c>
      <c r="J41" s="96"/>
      <c r="K41" s="112">
        <v>1</v>
      </c>
    </row>
    <row r="42" spans="1:11" s="37" customFormat="1" ht="52.9" customHeight="1" x14ac:dyDescent="0.25">
      <c r="A42" s="476"/>
      <c r="B42" s="470"/>
      <c r="C42" s="470"/>
      <c r="D42" s="473"/>
      <c r="E42" s="99" t="s">
        <v>140</v>
      </c>
      <c r="F42" s="473"/>
      <c r="G42" s="100">
        <v>587560</v>
      </c>
      <c r="H42" s="101">
        <f>150000+229945.02+183418</f>
        <v>563363.02</v>
      </c>
      <c r="I42" s="102">
        <v>1</v>
      </c>
      <c r="J42" s="48"/>
      <c r="K42" s="112">
        <v>1</v>
      </c>
    </row>
    <row r="43" spans="1:11" s="37" customFormat="1" ht="231.75" customHeight="1" x14ac:dyDescent="0.25">
      <c r="A43" s="474" t="s">
        <v>569</v>
      </c>
      <c r="B43" s="449" t="s">
        <v>568</v>
      </c>
      <c r="C43" s="449" t="s">
        <v>23</v>
      </c>
      <c r="D43" s="471" t="s">
        <v>562</v>
      </c>
      <c r="E43" s="330" t="s">
        <v>604</v>
      </c>
      <c r="F43" s="471" t="s">
        <v>144</v>
      </c>
      <c r="G43" s="331">
        <v>49219132</v>
      </c>
      <c r="H43" s="97">
        <v>6328741</v>
      </c>
      <c r="I43" s="332">
        <f>H43/G43</f>
        <v>0.12858294616004198</v>
      </c>
      <c r="J43" s="48">
        <v>10000000</v>
      </c>
      <c r="K43" s="111">
        <f>(J43+H43)/G43</f>
        <v>0.33175597245396365</v>
      </c>
    </row>
    <row r="44" spans="1:11" s="37" customFormat="1" ht="29.25" customHeight="1" x14ac:dyDescent="0.25">
      <c r="A44" s="476"/>
      <c r="B44" s="470"/>
      <c r="C44" s="470"/>
      <c r="D44" s="473"/>
      <c r="E44" s="327" t="s">
        <v>98</v>
      </c>
      <c r="F44" s="473"/>
      <c r="G44" s="100">
        <v>1483060</v>
      </c>
      <c r="H44" s="101">
        <v>1483060</v>
      </c>
      <c r="I44" s="102">
        <v>1</v>
      </c>
      <c r="J44" s="48"/>
      <c r="K44" s="112">
        <v>1</v>
      </c>
    </row>
    <row r="45" spans="1:11" s="37" customFormat="1" ht="151.5" customHeight="1" x14ac:dyDescent="0.25">
      <c r="A45" s="477" t="s">
        <v>605</v>
      </c>
      <c r="B45" s="479" t="s">
        <v>565</v>
      </c>
      <c r="C45" s="479" t="s">
        <v>304</v>
      </c>
      <c r="D45" s="481" t="s">
        <v>560</v>
      </c>
      <c r="E45" s="333" t="s">
        <v>606</v>
      </c>
      <c r="F45" s="481" t="s">
        <v>147</v>
      </c>
      <c r="G45" s="334">
        <v>10266433</v>
      </c>
      <c r="H45" s="335">
        <v>1007709</v>
      </c>
      <c r="I45" s="336">
        <f>H45/G45</f>
        <v>9.8155708024393676E-2</v>
      </c>
      <c r="J45" s="337">
        <v>4709663</v>
      </c>
      <c r="K45" s="338">
        <f>(J45+H45)/G45</f>
        <v>0.55689955800617408</v>
      </c>
    </row>
    <row r="46" spans="1:11" s="37" customFormat="1" ht="30" customHeight="1" x14ac:dyDescent="0.25">
      <c r="A46" s="478"/>
      <c r="B46" s="480"/>
      <c r="C46" s="480"/>
      <c r="D46" s="482"/>
      <c r="E46" s="339" t="s">
        <v>134</v>
      </c>
      <c r="F46" s="482"/>
      <c r="G46" s="340">
        <v>766283</v>
      </c>
      <c r="H46" s="341">
        <v>674544</v>
      </c>
      <c r="I46" s="342">
        <v>1</v>
      </c>
      <c r="J46" s="337"/>
      <c r="K46" s="343">
        <v>1</v>
      </c>
    </row>
    <row r="47" spans="1:11" s="37" customFormat="1" ht="160.5" customHeight="1" x14ac:dyDescent="0.25">
      <c r="A47" s="317" t="s">
        <v>570</v>
      </c>
      <c r="B47" s="316" t="s">
        <v>566</v>
      </c>
      <c r="C47" s="316" t="s">
        <v>563</v>
      </c>
      <c r="D47" s="315" t="s">
        <v>561</v>
      </c>
      <c r="E47" s="344" t="s">
        <v>607</v>
      </c>
      <c r="F47" s="322" t="s">
        <v>145</v>
      </c>
      <c r="G47" s="48">
        <v>3625755</v>
      </c>
      <c r="H47" s="48">
        <v>0</v>
      </c>
      <c r="I47" s="90"/>
      <c r="J47" s="103">
        <v>3625755</v>
      </c>
      <c r="K47" s="111">
        <v>1</v>
      </c>
    </row>
    <row r="48" spans="1:11" s="37" customFormat="1" ht="145.5" customHeight="1" x14ac:dyDescent="0.25">
      <c r="A48" s="317" t="s">
        <v>570</v>
      </c>
      <c r="B48" s="316" t="s">
        <v>566</v>
      </c>
      <c r="C48" s="316" t="s">
        <v>563</v>
      </c>
      <c r="D48" s="315" t="s">
        <v>561</v>
      </c>
      <c r="E48" s="345" t="s">
        <v>608</v>
      </c>
      <c r="F48" s="322" t="s">
        <v>145</v>
      </c>
      <c r="G48" s="48">
        <v>565316</v>
      </c>
      <c r="H48" s="48">
        <v>0</v>
      </c>
      <c r="I48" s="90"/>
      <c r="J48" s="103">
        <v>565316</v>
      </c>
      <c r="K48" s="111">
        <v>1</v>
      </c>
    </row>
    <row r="49" spans="1:11" s="37" customFormat="1" ht="178.5" customHeight="1" x14ac:dyDescent="0.25">
      <c r="A49" s="474" t="s">
        <v>570</v>
      </c>
      <c r="B49" s="449" t="s">
        <v>566</v>
      </c>
      <c r="C49" s="449" t="s">
        <v>563</v>
      </c>
      <c r="D49" s="483" t="s">
        <v>561</v>
      </c>
      <c r="E49" s="346" t="s">
        <v>609</v>
      </c>
      <c r="F49" s="471" t="s">
        <v>144</v>
      </c>
      <c r="G49" s="48">
        <v>5864853</v>
      </c>
      <c r="H49" s="48">
        <v>618264</v>
      </c>
      <c r="I49" s="90">
        <v>0.45</v>
      </c>
      <c r="J49" s="103">
        <v>582673</v>
      </c>
      <c r="K49" s="111">
        <v>1</v>
      </c>
    </row>
    <row r="50" spans="1:11" s="37" customFormat="1" ht="30" customHeight="1" x14ac:dyDescent="0.25">
      <c r="A50" s="476"/>
      <c r="B50" s="470"/>
      <c r="C50" s="470"/>
      <c r="D50" s="484"/>
      <c r="E50" s="347" t="s">
        <v>98</v>
      </c>
      <c r="F50" s="473"/>
      <c r="G50" s="61">
        <v>182394</v>
      </c>
      <c r="H50" s="61">
        <v>182394</v>
      </c>
      <c r="I50" s="93">
        <v>1</v>
      </c>
      <c r="J50" s="104"/>
      <c r="K50" s="112">
        <v>1</v>
      </c>
    </row>
    <row r="51" spans="1:11" s="81" customFormat="1" ht="135.75" customHeight="1" x14ac:dyDescent="0.25">
      <c r="A51" s="474" t="s">
        <v>570</v>
      </c>
      <c r="B51" s="449" t="s">
        <v>566</v>
      </c>
      <c r="C51" s="449" t="s">
        <v>563</v>
      </c>
      <c r="D51" s="483" t="s">
        <v>561</v>
      </c>
      <c r="E51" s="89" t="s">
        <v>516</v>
      </c>
      <c r="F51" s="488" t="s">
        <v>132</v>
      </c>
      <c r="G51" s="48">
        <v>11533080</v>
      </c>
      <c r="H51" s="96"/>
      <c r="I51" s="90">
        <f>H51/G51</f>
        <v>0</v>
      </c>
      <c r="J51" s="48">
        <f>J52</f>
        <v>970680</v>
      </c>
      <c r="K51" s="111">
        <f>(J51+H51)/G51</f>
        <v>8.4164854488133267E-2</v>
      </c>
    </row>
    <row r="52" spans="1:11" s="37" customFormat="1" ht="36.75" customHeight="1" x14ac:dyDescent="0.25">
      <c r="A52" s="485"/>
      <c r="B52" s="486"/>
      <c r="C52" s="486"/>
      <c r="D52" s="487"/>
      <c r="E52" s="105" t="s">
        <v>98</v>
      </c>
      <c r="F52" s="489"/>
      <c r="G52" s="61">
        <v>971364</v>
      </c>
      <c r="H52" s="106"/>
      <c r="I52" s="93">
        <f>H52/G52</f>
        <v>0</v>
      </c>
      <c r="J52" s="61">
        <v>970680</v>
      </c>
      <c r="K52" s="112">
        <f>(J52+H52)/G52</f>
        <v>0.99929583554671575</v>
      </c>
    </row>
    <row r="53" spans="1:11" s="37" customFormat="1" ht="212.25" customHeight="1" x14ac:dyDescent="0.25">
      <c r="A53" s="474" t="s">
        <v>570</v>
      </c>
      <c r="B53" s="449" t="s">
        <v>566</v>
      </c>
      <c r="C53" s="449" t="s">
        <v>563</v>
      </c>
      <c r="D53" s="483" t="s">
        <v>561</v>
      </c>
      <c r="E53" s="89" t="s">
        <v>141</v>
      </c>
      <c r="F53" s="449" t="s">
        <v>142</v>
      </c>
      <c r="G53" s="48">
        <v>20406558</v>
      </c>
      <c r="H53" s="48">
        <f>H54</f>
        <v>105519</v>
      </c>
      <c r="I53" s="90">
        <f>H53/G53</f>
        <v>5.1708377277539901E-3</v>
      </c>
      <c r="J53" s="83">
        <f>J54</f>
        <v>251111</v>
      </c>
      <c r="K53" s="111">
        <f>(J53+H53)/G53</f>
        <v>1.7476244646451401E-2</v>
      </c>
    </row>
    <row r="54" spans="1:11" s="37" customFormat="1" ht="51" customHeight="1" x14ac:dyDescent="0.25">
      <c r="A54" s="485"/>
      <c r="B54" s="486"/>
      <c r="C54" s="486"/>
      <c r="D54" s="487"/>
      <c r="E54" s="107" t="s">
        <v>143</v>
      </c>
      <c r="F54" s="470"/>
      <c r="G54" s="61">
        <v>406558</v>
      </c>
      <c r="H54" s="61">
        <v>105519</v>
      </c>
      <c r="I54" s="93">
        <v>1</v>
      </c>
      <c r="J54" s="94">
        <v>251111</v>
      </c>
      <c r="K54" s="112">
        <v>1</v>
      </c>
    </row>
    <row r="55" spans="1:11" s="37" customFormat="1" ht="117" customHeight="1" x14ac:dyDescent="0.25">
      <c r="A55" s="474" t="s">
        <v>570</v>
      </c>
      <c r="B55" s="449" t="s">
        <v>566</v>
      </c>
      <c r="C55" s="449" t="s">
        <v>563</v>
      </c>
      <c r="D55" s="483" t="s">
        <v>561</v>
      </c>
      <c r="E55" s="89" t="s">
        <v>527</v>
      </c>
      <c r="F55" s="449" t="s">
        <v>145</v>
      </c>
      <c r="G55" s="48">
        <v>1529800</v>
      </c>
      <c r="H55" s="48"/>
      <c r="I55" s="90">
        <v>0</v>
      </c>
      <c r="J55" s="91">
        <v>1529800</v>
      </c>
      <c r="K55" s="63">
        <v>1</v>
      </c>
    </row>
    <row r="56" spans="1:11" s="37" customFormat="1" ht="41.25" customHeight="1" x14ac:dyDescent="0.25">
      <c r="A56" s="485"/>
      <c r="B56" s="486"/>
      <c r="C56" s="486"/>
      <c r="D56" s="487"/>
      <c r="E56" s="105" t="s">
        <v>98</v>
      </c>
      <c r="F56" s="470"/>
      <c r="G56" s="61">
        <v>49800</v>
      </c>
      <c r="H56" s="61"/>
      <c r="I56" s="93">
        <v>0</v>
      </c>
      <c r="J56" s="84">
        <v>49800</v>
      </c>
      <c r="K56" s="110">
        <v>1</v>
      </c>
    </row>
    <row r="57" spans="1:11" s="37" customFormat="1" ht="147.75" customHeight="1" x14ac:dyDescent="0.25">
      <c r="A57" s="62" t="s">
        <v>570</v>
      </c>
      <c r="B57" s="58" t="s">
        <v>566</v>
      </c>
      <c r="C57" s="58" t="s">
        <v>563</v>
      </c>
      <c r="D57" s="348" t="s">
        <v>561</v>
      </c>
      <c r="E57" s="344" t="s">
        <v>610</v>
      </c>
      <c r="F57" s="349" t="s">
        <v>144</v>
      </c>
      <c r="G57" s="48">
        <v>55031</v>
      </c>
      <c r="H57" s="96"/>
      <c r="I57" s="90">
        <v>0</v>
      </c>
      <c r="J57" s="48">
        <v>55031</v>
      </c>
      <c r="K57" s="63">
        <v>1</v>
      </c>
    </row>
    <row r="58" spans="1:11" s="37" customFormat="1" ht="132" customHeight="1" x14ac:dyDescent="0.25">
      <c r="A58" s="474" t="s">
        <v>570</v>
      </c>
      <c r="B58" s="449" t="s">
        <v>566</v>
      </c>
      <c r="C58" s="449" t="s">
        <v>563</v>
      </c>
      <c r="D58" s="483" t="s">
        <v>561</v>
      </c>
      <c r="E58" s="95" t="s">
        <v>146</v>
      </c>
      <c r="F58" s="58" t="s">
        <v>147</v>
      </c>
      <c r="G58" s="48">
        <v>3910004</v>
      </c>
      <c r="H58" s="48">
        <v>3139184</v>
      </c>
      <c r="I58" s="90">
        <f>H58/G58</f>
        <v>0.8028595367165865</v>
      </c>
      <c r="J58" s="83">
        <f>569300-569300+738562</f>
        <v>738562</v>
      </c>
      <c r="K58" s="111">
        <v>1</v>
      </c>
    </row>
    <row r="59" spans="1:11" s="37" customFormat="1" ht="27.75" customHeight="1" x14ac:dyDescent="0.25">
      <c r="A59" s="485"/>
      <c r="B59" s="486"/>
      <c r="C59" s="486"/>
      <c r="D59" s="487"/>
      <c r="E59" s="105" t="s">
        <v>98</v>
      </c>
      <c r="F59" s="60"/>
      <c r="G59" s="61">
        <v>174543</v>
      </c>
      <c r="H59" s="61">
        <v>154159.98000000001</v>
      </c>
      <c r="I59" s="93">
        <v>1</v>
      </c>
      <c r="J59" s="94"/>
      <c r="K59" s="110">
        <v>1</v>
      </c>
    </row>
    <row r="60" spans="1:11" s="37" customFormat="1" ht="139.5" customHeight="1" x14ac:dyDescent="0.25">
      <c r="A60" s="62" t="s">
        <v>570</v>
      </c>
      <c r="B60" s="58" t="s">
        <v>566</v>
      </c>
      <c r="C60" s="58" t="s">
        <v>563</v>
      </c>
      <c r="D60" s="348" t="s">
        <v>561</v>
      </c>
      <c r="E60" s="345" t="s">
        <v>611</v>
      </c>
      <c r="F60" s="316" t="s">
        <v>145</v>
      </c>
      <c r="G60" s="48">
        <v>1886500</v>
      </c>
      <c r="H60" s="48"/>
      <c r="I60" s="90">
        <v>0</v>
      </c>
      <c r="J60" s="91">
        <v>1886500</v>
      </c>
      <c r="K60" s="63">
        <v>1</v>
      </c>
    </row>
    <row r="61" spans="1:11" s="37" customFormat="1" ht="171.75" customHeight="1" x14ac:dyDescent="0.25">
      <c r="A61" s="319" t="s">
        <v>570</v>
      </c>
      <c r="B61" s="320" t="s">
        <v>566</v>
      </c>
      <c r="C61" s="320" t="s">
        <v>563</v>
      </c>
      <c r="D61" s="321" t="s">
        <v>573</v>
      </c>
      <c r="E61" s="89" t="s">
        <v>152</v>
      </c>
      <c r="F61" s="316" t="s">
        <v>145</v>
      </c>
      <c r="G61" s="48">
        <v>410000</v>
      </c>
      <c r="H61" s="48">
        <v>0</v>
      </c>
      <c r="I61" s="90">
        <v>1</v>
      </c>
      <c r="J61" s="91">
        <v>410000</v>
      </c>
      <c r="K61" s="63">
        <v>1</v>
      </c>
    </row>
    <row r="62" spans="1:11" s="37" customFormat="1" ht="110.25" customHeight="1" x14ac:dyDescent="0.25">
      <c r="A62" s="461" t="s">
        <v>572</v>
      </c>
      <c r="B62" s="464" t="s">
        <v>571</v>
      </c>
      <c r="C62" s="464" t="s">
        <v>41</v>
      </c>
      <c r="D62" s="467" t="s">
        <v>564</v>
      </c>
      <c r="E62" s="103" t="s">
        <v>148</v>
      </c>
      <c r="F62" s="449" t="s">
        <v>149</v>
      </c>
      <c r="G62" s="48">
        <f>45050824-45050824+41614646</f>
        <v>41614646</v>
      </c>
      <c r="H62" s="91">
        <f>H63</f>
        <v>9858203</v>
      </c>
      <c r="I62" s="90">
        <f>H62/G62*100%</f>
        <v>0.2368926315028608</v>
      </c>
      <c r="J62" s="108">
        <f>J63</f>
        <v>91134</v>
      </c>
      <c r="K62" s="113">
        <f>(J62+H62)/G62</f>
        <v>0.23908258164685578</v>
      </c>
    </row>
    <row r="63" spans="1:11" s="37" customFormat="1" ht="127.5" customHeight="1" thickBot="1" x14ac:dyDescent="0.3">
      <c r="A63" s="462"/>
      <c r="B63" s="465"/>
      <c r="C63" s="465"/>
      <c r="D63" s="468"/>
      <c r="E63" s="104" t="s">
        <v>100</v>
      </c>
      <c r="F63" s="450"/>
      <c r="G63" s="61">
        <f>10458431-10458431+10463759</f>
        <v>10463759</v>
      </c>
      <c r="H63" s="94">
        <v>9858203</v>
      </c>
      <c r="I63" s="93">
        <f>H63/G63*100%</f>
        <v>0.94212825429178937</v>
      </c>
      <c r="J63" s="109">
        <v>91134</v>
      </c>
      <c r="K63" s="114">
        <f>(J63+H63)/G63</f>
        <v>0.95083774387387932</v>
      </c>
    </row>
    <row r="64" spans="1:11" s="37" customFormat="1" ht="39" customHeight="1" thickBot="1" x14ac:dyDescent="0.3">
      <c r="A64" s="87" t="s">
        <v>66</v>
      </c>
      <c r="B64" s="6" t="s">
        <v>66</v>
      </c>
      <c r="C64" s="6" t="s">
        <v>66</v>
      </c>
      <c r="D64" s="5" t="s">
        <v>48</v>
      </c>
      <c r="E64" s="9" t="s">
        <v>66</v>
      </c>
      <c r="F64" s="10" t="s">
        <v>66</v>
      </c>
      <c r="G64" s="11" t="s">
        <v>66</v>
      </c>
      <c r="H64" s="11" t="s">
        <v>66</v>
      </c>
      <c r="I64" s="11" t="s">
        <v>66</v>
      </c>
      <c r="J64" s="88">
        <f>J24+J29+J32</f>
        <v>40621141</v>
      </c>
      <c r="K64" s="12" t="s">
        <v>66</v>
      </c>
    </row>
    <row r="65" spans="1:11" s="37" customFormat="1" ht="30.75" customHeight="1" x14ac:dyDescent="0.25">
      <c r="A65" s="49"/>
      <c r="B65" s="50"/>
      <c r="C65" s="50"/>
      <c r="D65" s="51"/>
      <c r="E65" s="52"/>
      <c r="F65" s="53"/>
      <c r="G65" s="54"/>
      <c r="H65" s="54"/>
      <c r="I65" s="54"/>
      <c r="J65" s="13"/>
      <c r="K65" s="55"/>
    </row>
    <row r="66" spans="1:11" s="37" customFormat="1" ht="39.75" customHeight="1" x14ac:dyDescent="0.3">
      <c r="A66" s="376" t="s">
        <v>106</v>
      </c>
      <c r="B66" s="376"/>
      <c r="C66" s="376"/>
      <c r="D66" s="376"/>
      <c r="E66" s="376"/>
      <c r="F66" s="376"/>
      <c r="G66" s="376"/>
      <c r="H66" s="376"/>
      <c r="I66" s="376"/>
      <c r="J66" s="376"/>
      <c r="K66" s="14"/>
    </row>
  </sheetData>
  <mergeCells count="74">
    <mergeCell ref="I5:J5"/>
    <mergeCell ref="A58:A59"/>
    <mergeCell ref="B58:B59"/>
    <mergeCell ref="C58:C59"/>
    <mergeCell ref="D58:D59"/>
    <mergeCell ref="F55:F56"/>
    <mergeCell ref="A53:A54"/>
    <mergeCell ref="B53:B54"/>
    <mergeCell ref="C53:C54"/>
    <mergeCell ref="D53:D54"/>
    <mergeCell ref="F53:F54"/>
    <mergeCell ref="A51:A52"/>
    <mergeCell ref="B51:B52"/>
    <mergeCell ref="C51:C52"/>
    <mergeCell ref="D51:D52"/>
    <mergeCell ref="F51:F52"/>
    <mergeCell ref="A62:A63"/>
    <mergeCell ref="B62:B63"/>
    <mergeCell ref="C62:C63"/>
    <mergeCell ref="D62:D63"/>
    <mergeCell ref="A55:A56"/>
    <mergeCell ref="B55:B56"/>
    <mergeCell ref="C55:C56"/>
    <mergeCell ref="D55:D56"/>
    <mergeCell ref="A49:A50"/>
    <mergeCell ref="B49:B50"/>
    <mergeCell ref="C49:C50"/>
    <mergeCell ref="D49:D50"/>
    <mergeCell ref="F49:F50"/>
    <mergeCell ref="A45:A46"/>
    <mergeCell ref="B45:B46"/>
    <mergeCell ref="C45:C46"/>
    <mergeCell ref="D45:D46"/>
    <mergeCell ref="F45:F46"/>
    <mergeCell ref="A43:A44"/>
    <mergeCell ref="B43:B44"/>
    <mergeCell ref="C43:C44"/>
    <mergeCell ref="D43:D44"/>
    <mergeCell ref="F43:F44"/>
    <mergeCell ref="A40:A42"/>
    <mergeCell ref="B40:B42"/>
    <mergeCell ref="C40:C42"/>
    <mergeCell ref="D40:D42"/>
    <mergeCell ref="F40:F42"/>
    <mergeCell ref="D34:D36"/>
    <mergeCell ref="F34:F36"/>
    <mergeCell ref="A37:A39"/>
    <mergeCell ref="B37:B39"/>
    <mergeCell ref="C37:C39"/>
    <mergeCell ref="D37:D39"/>
    <mergeCell ref="F37:F39"/>
    <mergeCell ref="A66:J66"/>
    <mergeCell ref="F62:F63"/>
    <mergeCell ref="K21:K22"/>
    <mergeCell ref="G21:G22"/>
    <mergeCell ref="H21:H22"/>
    <mergeCell ref="I21:I22"/>
    <mergeCell ref="E21:E22"/>
    <mergeCell ref="F21:F22"/>
    <mergeCell ref="A21:A22"/>
    <mergeCell ref="B21:B22"/>
    <mergeCell ref="C21:C22"/>
    <mergeCell ref="D21:D22"/>
    <mergeCell ref="J21:J22"/>
    <mergeCell ref="A34:A36"/>
    <mergeCell ref="B34:B36"/>
    <mergeCell ref="C34:C36"/>
    <mergeCell ref="I9:K9"/>
    <mergeCell ref="I10:K10"/>
    <mergeCell ref="A19:C19"/>
    <mergeCell ref="D19:K19"/>
    <mergeCell ref="A20:C20"/>
    <mergeCell ref="I13:J13"/>
    <mergeCell ref="A18:K18"/>
  </mergeCells>
  <pageMargins left="0.78740157480314965" right="0.78740157480314965" top="1.1811023622047245" bottom="0.39370078740157483" header="0.31496062992125984" footer="0.31496062992125984"/>
  <pageSetup paperSize="9" scale="55" orientation="landscape" r:id="rId1"/>
  <rowBreaks count="6" manualBreakCount="6">
    <brk id="27" max="10" man="1"/>
    <brk id="31" max="10" man="1"/>
    <brk id="36" max="10" man="1"/>
    <brk id="42" max="10" man="1"/>
    <brk id="52" max="10" man="1"/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5</vt:i4>
      </vt:variant>
    </vt:vector>
  </HeadingPairs>
  <TitlesOfParts>
    <vt:vector size="12" baseType="lpstr">
      <vt:lpstr>дод 1 Доходи </vt:lpstr>
      <vt:lpstr>дод 2 Джерела</vt:lpstr>
      <vt:lpstr>дод. 3 Видатки</vt:lpstr>
      <vt:lpstr>дод.4 Трансферти</vt:lpstr>
      <vt:lpstr>дод.5 Пуб. інвестиції</vt:lpstr>
      <vt:lpstr>дод.6 Програми</vt:lpstr>
      <vt:lpstr>дод 7 Бюдж розвитку</vt:lpstr>
      <vt:lpstr>'дод 7 Бюдж розвитку'!Заголовки_для_друку</vt:lpstr>
      <vt:lpstr>'дод 2 Джерела'!Область_друку</vt:lpstr>
      <vt:lpstr>'дод 7 Бюдж розвитку'!Область_друку</vt:lpstr>
      <vt:lpstr>'дод.4 Трансферти'!Область_друку</vt:lpstr>
      <vt:lpstr>'дод.5 Пуб. інвестиції'!Область_друку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User</cp:lastModifiedBy>
  <cp:lastPrinted>2026-03-09T15:08:00Z</cp:lastPrinted>
  <dcterms:created xsi:type="dcterms:W3CDTF">2021-12-17T13:26:15Z</dcterms:created>
  <dcterms:modified xsi:type="dcterms:W3CDTF">2026-03-09T15:42:29Z</dcterms:modified>
</cp:coreProperties>
</file>