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Tanya\виконком\РІШЕННЯ\2026\17.03.2026\ВІДКРИТІ ПИТАННЯ\2836 фінплан Екосервіс 2026\"/>
    </mc:Choice>
  </mc:AlternateContent>
  <xr:revisionPtr revIDLastSave="0" documentId="13_ncr:1_{82ED5639-30BB-4BFB-9232-010547D7BCCB}" xr6:coauthVersionLast="47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фін програма" sheetId="1" state="hidden" r:id="rId1"/>
    <sheet name="фін бюджет" sheetId="2" state="hidden" r:id="rId2"/>
    <sheet name="фін бюджет " sheetId="3" r:id="rId3"/>
  </sheets>
  <externalReferences>
    <externalReference r:id="rId4"/>
    <externalReference r:id="rId5"/>
    <externalReference r:id="rId6"/>
  </externalReferences>
  <definedNames>
    <definedName name="_xlnm.Print_Area" localSheetId="1">'фін бюджет'!$A$1:$I$159</definedName>
    <definedName name="_xlnm.Print_Area" localSheetId="2">'фін бюджет '!$A$1:$I$172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5" i="3" l="1"/>
  <c r="I90" i="3" s="1"/>
  <c r="H85" i="3"/>
  <c r="G85" i="3"/>
  <c r="F85" i="3"/>
  <c r="I31" i="3" l="1"/>
  <c r="I29" i="3"/>
  <c r="H31" i="3"/>
  <c r="H29" i="3"/>
  <c r="G29" i="3"/>
  <c r="G31" i="3"/>
  <c r="I70" i="3"/>
  <c r="H70" i="3"/>
  <c r="G70" i="3"/>
  <c r="H69" i="3"/>
  <c r="I69" i="3"/>
  <c r="G69" i="3"/>
  <c r="D124" i="3" l="1"/>
  <c r="F124" i="3"/>
  <c r="G124" i="3"/>
  <c r="H124" i="3"/>
  <c r="I124" i="3"/>
  <c r="C124" i="3"/>
  <c r="E126" i="3"/>
  <c r="E127" i="3"/>
  <c r="E125" i="3"/>
  <c r="E124" i="3" s="1"/>
  <c r="E123" i="3" s="1"/>
  <c r="D58" i="3" l="1"/>
  <c r="C58" i="3"/>
  <c r="I59" i="3"/>
  <c r="I58" i="3" s="1"/>
  <c r="G59" i="3"/>
  <c r="G58" i="3" s="1"/>
  <c r="H59" i="3"/>
  <c r="H58" i="3" s="1"/>
  <c r="F59" i="3"/>
  <c r="D123" i="3"/>
  <c r="F123" i="3"/>
  <c r="G123" i="3"/>
  <c r="H123" i="3"/>
  <c r="I123" i="3"/>
  <c r="C123" i="3"/>
  <c r="H117" i="3"/>
  <c r="F58" i="3" l="1"/>
  <c r="E59" i="3"/>
  <c r="E58" i="3" s="1"/>
  <c r="I115" i="3"/>
  <c r="F115" i="3"/>
  <c r="G117" i="3"/>
  <c r="G116" i="3"/>
  <c r="H116" i="3"/>
  <c r="H115" i="3" s="1"/>
  <c r="G115" i="3" l="1"/>
  <c r="E115" i="3"/>
  <c r="F91" i="3" l="1"/>
  <c r="I86" i="3" l="1"/>
  <c r="I91" i="3" s="1"/>
  <c r="H86" i="3"/>
  <c r="G86" i="3"/>
  <c r="G91" i="3" l="1"/>
  <c r="E86" i="3"/>
  <c r="G90" i="3"/>
  <c r="G89" i="3" s="1"/>
  <c r="F90" i="3" l="1"/>
  <c r="E85" i="3"/>
  <c r="H91" i="3"/>
  <c r="E91" i="3" s="1"/>
  <c r="H90" i="3"/>
  <c r="D43" i="3"/>
  <c r="E104" i="3"/>
  <c r="E105" i="3"/>
  <c r="E106" i="3"/>
  <c r="E46" i="3"/>
  <c r="E45" i="3"/>
  <c r="D120" i="3"/>
  <c r="D119" i="3" s="1"/>
  <c r="F93" i="3"/>
  <c r="G94" i="3"/>
  <c r="H94" i="3"/>
  <c r="I94" i="3"/>
  <c r="F94" i="3"/>
  <c r="D94" i="3"/>
  <c r="D93" i="3" s="1"/>
  <c r="E90" i="3" l="1"/>
  <c r="D74" i="3"/>
  <c r="E121" i="3"/>
  <c r="I120" i="3"/>
  <c r="G50" i="3" l="1"/>
  <c r="G49" i="3" s="1"/>
  <c r="H50" i="3"/>
  <c r="I50" i="3"/>
  <c r="F50" i="3"/>
  <c r="G93" i="3" l="1"/>
  <c r="G74" i="3"/>
  <c r="F74" i="3"/>
  <c r="F55" i="3"/>
  <c r="F49" i="3"/>
  <c r="F25" i="3"/>
  <c r="D25" i="3"/>
  <c r="D36" i="3" s="1"/>
  <c r="C25" i="3"/>
  <c r="C36" i="3" s="1"/>
  <c r="C43" i="3"/>
  <c r="F36" i="3" l="1"/>
  <c r="H74" i="3"/>
  <c r="I74" i="3"/>
  <c r="E77" i="3"/>
  <c r="E40" i="3"/>
  <c r="E107" i="3" l="1"/>
  <c r="E108" i="3"/>
  <c r="E48" i="3" l="1"/>
  <c r="E128" i="3"/>
  <c r="H122" i="3"/>
  <c r="H114" i="3" s="1"/>
  <c r="H55" i="3"/>
  <c r="E78" i="3"/>
  <c r="D89" i="3"/>
  <c r="D55" i="3"/>
  <c r="E29" i="3"/>
  <c r="C120" i="3" l="1"/>
  <c r="C119" i="3" s="1"/>
  <c r="C93" i="3"/>
  <c r="C89" i="3"/>
  <c r="F84" i="3" l="1"/>
  <c r="E139" i="3"/>
  <c r="I122" i="3"/>
  <c r="I119" i="3" s="1"/>
  <c r="H120" i="3"/>
  <c r="H119" i="3" s="1"/>
  <c r="G122" i="3"/>
  <c r="G114" i="3" s="1"/>
  <c r="F122" i="3"/>
  <c r="D122" i="3"/>
  <c r="G120" i="3"/>
  <c r="G119" i="3" s="1"/>
  <c r="F120" i="3"/>
  <c r="E118" i="3"/>
  <c r="E117" i="3"/>
  <c r="E116" i="3"/>
  <c r="I53" i="3"/>
  <c r="H53" i="3"/>
  <c r="G53" i="3"/>
  <c r="F53" i="3"/>
  <c r="F52" i="3" s="1"/>
  <c r="D115" i="3"/>
  <c r="D114" i="3" s="1"/>
  <c r="C115" i="3"/>
  <c r="C114" i="3" s="1"/>
  <c r="E113" i="3"/>
  <c r="E112" i="3"/>
  <c r="I111" i="3"/>
  <c r="H111" i="3"/>
  <c r="H109" i="3" s="1"/>
  <c r="G111" i="3"/>
  <c r="G109" i="3" s="1"/>
  <c r="F111" i="3"/>
  <c r="D111" i="3"/>
  <c r="D109" i="3" s="1"/>
  <c r="C111" i="3"/>
  <c r="I109" i="3"/>
  <c r="C109" i="3"/>
  <c r="E98" i="3"/>
  <c r="E97" i="3"/>
  <c r="E96" i="3"/>
  <c r="C94" i="3"/>
  <c r="I93" i="3"/>
  <c r="H93" i="3"/>
  <c r="I92" i="3"/>
  <c r="I89" i="3" s="1"/>
  <c r="H92" i="3"/>
  <c r="H89" i="3" s="1"/>
  <c r="F92" i="3"/>
  <c r="E88" i="3"/>
  <c r="E87" i="3"/>
  <c r="D87" i="3"/>
  <c r="C84" i="3"/>
  <c r="C82" i="3" s="1"/>
  <c r="C81" i="3" s="1"/>
  <c r="I84" i="3"/>
  <c r="H84" i="3"/>
  <c r="G84" i="3"/>
  <c r="D84" i="3"/>
  <c r="D82" i="3" s="1"/>
  <c r="D81" i="3" s="1"/>
  <c r="D79" i="3" s="1"/>
  <c r="E83" i="3"/>
  <c r="E76" i="3"/>
  <c r="E75" i="3"/>
  <c r="C74" i="3"/>
  <c r="D70" i="3"/>
  <c r="E69" i="3"/>
  <c r="E67" i="3" s="1"/>
  <c r="I67" i="3"/>
  <c r="I63" i="3" s="1"/>
  <c r="H67" i="3"/>
  <c r="H63" i="3" s="1"/>
  <c r="G67" i="3"/>
  <c r="G63" i="3" s="1"/>
  <c r="F67" i="3"/>
  <c r="F63" i="3" s="1"/>
  <c r="D67" i="3"/>
  <c r="C67" i="3"/>
  <c r="C63" i="3" s="1"/>
  <c r="E65" i="3"/>
  <c r="H64" i="3"/>
  <c r="C64" i="3"/>
  <c r="F60" i="3"/>
  <c r="I57" i="3"/>
  <c r="E57" i="3" s="1"/>
  <c r="G55" i="3"/>
  <c r="C55" i="3"/>
  <c r="E54" i="3"/>
  <c r="D54" i="3"/>
  <c r="D52" i="3" s="1"/>
  <c r="C54" i="3"/>
  <c r="C52" i="3" s="1"/>
  <c r="E53" i="3"/>
  <c r="I52" i="3"/>
  <c r="H52" i="3"/>
  <c r="G52" i="3"/>
  <c r="E51" i="3"/>
  <c r="C51" i="3"/>
  <c r="C49" i="3" s="1"/>
  <c r="E50" i="3"/>
  <c r="I49" i="3"/>
  <c r="H49" i="3"/>
  <c r="D49" i="3"/>
  <c r="E47" i="3"/>
  <c r="E38" i="3"/>
  <c r="E32" i="3"/>
  <c r="E31" i="3"/>
  <c r="E30" i="3"/>
  <c r="E28" i="3"/>
  <c r="E27" i="3"/>
  <c r="I25" i="3"/>
  <c r="I36" i="3" s="1"/>
  <c r="H25" i="3"/>
  <c r="H36" i="3" s="1"/>
  <c r="G25" i="3"/>
  <c r="G48" i="2"/>
  <c r="G91" i="2"/>
  <c r="F116" i="2"/>
  <c r="F78" i="2"/>
  <c r="C67" i="2"/>
  <c r="C64" i="2"/>
  <c r="C63" i="2"/>
  <c r="F63" i="2"/>
  <c r="F64" i="2"/>
  <c r="E64" i="2"/>
  <c r="E65" i="2"/>
  <c r="F48" i="2"/>
  <c r="D41" i="3" l="1"/>
  <c r="C41" i="3"/>
  <c r="C61" i="3" s="1"/>
  <c r="C79" i="3"/>
  <c r="E74" i="3"/>
  <c r="E122" i="3"/>
  <c r="E114" i="3" s="1"/>
  <c r="F114" i="3"/>
  <c r="D61" i="3"/>
  <c r="H82" i="3"/>
  <c r="E84" i="3"/>
  <c r="E92" i="3"/>
  <c r="F89" i="3"/>
  <c r="E89" i="3" s="1"/>
  <c r="F119" i="3"/>
  <c r="E119" i="3" s="1"/>
  <c r="E93" i="3"/>
  <c r="G36" i="3"/>
  <c r="E25" i="3"/>
  <c r="E36" i="3" s="1"/>
  <c r="D63" i="3"/>
  <c r="D129" i="3" s="1"/>
  <c r="D64" i="3"/>
  <c r="E120" i="3"/>
  <c r="E56" i="3"/>
  <c r="I55" i="3"/>
  <c r="E55" i="3" s="1"/>
  <c r="H60" i="3"/>
  <c r="F78" i="3"/>
  <c r="E49" i="3"/>
  <c r="E52" i="3"/>
  <c r="F64" i="3"/>
  <c r="E63" i="3"/>
  <c r="F82" i="3"/>
  <c r="F44" i="3" s="1"/>
  <c r="F43" i="3" s="1"/>
  <c r="F41" i="3" s="1"/>
  <c r="F61" i="3" s="1"/>
  <c r="G60" i="3"/>
  <c r="C129" i="3"/>
  <c r="E70" i="3"/>
  <c r="G64" i="3"/>
  <c r="I64" i="3"/>
  <c r="E95" i="3"/>
  <c r="E94" i="3" s="1"/>
  <c r="E111" i="3"/>
  <c r="E109" i="3" s="1"/>
  <c r="F109" i="3"/>
  <c r="I114" i="3"/>
  <c r="G96" i="2"/>
  <c r="G82" i="2"/>
  <c r="F98" i="2"/>
  <c r="E88" i="2"/>
  <c r="G88" i="2"/>
  <c r="H88" i="2"/>
  <c r="I88" i="2"/>
  <c r="F88" i="2"/>
  <c r="F91" i="2"/>
  <c r="H91" i="2"/>
  <c r="I91" i="2"/>
  <c r="E91" i="2"/>
  <c r="I82" i="3" l="1"/>
  <c r="I81" i="3" s="1"/>
  <c r="I79" i="3" s="1"/>
  <c r="F81" i="3"/>
  <c r="F79" i="3" s="1"/>
  <c r="I44" i="3"/>
  <c r="I43" i="3" s="1"/>
  <c r="I41" i="3" s="1"/>
  <c r="C130" i="3"/>
  <c r="C138" i="3" s="1"/>
  <c r="H81" i="3"/>
  <c r="H79" i="3" s="1"/>
  <c r="H44" i="3"/>
  <c r="H43" i="3" s="1"/>
  <c r="H78" i="3"/>
  <c r="G78" i="3"/>
  <c r="I60" i="3"/>
  <c r="E64" i="3"/>
  <c r="D130" i="3"/>
  <c r="D138" i="3" s="1"/>
  <c r="G107" i="2"/>
  <c r="C29" i="2"/>
  <c r="H41" i="3" l="1"/>
  <c r="H61" i="3" s="1"/>
  <c r="H129" i="3"/>
  <c r="I61" i="3"/>
  <c r="I78" i="3"/>
  <c r="I129" i="3" s="1"/>
  <c r="D140" i="3"/>
  <c r="D141" i="3" s="1"/>
  <c r="C140" i="3"/>
  <c r="C141" i="3" s="1"/>
  <c r="F129" i="3"/>
  <c r="E104" i="2"/>
  <c r="H96" i="2"/>
  <c r="H48" i="2"/>
  <c r="I48" i="2"/>
  <c r="H94" i="2"/>
  <c r="G94" i="2"/>
  <c r="H130" i="3" l="1"/>
  <c r="H138" i="3" s="1"/>
  <c r="H140" i="3" s="1"/>
  <c r="H141" i="3" s="1"/>
  <c r="H154" i="3" s="1"/>
  <c r="H147" i="3" s="1"/>
  <c r="I130" i="3"/>
  <c r="I138" i="3" s="1"/>
  <c r="I140" i="3" s="1"/>
  <c r="I141" i="3" s="1"/>
  <c r="D143" i="3"/>
  <c r="D154" i="3"/>
  <c r="D147" i="3" s="1"/>
  <c r="H143" i="3"/>
  <c r="C154" i="3"/>
  <c r="C148" i="3" s="1"/>
  <c r="C143" i="3"/>
  <c r="E48" i="2"/>
  <c r="G93" i="2"/>
  <c r="F47" i="2"/>
  <c r="F45" i="2" s="1"/>
  <c r="I90" i="2"/>
  <c r="G89" i="2"/>
  <c r="F89" i="2"/>
  <c r="I89" i="2"/>
  <c r="E85" i="2"/>
  <c r="E90" i="2" s="1"/>
  <c r="G47" i="2"/>
  <c r="D141" i="2"/>
  <c r="C134" i="2"/>
  <c r="C128" i="2"/>
  <c r="D127" i="2"/>
  <c r="E126" i="2"/>
  <c r="I114" i="2"/>
  <c r="H114" i="2"/>
  <c r="G114" i="2"/>
  <c r="F114" i="2"/>
  <c r="D114" i="2"/>
  <c r="I112" i="2"/>
  <c r="H112" i="2"/>
  <c r="G112" i="2"/>
  <c r="F112" i="2"/>
  <c r="H111" i="2"/>
  <c r="D111" i="2"/>
  <c r="E110" i="2"/>
  <c r="E109" i="2"/>
  <c r="E108" i="2"/>
  <c r="I107" i="2"/>
  <c r="I106" i="2" s="1"/>
  <c r="H107" i="2"/>
  <c r="H106" i="2" s="1"/>
  <c r="G106" i="2"/>
  <c r="F107" i="2"/>
  <c r="E107" i="2" s="1"/>
  <c r="E106" i="2" s="1"/>
  <c r="D107" i="2"/>
  <c r="C107" i="2"/>
  <c r="C106" i="2" s="1"/>
  <c r="D106" i="2"/>
  <c r="E105" i="2"/>
  <c r="I103" i="2"/>
  <c r="H103" i="2"/>
  <c r="G103" i="2"/>
  <c r="F103" i="2"/>
  <c r="F101" i="2" s="1"/>
  <c r="D103" i="2"/>
  <c r="C103" i="2"/>
  <c r="C101" i="2" s="1"/>
  <c r="I101" i="2"/>
  <c r="H101" i="2"/>
  <c r="D101" i="2"/>
  <c r="E100" i="2"/>
  <c r="E98" i="2"/>
  <c r="E97" i="2"/>
  <c r="E96" i="2"/>
  <c r="E95" i="2"/>
  <c r="E94" i="2"/>
  <c r="I93" i="2"/>
  <c r="H93" i="2"/>
  <c r="F93" i="2"/>
  <c r="D93" i="2"/>
  <c r="D92" i="2" s="1"/>
  <c r="C93" i="2"/>
  <c r="I92" i="2"/>
  <c r="H92" i="2"/>
  <c r="F92" i="2"/>
  <c r="C92" i="2"/>
  <c r="D90" i="2"/>
  <c r="H89" i="2"/>
  <c r="D89" i="2"/>
  <c r="E87" i="2"/>
  <c r="E86" i="2"/>
  <c r="D86" i="2"/>
  <c r="H90" i="2"/>
  <c r="G90" i="2"/>
  <c r="F90" i="2"/>
  <c r="C85" i="2"/>
  <c r="E84" i="2"/>
  <c r="E89" i="2" s="1"/>
  <c r="C84" i="2"/>
  <c r="C83" i="2" s="1"/>
  <c r="C81" i="2" s="1"/>
  <c r="C80" i="2" s="1"/>
  <c r="I83" i="2"/>
  <c r="H83" i="2"/>
  <c r="G83" i="2"/>
  <c r="F83" i="2"/>
  <c r="D83" i="2"/>
  <c r="E82" i="2"/>
  <c r="E77" i="2"/>
  <c r="E76" i="2"/>
  <c r="C76" i="2"/>
  <c r="C74" i="2" s="1"/>
  <c r="E75" i="2"/>
  <c r="E74" i="2" s="1"/>
  <c r="I74" i="2"/>
  <c r="H74" i="2"/>
  <c r="G74" i="2"/>
  <c r="F74" i="2"/>
  <c r="D74" i="2"/>
  <c r="I70" i="2"/>
  <c r="H70" i="2"/>
  <c r="G70" i="2"/>
  <c r="F70" i="2"/>
  <c r="D70" i="2"/>
  <c r="E69" i="2"/>
  <c r="E67" i="2" s="1"/>
  <c r="I67" i="2"/>
  <c r="H67" i="2"/>
  <c r="G67" i="2"/>
  <c r="G63" i="2" s="1"/>
  <c r="F67" i="2"/>
  <c r="D67" i="2"/>
  <c r="D64" i="2" s="1"/>
  <c r="D63" i="2" s="1"/>
  <c r="I63" i="2"/>
  <c r="F60" i="2"/>
  <c r="I59" i="2"/>
  <c r="E59" i="2" s="1"/>
  <c r="C57" i="2"/>
  <c r="I58" i="2"/>
  <c r="E58" i="2" s="1"/>
  <c r="H57" i="2"/>
  <c r="G57" i="2"/>
  <c r="F57" i="2"/>
  <c r="D57" i="2"/>
  <c r="E56" i="2"/>
  <c r="D56" i="2"/>
  <c r="D54" i="2" s="1"/>
  <c r="C56" i="2"/>
  <c r="C54" i="2" s="1"/>
  <c r="E55" i="2"/>
  <c r="I54" i="2"/>
  <c r="H54" i="2"/>
  <c r="G54" i="2"/>
  <c r="F54" i="2"/>
  <c r="E53" i="2"/>
  <c r="C53" i="2"/>
  <c r="C51" i="2" s="1"/>
  <c r="E52" i="2"/>
  <c r="I51" i="2"/>
  <c r="H51" i="2"/>
  <c r="G51" i="2"/>
  <c r="F51" i="2"/>
  <c r="D51" i="2"/>
  <c r="E50" i="2"/>
  <c r="I47" i="2"/>
  <c r="H47" i="2"/>
  <c r="D47" i="2"/>
  <c r="C47" i="2"/>
  <c r="E43" i="2"/>
  <c r="C41" i="2"/>
  <c r="E37" i="2"/>
  <c r="E35" i="2"/>
  <c r="E34" i="2"/>
  <c r="E33" i="2"/>
  <c r="E32" i="2"/>
  <c r="E31" i="2"/>
  <c r="D29" i="2"/>
  <c r="D41" i="2" s="1"/>
  <c r="I29" i="2"/>
  <c r="I41" i="2" s="1"/>
  <c r="H29" i="2"/>
  <c r="H41" i="2" s="1"/>
  <c r="G29" i="2"/>
  <c r="G41" i="2" s="1"/>
  <c r="F29" i="2"/>
  <c r="I67" i="1"/>
  <c r="C78" i="1"/>
  <c r="C63" i="1"/>
  <c r="I45" i="1"/>
  <c r="H148" i="3" l="1"/>
  <c r="D148" i="3"/>
  <c r="I154" i="3"/>
  <c r="I148" i="3" s="1"/>
  <c r="I143" i="3"/>
  <c r="C147" i="3"/>
  <c r="D81" i="2"/>
  <c r="D80" i="2" s="1"/>
  <c r="E51" i="2"/>
  <c r="E54" i="2"/>
  <c r="C45" i="2"/>
  <c r="C61" i="2" s="1"/>
  <c r="D78" i="2"/>
  <c r="D116" i="2" s="1"/>
  <c r="D45" i="2"/>
  <c r="D61" i="2" s="1"/>
  <c r="E70" i="2"/>
  <c r="E83" i="2"/>
  <c r="F81" i="2"/>
  <c r="F80" i="2" s="1"/>
  <c r="C78" i="2"/>
  <c r="F106" i="2"/>
  <c r="E112" i="2"/>
  <c r="F61" i="2"/>
  <c r="H45" i="2"/>
  <c r="I57" i="2"/>
  <c r="E57" i="2" s="1"/>
  <c r="H63" i="2"/>
  <c r="H64" i="2" s="1"/>
  <c r="E103" i="2"/>
  <c r="E101" i="2" s="1"/>
  <c r="F111" i="2"/>
  <c r="G111" i="2"/>
  <c r="I111" i="2"/>
  <c r="G45" i="2"/>
  <c r="E45" i="2" s="1"/>
  <c r="G101" i="2"/>
  <c r="I81" i="2"/>
  <c r="H81" i="2"/>
  <c r="E47" i="2"/>
  <c r="G60" i="2"/>
  <c r="G64" i="2"/>
  <c r="F77" i="2"/>
  <c r="C116" i="2"/>
  <c r="F41" i="2"/>
  <c r="E29" i="2"/>
  <c r="E41" i="2" s="1"/>
  <c r="H60" i="2"/>
  <c r="H77" i="2" s="1"/>
  <c r="I64" i="2"/>
  <c r="E93" i="2"/>
  <c r="G92" i="2"/>
  <c r="G81" i="2" s="1"/>
  <c r="F45" i="1"/>
  <c r="F78" i="1"/>
  <c r="H70" i="1"/>
  <c r="E45" i="1"/>
  <c r="E35" i="1"/>
  <c r="E33" i="1"/>
  <c r="E43" i="1"/>
  <c r="F130" i="3" l="1"/>
  <c r="F138" i="3" s="1"/>
  <c r="I147" i="3"/>
  <c r="F140" i="3"/>
  <c r="F141" i="3" s="1"/>
  <c r="C117" i="2"/>
  <c r="C125" i="2" s="1"/>
  <c r="I45" i="2"/>
  <c r="E111" i="2"/>
  <c r="E63" i="2"/>
  <c r="E92" i="2"/>
  <c r="I80" i="2"/>
  <c r="I78" i="2" s="1"/>
  <c r="H80" i="2"/>
  <c r="H78" i="2" s="1"/>
  <c r="H116" i="2" s="1"/>
  <c r="G80" i="2"/>
  <c r="E81" i="2"/>
  <c r="G77" i="2"/>
  <c r="I60" i="2"/>
  <c r="H61" i="2"/>
  <c r="D117" i="2"/>
  <c r="G61" i="2"/>
  <c r="F29" i="1"/>
  <c r="F41" i="1" s="1"/>
  <c r="G113" i="1"/>
  <c r="H113" i="1"/>
  <c r="I113" i="1"/>
  <c r="F113" i="1"/>
  <c r="G111" i="1"/>
  <c r="H111" i="1"/>
  <c r="I111" i="1"/>
  <c r="F111" i="1"/>
  <c r="G57" i="1"/>
  <c r="H57" i="1"/>
  <c r="I57" i="1"/>
  <c r="F57" i="1"/>
  <c r="F154" i="3" l="1"/>
  <c r="F143" i="3"/>
  <c r="F147" i="3"/>
  <c r="E80" i="2"/>
  <c r="E78" i="2" s="1"/>
  <c r="H117" i="2"/>
  <c r="H125" i="2" s="1"/>
  <c r="H127" i="2" s="1"/>
  <c r="H128" i="2" s="1"/>
  <c r="I77" i="2"/>
  <c r="I116" i="2" s="1"/>
  <c r="I61" i="2"/>
  <c r="E61" i="2" s="1"/>
  <c r="G78" i="2"/>
  <c r="G116" i="2" s="1"/>
  <c r="G117" i="2" s="1"/>
  <c r="G125" i="2" s="1"/>
  <c r="G54" i="1"/>
  <c r="H54" i="1"/>
  <c r="I54" i="1"/>
  <c r="F54" i="1"/>
  <c r="E54" i="1" s="1"/>
  <c r="F148" i="3" l="1"/>
  <c r="G127" i="2"/>
  <c r="G128" i="2" s="1"/>
  <c r="H141" i="2"/>
  <c r="H134" i="2" s="1"/>
  <c r="H130" i="2"/>
  <c r="E116" i="2"/>
  <c r="F117" i="2"/>
  <c r="I117" i="2"/>
  <c r="I125" i="2" s="1"/>
  <c r="F91" i="1"/>
  <c r="G91" i="1"/>
  <c r="G92" i="1"/>
  <c r="F92" i="1"/>
  <c r="H91" i="1"/>
  <c r="H92" i="1"/>
  <c r="H93" i="1"/>
  <c r="G93" i="1"/>
  <c r="D91" i="1"/>
  <c r="F48" i="1"/>
  <c r="E48" i="1" s="1"/>
  <c r="F82" i="1"/>
  <c r="E50" i="1"/>
  <c r="H135" i="2" l="1"/>
  <c r="G141" i="2"/>
  <c r="G134" i="2" s="1"/>
  <c r="G130" i="2"/>
  <c r="E117" i="2"/>
  <c r="E125" i="2" s="1"/>
  <c r="F125" i="2"/>
  <c r="I127" i="2"/>
  <c r="I128" i="2" s="1"/>
  <c r="G48" i="1"/>
  <c r="G135" i="2" l="1"/>
  <c r="I141" i="2"/>
  <c r="I134" i="2" s="1"/>
  <c r="I130" i="2"/>
  <c r="F127" i="2"/>
  <c r="F128" i="2" s="1"/>
  <c r="H48" i="1"/>
  <c r="I135" i="2" l="1"/>
  <c r="F141" i="2"/>
  <c r="F135" i="2" s="1"/>
  <c r="E135" i="2" s="1"/>
  <c r="F130" i="2"/>
  <c r="E128" i="2"/>
  <c r="F47" i="1"/>
  <c r="E47" i="1" s="1"/>
  <c r="I48" i="1"/>
  <c r="K49" i="1" s="1"/>
  <c r="G88" i="1"/>
  <c r="H88" i="1"/>
  <c r="I88" i="1"/>
  <c r="F88" i="1"/>
  <c r="F83" i="1"/>
  <c r="F81" i="1"/>
  <c r="F134" i="2" l="1"/>
  <c r="E134" i="2" s="1"/>
  <c r="E130" i="2"/>
  <c r="E127" i="2"/>
  <c r="G83" i="1"/>
  <c r="E141" i="2" l="1"/>
  <c r="G90" i="1"/>
  <c r="I85" i="1"/>
  <c r="H85" i="1"/>
  <c r="G85" i="1"/>
  <c r="F85" i="1"/>
  <c r="G89" i="1"/>
  <c r="G95" i="1" l="1"/>
  <c r="H47" i="1" l="1"/>
  <c r="D140" i="1" l="1"/>
  <c r="D133" i="1"/>
  <c r="D134" i="1"/>
  <c r="C133" i="1"/>
  <c r="H110" i="1"/>
  <c r="D106" i="1"/>
  <c r="C91" i="1"/>
  <c r="I91" i="1"/>
  <c r="I92" i="1"/>
  <c r="C92" i="1"/>
  <c r="D92" i="1"/>
  <c r="D83" i="1"/>
  <c r="D81" i="1" s="1"/>
  <c r="D80" i="1" s="1"/>
  <c r="J82" i="1"/>
  <c r="D64" i="1"/>
  <c r="C64" i="1"/>
  <c r="D74" i="1"/>
  <c r="F74" i="1"/>
  <c r="F70" i="1"/>
  <c r="D67" i="1"/>
  <c r="C67" i="1"/>
  <c r="C134" i="1" l="1"/>
  <c r="C127" i="1"/>
  <c r="D105" i="1"/>
  <c r="C105" i="1"/>
  <c r="C106" i="1"/>
  <c r="D102" i="1"/>
  <c r="D100" i="1"/>
  <c r="G102" i="1"/>
  <c r="C100" i="1"/>
  <c r="C102" i="1"/>
  <c r="C85" i="1"/>
  <c r="C83" i="1" s="1"/>
  <c r="C81" i="1" s="1"/>
  <c r="C80" i="1" s="1"/>
  <c r="C84" i="1"/>
  <c r="D63" i="1" l="1"/>
  <c r="G74" i="1"/>
  <c r="H74" i="1"/>
  <c r="I74" i="1"/>
  <c r="F67" i="1"/>
  <c r="F63" i="1" s="1"/>
  <c r="F115" i="1" s="1"/>
  <c r="G67" i="1"/>
  <c r="H67" i="1"/>
  <c r="F64" i="1" l="1"/>
  <c r="C41" i="1"/>
  <c r="D51" i="1"/>
  <c r="I51" i="1"/>
  <c r="H51" i="1"/>
  <c r="G51" i="1"/>
  <c r="D47" i="1"/>
  <c r="C47" i="1"/>
  <c r="C29" i="1" l="1"/>
  <c r="H29" i="1" l="1"/>
  <c r="H41" i="1" s="1"/>
  <c r="E111" i="1"/>
  <c r="G110" i="1"/>
  <c r="I110" i="1"/>
  <c r="F110" i="1"/>
  <c r="G106" i="1"/>
  <c r="F106" i="1"/>
  <c r="H106" i="1"/>
  <c r="I47" i="1"/>
  <c r="E106" i="1" l="1"/>
  <c r="E110" i="1"/>
  <c r="E55" i="1"/>
  <c r="E56" i="1"/>
  <c r="E52" i="1"/>
  <c r="E51" i="1"/>
  <c r="H45" i="1"/>
  <c r="E96" i="1"/>
  <c r="G70" i="1" l="1"/>
  <c r="G63" i="1" s="1"/>
  <c r="G64" i="1" s="1"/>
  <c r="H63" i="1"/>
  <c r="H64" i="1" s="1"/>
  <c r="I70" i="1"/>
  <c r="I63" i="1" s="1"/>
  <c r="E125" i="1"/>
  <c r="D126" i="1"/>
  <c r="D114" i="1"/>
  <c r="D113" i="1"/>
  <c r="D110" i="1" s="1"/>
  <c r="D78" i="1" s="1"/>
  <c r="D115" i="1" s="1"/>
  <c r="E109" i="1"/>
  <c r="E108" i="1"/>
  <c r="E107" i="1"/>
  <c r="I106" i="1"/>
  <c r="E105" i="1" s="1"/>
  <c r="H105" i="1"/>
  <c r="G105" i="1"/>
  <c r="F105" i="1"/>
  <c r="E104" i="1"/>
  <c r="E103" i="1"/>
  <c r="I102" i="1"/>
  <c r="H102" i="1"/>
  <c r="G100" i="1"/>
  <c r="F102" i="1"/>
  <c r="D101" i="1"/>
  <c r="I100" i="1"/>
  <c r="E99" i="1"/>
  <c r="D98" i="1"/>
  <c r="E97" i="1"/>
  <c r="E95" i="1"/>
  <c r="E94" i="1"/>
  <c r="E93" i="1"/>
  <c r="I90" i="1"/>
  <c r="F90" i="1"/>
  <c r="D90" i="1"/>
  <c r="D89" i="1"/>
  <c r="E88" i="1"/>
  <c r="E87" i="1"/>
  <c r="E86" i="1"/>
  <c r="D86" i="1"/>
  <c r="H90" i="1"/>
  <c r="E85" i="1"/>
  <c r="E90" i="1" s="1"/>
  <c r="I83" i="1"/>
  <c r="H89" i="1"/>
  <c r="F89" i="1"/>
  <c r="E82" i="1"/>
  <c r="E77" i="1"/>
  <c r="E76" i="1"/>
  <c r="C76" i="1"/>
  <c r="C74" i="1" s="1"/>
  <c r="C115" i="1" s="1"/>
  <c r="E75" i="1"/>
  <c r="E74" i="1" s="1"/>
  <c r="E69" i="1"/>
  <c r="E67" i="1" s="1"/>
  <c r="D70" i="1"/>
  <c r="E65" i="1"/>
  <c r="F60" i="1"/>
  <c r="H60" i="1" s="1"/>
  <c r="I59" i="1"/>
  <c r="E59" i="1" s="1"/>
  <c r="D59" i="1"/>
  <c r="D57" i="1" s="1"/>
  <c r="C59" i="1"/>
  <c r="C57" i="1" s="1"/>
  <c r="I58" i="1"/>
  <c r="E58" i="1" s="1"/>
  <c r="E57" i="1"/>
  <c r="D56" i="1"/>
  <c r="D54" i="1" s="1"/>
  <c r="D45" i="1" s="1"/>
  <c r="C56" i="1"/>
  <c r="C54" i="1" s="1"/>
  <c r="E53" i="1"/>
  <c r="C53" i="1"/>
  <c r="C51" i="1" s="1"/>
  <c r="C45" i="1" s="1"/>
  <c r="C61" i="1" s="1"/>
  <c r="C116" i="1" s="1"/>
  <c r="C124" i="1" s="1"/>
  <c r="F51" i="1"/>
  <c r="G47" i="1"/>
  <c r="E37" i="1"/>
  <c r="E34" i="1"/>
  <c r="E32" i="1"/>
  <c r="E31" i="1"/>
  <c r="D31" i="1"/>
  <c r="D29" i="1" s="1"/>
  <c r="D41" i="1" s="1"/>
  <c r="D61" i="1" s="1"/>
  <c r="I29" i="1"/>
  <c r="I41" i="1" s="1"/>
  <c r="G29" i="1"/>
  <c r="G41" i="1" s="1"/>
  <c r="I64" i="1" l="1"/>
  <c r="E63" i="1"/>
  <c r="H77" i="1"/>
  <c r="H61" i="1"/>
  <c r="J47" i="1"/>
  <c r="E92" i="1"/>
  <c r="H100" i="1"/>
  <c r="E102" i="1"/>
  <c r="E100" i="1" s="1"/>
  <c r="H83" i="1"/>
  <c r="H81" i="1" s="1"/>
  <c r="E29" i="1"/>
  <c r="E41" i="1" s="1"/>
  <c r="F80" i="1"/>
  <c r="E91" i="1"/>
  <c r="E84" i="1"/>
  <c r="E83" i="1" s="1"/>
  <c r="I105" i="1"/>
  <c r="G45" i="1"/>
  <c r="I81" i="1"/>
  <c r="I80" i="1" s="1"/>
  <c r="G81" i="1"/>
  <c r="E70" i="1"/>
  <c r="F61" i="1"/>
  <c r="F116" i="1" s="1"/>
  <c r="D116" i="1"/>
  <c r="F77" i="1"/>
  <c r="G60" i="1"/>
  <c r="I89" i="1"/>
  <c r="F100" i="1"/>
  <c r="J29" i="1" l="1"/>
  <c r="I78" i="1"/>
  <c r="H80" i="1"/>
  <c r="J49" i="1"/>
  <c r="G80" i="1"/>
  <c r="G78" i="1" s="1"/>
  <c r="J48" i="1"/>
  <c r="E89" i="1"/>
  <c r="E81" i="1"/>
  <c r="E64" i="1"/>
  <c r="I60" i="1"/>
  <c r="G77" i="1"/>
  <c r="G61" i="1"/>
  <c r="G115" i="1" l="1"/>
  <c r="G116" i="1" s="1"/>
  <c r="H78" i="1"/>
  <c r="H115" i="1" s="1"/>
  <c r="H116" i="1" s="1"/>
  <c r="H124" i="1" s="1"/>
  <c r="H126" i="1" s="1"/>
  <c r="H127" i="1" s="1"/>
  <c r="H140" i="1" s="1"/>
  <c r="H133" i="1" s="1"/>
  <c r="E80" i="1"/>
  <c r="E78" i="1" s="1"/>
  <c r="I77" i="1"/>
  <c r="I115" i="1" s="1"/>
  <c r="I61" i="1"/>
  <c r="E61" i="1" s="1"/>
  <c r="J61" i="1" s="1"/>
  <c r="H129" i="1" l="1"/>
  <c r="E115" i="1"/>
  <c r="J115" i="1" s="1"/>
  <c r="G124" i="1"/>
  <c r="G126" i="1" s="1"/>
  <c r="G127" i="1" s="1"/>
  <c r="I116" i="1"/>
  <c r="I124" i="1" s="1"/>
  <c r="I126" i="1" s="1"/>
  <c r="I127" i="1" s="1"/>
  <c r="F124" i="1"/>
  <c r="H134" i="1"/>
  <c r="E116" i="1" l="1"/>
  <c r="E124" i="1" s="1"/>
  <c r="G140" i="1"/>
  <c r="G133" i="1" s="1"/>
  <c r="G129" i="1"/>
  <c r="I140" i="1"/>
  <c r="I133" i="1" s="1"/>
  <c r="I129" i="1"/>
  <c r="F126" i="1"/>
  <c r="F127" i="1" s="1"/>
  <c r="I134" i="1" l="1"/>
  <c r="G134" i="1"/>
  <c r="F129" i="1"/>
  <c r="F140" i="1"/>
  <c r="F133" i="1" s="1"/>
  <c r="E127" i="1"/>
  <c r="F134" i="1" l="1"/>
  <c r="E134" i="1" s="1"/>
  <c r="E133" i="1"/>
  <c r="E129" i="1"/>
  <c r="E140" i="1" s="1"/>
  <c r="E126" i="1"/>
  <c r="G82" i="3" l="1"/>
  <c r="G44" i="3" s="1"/>
  <c r="G43" i="3" s="1"/>
  <c r="G41" i="3" s="1"/>
  <c r="E82" i="3" l="1"/>
  <c r="G81" i="3"/>
  <c r="E44" i="3"/>
  <c r="E81" i="3" l="1"/>
  <c r="G79" i="3"/>
  <c r="G129" i="3" s="1"/>
  <c r="E43" i="3"/>
  <c r="E41" i="3" s="1"/>
  <c r="E79" i="3" l="1"/>
  <c r="E129" i="3" s="1"/>
  <c r="G61" i="3"/>
  <c r="E61" i="3" s="1"/>
  <c r="G130" i="3" l="1"/>
  <c r="E130" i="3" l="1"/>
  <c r="E138" i="3" s="1"/>
  <c r="E140" i="3" s="1"/>
  <c r="G138" i="3"/>
  <c r="G140" i="3" s="1"/>
  <c r="G141" i="3" s="1"/>
  <c r="G154" i="3" s="1"/>
  <c r="G148" i="3" s="1"/>
  <c r="E148" i="3" s="1"/>
  <c r="G143" i="3" l="1"/>
  <c r="E141" i="3"/>
  <c r="E143" i="3" s="1"/>
  <c r="E154" i="3" s="1"/>
  <c r="G147" i="3"/>
  <c r="E147" i="3" s="1"/>
</calcChain>
</file>

<file path=xl/sharedStrings.xml><?xml version="1.0" encoding="utf-8"?>
<sst xmlns="http://schemas.openxmlformats.org/spreadsheetml/2006/main" count="639" uniqueCount="224">
  <si>
    <t xml:space="preserve">Додаток </t>
  </si>
  <si>
    <t xml:space="preserve"> </t>
  </si>
  <si>
    <t>виконавчого комітету</t>
  </si>
  <si>
    <t>Южненської міської ради</t>
  </si>
  <si>
    <t>№____ від «___»________2024р.</t>
  </si>
  <si>
    <t>коди</t>
  </si>
  <si>
    <t>Підприємство                                                                                                              за ЄДРПОУ</t>
  </si>
  <si>
    <t>Організаційно-правова форма                                                                комунальне підприємство</t>
  </si>
  <si>
    <t>Територія                                                                                                                м. Южне</t>
  </si>
  <si>
    <t xml:space="preserve">Орган управління   створено рішенням Южненської міської ради від 19.03.1998 року № 295- ХХIV-XXII          </t>
  </si>
  <si>
    <t>Галузь                                                                                   житлово – комунальне господарство</t>
  </si>
  <si>
    <t>Вид економічної діяльності                                                                                            за  КВЕД</t>
  </si>
  <si>
    <t>90.03.0</t>
  </si>
  <si>
    <t>Одиниця виміру:                                                                                               тис. грн.</t>
  </si>
  <si>
    <t>Форма власності                                                                                            Комунальна</t>
  </si>
  <si>
    <t xml:space="preserve">Чисельність працівників                                                                                        54 </t>
  </si>
  <si>
    <t>Місцезнаходження                                                                 65481,  Одеська область, м. Южне,
                                                                                          проспект Григорівського десанту,26-А</t>
  </si>
  <si>
    <t>Прізвище та ініціали керівника                                                   Горівенко Андрій Валерійович</t>
  </si>
  <si>
    <t>Основні фінансові показники підприємства</t>
  </si>
  <si>
    <t>І. Формування прибутку підприємства</t>
  </si>
  <si>
    <t xml:space="preserve">Код ряд-ка </t>
  </si>
  <si>
    <t>Довід-ка:</t>
  </si>
  <si>
    <t>Плано-</t>
  </si>
  <si>
    <t>У тому числі по кварталам</t>
  </si>
  <si>
    <t>вий рік</t>
  </si>
  <si>
    <t>І</t>
  </si>
  <si>
    <t>ІІ</t>
  </si>
  <si>
    <t>ІІІ</t>
  </si>
  <si>
    <t>ІV</t>
  </si>
  <si>
    <t>Доходи</t>
  </si>
  <si>
    <t>Дохід (виручка) від реалізації продукції (товарів, робіт, послуг)</t>
  </si>
  <si>
    <t>001</t>
  </si>
  <si>
    <t>За видами послуг:</t>
  </si>
  <si>
    <t>Прибирання службових приміщень</t>
  </si>
  <si>
    <t>Послуги з прибирання території</t>
  </si>
  <si>
    <t>Послуги з обрізки дерев</t>
  </si>
  <si>
    <t>Послуги з покосу трави</t>
  </si>
  <si>
    <t>Різні послуги (послуги трактора, автопідіймача, навантаження, розвантаження ті ін.)</t>
  </si>
  <si>
    <t>Перехідний залишок</t>
  </si>
  <si>
    <t>податок на додану вартість</t>
  </si>
  <si>
    <t>002</t>
  </si>
  <si>
    <t>інші непрямі податки</t>
  </si>
  <si>
    <t>003</t>
  </si>
  <si>
    <r>
      <t xml:space="preserve">Інші вирахування з доходу </t>
    </r>
    <r>
      <rPr>
        <i/>
        <sz val="10"/>
        <color indexed="8"/>
        <rFont val="Times New Roman"/>
        <family val="1"/>
        <charset val="204"/>
      </rPr>
      <t>(розшифрування)</t>
    </r>
  </si>
  <si>
    <t>004</t>
  </si>
  <si>
    <r>
      <t xml:space="preserve">Чистий дохід (виручка) від реалізації продукції (товарів, робіт, послуг) </t>
    </r>
    <r>
      <rPr>
        <b/>
        <i/>
        <sz val="10"/>
        <color indexed="8"/>
        <rFont val="Times New Roman"/>
        <family val="1"/>
        <charset val="204"/>
      </rPr>
      <t>(розшифрування)</t>
    </r>
  </si>
  <si>
    <t>005</t>
  </si>
  <si>
    <t>Інші операційні доходи</t>
  </si>
  <si>
    <t>006</t>
  </si>
  <si>
    <t>(Пайові внески)</t>
  </si>
  <si>
    <r>
      <t xml:space="preserve">Інші фінансові доходи </t>
    </r>
    <r>
      <rPr>
        <i/>
        <sz val="10"/>
        <color indexed="8"/>
        <rFont val="Times New Roman"/>
        <family val="1"/>
        <charset val="204"/>
      </rPr>
      <t>(бюджет)</t>
    </r>
  </si>
  <si>
    <t>007</t>
  </si>
  <si>
    <t xml:space="preserve">Дохід із місцевого бюджету за цільовими програмами, </t>
  </si>
  <si>
    <t>007/1</t>
  </si>
  <si>
    <t>І. Програма реформування і розвитку житлово – комунального господарства Южненської міської територіальної громади на 2020-2024 роки:</t>
  </si>
  <si>
    <t>- загальний фонд</t>
  </si>
  <si>
    <t>Придбання обладнання і предметів довгострокового користування</t>
  </si>
  <si>
    <r>
      <t xml:space="preserve">- </t>
    </r>
    <r>
      <rPr>
        <i/>
        <sz val="10"/>
        <color indexed="8"/>
        <rFont val="Times New Roman"/>
        <family val="1"/>
        <charset val="204"/>
      </rPr>
      <t xml:space="preserve">спеціальний фонд  </t>
    </r>
  </si>
  <si>
    <t>ІІ. Екологічна програма заходів з охорони навколишнього природного середовища Южненської міської територіальної громади  на 2024 – 2026 роки</t>
  </si>
  <si>
    <t>1. Предмети (однолітні насадження та придбання контейнерів)</t>
  </si>
  <si>
    <t>2. Придбання обладнання і предметів довгострокового користування</t>
  </si>
  <si>
    <t>ІІІ. Програма з локалізації та ліквідації амброзії полинолистої на території Южненської міської територіальної громади на 2020-2024 роки</t>
  </si>
  <si>
    <r>
      <t xml:space="preserve">- </t>
    </r>
    <r>
      <rPr>
        <i/>
        <sz val="10"/>
        <color indexed="8"/>
        <rFont val="Times New Roman"/>
        <family val="1"/>
        <charset val="204"/>
      </rPr>
      <t>спеціальний фонд</t>
    </r>
  </si>
  <si>
    <t>ІV. Програма енергоефективності в житлово-комунальному господарстві та бюджетній сфері Южненської міської територіальної громади на період з 2021 по 2024 роки</t>
  </si>
  <si>
    <t>Інші доходи Амортизація</t>
  </si>
  <si>
    <t>008</t>
  </si>
  <si>
    <t>Усього доходів</t>
  </si>
  <si>
    <t>009</t>
  </si>
  <si>
    <r>
      <t>Витрати</t>
    </r>
    <r>
      <rPr>
        <sz val="10"/>
        <color indexed="8"/>
        <rFont val="Times New Roman"/>
        <family val="1"/>
        <charset val="204"/>
      </rPr>
      <t> </t>
    </r>
    <r>
      <rPr>
        <i/>
        <sz val="10"/>
        <color indexed="8"/>
        <rFont val="Times New Roman"/>
        <family val="1"/>
        <charset val="204"/>
      </rPr>
      <t> </t>
    </r>
  </si>
  <si>
    <r>
      <t>Собівартість реалізованої продукції (товарів, робіт та послуг)</t>
    </r>
    <r>
      <rPr>
        <i/>
        <sz val="10"/>
        <color indexed="8"/>
        <rFont val="Times New Roman"/>
        <family val="1"/>
        <charset val="204"/>
      </rPr>
      <t xml:space="preserve"> (розшифрування)</t>
    </r>
  </si>
  <si>
    <t>010</t>
  </si>
  <si>
    <r>
      <t>У тому числі витрати операційної діяльності:</t>
    </r>
    <r>
      <rPr>
        <sz val="10"/>
        <color indexed="8"/>
        <rFont val="Times New Roman"/>
        <family val="1"/>
        <charset val="204"/>
      </rPr>
      <t xml:space="preserve"> </t>
    </r>
  </si>
  <si>
    <t>011</t>
  </si>
  <si>
    <t>Матеріальні витрати</t>
  </si>
  <si>
    <t>012</t>
  </si>
  <si>
    <t>Витрати на оплату праці, з них:</t>
  </si>
  <si>
    <t>013</t>
  </si>
  <si>
    <t>- адміністративні</t>
  </si>
  <si>
    <t>-</t>
  </si>
  <si>
    <t xml:space="preserve">- загальновиробничі </t>
  </si>
  <si>
    <t>Витрати на соціальні заходи</t>
  </si>
  <si>
    <t>014</t>
  </si>
  <si>
    <r>
      <t xml:space="preserve">Витрати на збут </t>
    </r>
    <r>
      <rPr>
        <i/>
        <sz val="10"/>
        <color indexed="8"/>
        <rFont val="Times New Roman"/>
        <family val="1"/>
        <charset val="204"/>
      </rPr>
      <t>(розшифрування)</t>
    </r>
  </si>
  <si>
    <t>015</t>
  </si>
  <si>
    <t>- </t>
  </si>
  <si>
    <t>Інші операційні витрати, в тому числі:</t>
  </si>
  <si>
    <t>016</t>
  </si>
  <si>
    <t>- оплата послуг (крім комунальних);</t>
  </si>
  <si>
    <t>- оплата комунальних послуг.</t>
  </si>
  <si>
    <t>Амортизація</t>
  </si>
  <si>
    <t>017</t>
  </si>
  <si>
    <r>
      <t xml:space="preserve">Інші фінансові витрати </t>
    </r>
    <r>
      <rPr>
        <i/>
        <sz val="10"/>
        <color indexed="8"/>
        <rFont val="Times New Roman"/>
        <family val="1"/>
        <charset val="204"/>
      </rPr>
      <t>(бюджет)</t>
    </r>
  </si>
  <si>
    <t>018</t>
  </si>
  <si>
    <t>Витрати за рахунок доходів  із місцевого бюджету за цільовими програмами, у т.ч.:</t>
  </si>
  <si>
    <t>018/1</t>
  </si>
  <si>
    <t>Витрати на оплату праці:</t>
  </si>
  <si>
    <t>-адміністративні</t>
  </si>
  <si>
    <t>-загальновиробничі</t>
  </si>
  <si>
    <t>-матеріальна допомога</t>
  </si>
  <si>
    <t>-громадські роботи</t>
  </si>
  <si>
    <t>Витрати на соціальні заходи:</t>
  </si>
  <si>
    <t>- загальновиробничі</t>
  </si>
  <si>
    <t>Інші витрати (комунальні послуги та інші послуги)</t>
  </si>
  <si>
    <t>Інші послуги</t>
  </si>
  <si>
    <t>-оплата послуг (крім комунальних)</t>
  </si>
  <si>
    <t>Поточний ремонт</t>
  </si>
  <si>
    <t>Утримання фонтанів</t>
  </si>
  <si>
    <t>-комунальні послуги та інші ком</t>
  </si>
  <si>
    <r>
      <t xml:space="preserve">- </t>
    </r>
    <r>
      <rPr>
        <b/>
        <i/>
        <sz val="10"/>
        <color indexed="8"/>
        <rFont val="Times New Roman"/>
        <family val="1"/>
        <charset val="204"/>
      </rPr>
      <t>спеціальний фонд</t>
    </r>
  </si>
  <si>
    <t>- у тому числі:</t>
  </si>
  <si>
    <t>1 Предмети (однолітні насадження, придбання контейнерів та інф. щитів)</t>
  </si>
  <si>
    <t>2 Придбання обладнання і предметів довгострокового користування</t>
  </si>
  <si>
    <t>ІІІ. Програма з локалізації та ліквідації амброзії полинолистої на території Южненської міської територіальної громади  на 2020-2024 роки</t>
  </si>
  <si>
    <t>-заробітна плата</t>
  </si>
  <si>
    <t>-нарахування на зарплату</t>
  </si>
  <si>
    <t>-матеріали</t>
  </si>
  <si>
    <r>
      <t xml:space="preserve">- </t>
    </r>
    <r>
      <rPr>
        <i/>
        <sz val="10"/>
        <color indexed="8"/>
        <rFont val="Times New Roman"/>
        <family val="1"/>
        <charset val="204"/>
      </rPr>
      <t>спеціальний фонд  )</t>
    </r>
  </si>
  <si>
    <r>
      <t xml:space="preserve">Інші витрати </t>
    </r>
    <r>
      <rPr>
        <i/>
        <sz val="10"/>
        <color indexed="8"/>
        <rFont val="Times New Roman"/>
        <family val="1"/>
        <charset val="204"/>
      </rPr>
      <t>(розшифрування)</t>
    </r>
  </si>
  <si>
    <t>019</t>
  </si>
  <si>
    <t>Усього витрати</t>
  </si>
  <si>
    <t>020</t>
  </si>
  <si>
    <t>Фінансові результати діяльності:</t>
  </si>
  <si>
    <t>021</t>
  </si>
  <si>
    <t xml:space="preserve">Валовий </t>
  </si>
  <si>
    <t>022</t>
  </si>
  <si>
    <t>прибуток</t>
  </si>
  <si>
    <t>збиток</t>
  </si>
  <si>
    <t>Фінансовий результат від операційної діяльності:</t>
  </si>
  <si>
    <t>023</t>
  </si>
  <si>
    <t>Фінансовий результат від звичайної діяльності до оподаткування</t>
  </si>
  <si>
    <t>024</t>
  </si>
  <si>
    <t>Податок на прибуток від звичайної діяльності 18%</t>
  </si>
  <si>
    <t>025</t>
  </si>
  <si>
    <t xml:space="preserve">Чистий  прибуток </t>
  </si>
  <si>
    <t>026</t>
  </si>
  <si>
    <t>у тому числі:</t>
  </si>
  <si>
    <t xml:space="preserve">прибуток </t>
  </si>
  <si>
    <t>026/1</t>
  </si>
  <si>
    <t>026/2</t>
  </si>
  <si>
    <t>ІІ.   Розподіл чистого прибутку</t>
  </si>
  <si>
    <r>
      <t>Фонд розвитку виробництва</t>
    </r>
    <r>
      <rPr>
        <b/>
        <sz val="10"/>
        <color indexed="8"/>
        <rFont val="Times New Roman"/>
        <family val="1"/>
        <charset val="204"/>
      </rPr>
      <t xml:space="preserve"> (%)  </t>
    </r>
  </si>
  <si>
    <t>027</t>
  </si>
  <si>
    <t>Фонд матеріально заохочення (%) - 20%</t>
  </si>
  <si>
    <t>028</t>
  </si>
  <si>
    <t>Фонд соціального розвитку (%) – 80%</t>
  </si>
  <si>
    <t>029</t>
  </si>
  <si>
    <t>030</t>
  </si>
  <si>
    <t>ІІІ Обов’язкові платежі підприємства</t>
  </si>
  <si>
    <t>Резервний фонд</t>
  </si>
  <si>
    <t>031</t>
  </si>
  <si>
    <r>
      <t xml:space="preserve">Інші фонди </t>
    </r>
    <r>
      <rPr>
        <b/>
        <i/>
        <sz val="10"/>
        <color indexed="8"/>
        <rFont val="Times New Roman"/>
        <family val="1"/>
        <charset val="204"/>
      </rPr>
      <t>(розшифрувати)</t>
    </r>
  </si>
  <si>
    <t>032</t>
  </si>
  <si>
    <t>Обов’язкові платежі, у тому числі:</t>
  </si>
  <si>
    <t>033</t>
  </si>
  <si>
    <t>місцеві податки та збори</t>
  </si>
  <si>
    <t>034</t>
  </si>
  <si>
    <r>
      <t xml:space="preserve">інші платежі </t>
    </r>
    <r>
      <rPr>
        <i/>
        <sz val="10"/>
        <color indexed="8"/>
        <rFont val="Times New Roman"/>
        <family val="1"/>
        <charset val="204"/>
      </rPr>
      <t>(розшифрувати)</t>
    </r>
  </si>
  <si>
    <t>035</t>
  </si>
  <si>
    <t>Керуючий справами виконавчого комітету</t>
  </si>
  <si>
    <t>Владислав ТЕРЕЩЕНКО</t>
  </si>
  <si>
    <t>(підпис)</t>
  </si>
  <si>
    <t>Керівник підприємства</t>
  </si>
  <si>
    <t>Андрій ГОРІВЕНКО</t>
  </si>
  <si>
    <t>Головний економіст</t>
  </si>
  <si>
    <t>Вікторія ЗІЛІНСЬКА</t>
  </si>
  <si>
    <t>до проєкту рішення</t>
  </si>
  <si>
    <t>Ремонт фонтанів</t>
  </si>
  <si>
    <t>матеріали (світильники)</t>
  </si>
  <si>
    <t>НА 2025 рік</t>
  </si>
  <si>
    <t>25 усього</t>
  </si>
  <si>
    <t>24 фінан-совий план поточ-ного року</t>
  </si>
  <si>
    <t>23 факт мину-лого року</t>
  </si>
  <si>
    <t>хімреагенти 110,905</t>
  </si>
  <si>
    <t>Амброзія</t>
  </si>
  <si>
    <t>фонтани</t>
  </si>
  <si>
    <t>екологія</t>
  </si>
  <si>
    <t>4,670 туал вода</t>
  </si>
  <si>
    <t xml:space="preserve">4,670 туал вода </t>
  </si>
  <si>
    <t>4,670 вода туал</t>
  </si>
  <si>
    <t>416,299 розконс та обсл,+110,905 хімреагенти</t>
  </si>
  <si>
    <t>141,870 консерв</t>
  </si>
  <si>
    <r>
      <rPr>
        <b/>
        <sz val="10"/>
        <rFont val="Times New Roman"/>
        <family val="1"/>
        <charset val="204"/>
      </rPr>
      <t xml:space="preserve"> ФІНАНСОВИЙ ПЛАН</t>
    </r>
    <r>
      <rPr>
        <b/>
        <sz val="10"/>
        <color indexed="8"/>
        <rFont val="Times New Roman"/>
        <family val="1"/>
        <charset val="204"/>
      </rPr>
      <t xml:space="preserve"> КОМУНАЛЬНОГО ПІДПРИЄМСТВА "ЕКОСЕРВІС"</t>
    </r>
  </si>
  <si>
    <t>ВИЯСНИТИ</t>
  </si>
  <si>
    <t>Чисельність працівників                                                                                       88</t>
  </si>
  <si>
    <t>Директор КП "Екосервіс"</t>
  </si>
  <si>
    <t>Головний економіст КП "Екосервіс"</t>
  </si>
  <si>
    <t>Олена МУЗИКА</t>
  </si>
  <si>
    <t>І. Програма реформування і розвитку житлово – комунального господарства Южненської міської територіальної громади на 2025-2027 роки:</t>
  </si>
  <si>
    <t xml:space="preserve">ІІІ. Програма з локалізації та ліквідації амброзії полинолистої інших карантинних рослин та організмів на території Южненської міської територіальної громади Одеського району Одеської області на 2025-2027 роки </t>
  </si>
  <si>
    <t>ІІ. Екологічна програма заходів з охорони навколишнього природного середовища Южненської міської територіальної громади Одеського району Одеської області на 2024-2026 роки</t>
  </si>
  <si>
    <t>ІV. Програма енергоефективності в житлово-комунальному господарстві та бюджетній сфері Южненської міської територіальної громади на період з 2025 по 2027 роки</t>
  </si>
  <si>
    <t>І.Програма реформування і розвитку житлово – комунального господарства Южненської міської територіальної громади на 2025-2027 роки:</t>
  </si>
  <si>
    <t xml:space="preserve"> факт мину-лого року</t>
  </si>
  <si>
    <t xml:space="preserve"> фінан-совий план поточ-ного року</t>
  </si>
  <si>
    <t xml:space="preserve"> усього</t>
  </si>
  <si>
    <t>Територія                                                                                                                м. Південне</t>
  </si>
  <si>
    <t>Місцезнаходження                                                                 65481,  Одеська область, м. Південне,
                                                                                          проспект Григорівського десанту,26-А</t>
  </si>
  <si>
    <t>НА 2026 рік</t>
  </si>
  <si>
    <t xml:space="preserve"> факт мину-лого року 2024</t>
  </si>
  <si>
    <t>дохід від суборенди землі</t>
  </si>
  <si>
    <r>
      <rPr>
        <b/>
        <sz val="10"/>
        <rFont val="Times New Roman"/>
        <family val="1"/>
        <charset val="204"/>
      </rPr>
      <t xml:space="preserve"> ВІДКОРИГОВАНИЙ ФІНАНСОВИЙ ПЛАН</t>
    </r>
    <r>
      <rPr>
        <b/>
        <sz val="10"/>
        <color indexed="8"/>
        <rFont val="Times New Roman"/>
        <family val="1"/>
        <charset val="204"/>
      </rPr>
      <t xml:space="preserve"> КОМУНАЛЬНОГО ПІДПРИЄМСТВА "ЕКОСЕРВІС"</t>
    </r>
  </si>
  <si>
    <t xml:space="preserve"> - орендна плата за земельну ділянку</t>
  </si>
  <si>
    <t>1 Предмети (придбання контейнерів та урн)</t>
  </si>
  <si>
    <t>1. Предмети (придбання контейнерів та урн)</t>
  </si>
  <si>
    <t xml:space="preserve">Стандартне приєднання електроустановок до електричних мереж ТП 951 (Одеська область, Одеський район, с. Сичавка, вул. Садова та вул. Шкільна)  </t>
  </si>
  <si>
    <t xml:space="preserve">Стандартне приєднання електроустановок до електричних мереж  ТП 241 (Одеська область, Одеський район, с. Сичавка, вул. Набережна та вул. Чорноморська)  </t>
  </si>
  <si>
    <t xml:space="preserve">Стандартне приєднання електроустановок до електричних мереж ТП 557 (Одеська область, Одеський район, с. Сичавка, вул. Прикордонна)  </t>
  </si>
  <si>
    <t xml:space="preserve">Стандартне приєднання електроустановок до електричних мереж ТП 230 (Одеська область, Одеський район, с. Сичавка, вул. Хуторська)  </t>
  </si>
  <si>
    <t xml:space="preserve">Стандартне приєднання електроустановок до електричних мереж  ТП 235 (Одеська область, Одеський район, с. Сичавка, вул.Каштанова)  </t>
  </si>
  <si>
    <t>Довідково (придбання трактора садового, кущорізів, акумуляторної коси, БФП, компютера в зборі)</t>
  </si>
  <si>
    <t>Довідково (придбання автогідропідйомника)</t>
  </si>
  <si>
    <t>Довідково (придбаннятрактора садового, кущорізів, акумуляторної коси, БФП, компютера в зборі )</t>
  </si>
  <si>
    <t>І. Програма реформування і розвитку житлово – комунального господарства Південнівської міської територіальної громади на 2025-2027 роки:</t>
  </si>
  <si>
    <t>ІІ. Екологічна програма заходів з охорони навколишнього природного середовища Південнівської міської територіальної громади Одеського району Одеської області на 2024-2026 роки</t>
  </si>
  <si>
    <t xml:space="preserve">ІІІ. Програма з локалізації та ліквідації амброзії полинолистої інших карантинних рослин та організмів на території Південнівської міської територіальної громади Одеського району Одеської області на 2025-2027 роки </t>
  </si>
  <si>
    <t>ІV. Програма енергоефективності в житлово-комунальному господарстві та бюджетній сфері Південнівської міської територіальної громади на період з 2025 по 2027 роки</t>
  </si>
  <si>
    <t>І.Програма реформування і розвитку житлово – комунального господарства Південнівської міської територіальної громади на 2025-2027 роки:</t>
  </si>
  <si>
    <t>ІІ. Екологічна програма заходів з охорони навколишнього природного середовища Південнівськоїї міської територіальної громади Одеського району Одеської області на 2024-2026 роки</t>
  </si>
  <si>
    <t>V. Програма підтримки діяльності громадських організацій, які здійснюють діяльність направлену на забезпечення гуманного поводження з безпритульними тваринами на території Південнівської міської територіальної громади на 2026-2028 роки</t>
  </si>
  <si>
    <t>Роботи з розробки, реєстрації та видачі технічних умов на приєднання об’єкту, приватного забудовника до централізованої системи господарсько-побутової каналізації</t>
  </si>
  <si>
    <t>Роботи з розробки, реєстрації та видачі технічних умов на приєднання об’єкту, приватного забудовника до централізованої системи водопостачання</t>
  </si>
  <si>
    <t xml:space="preserve">Роботи з розробки технічних умов на підключення електроенергії </t>
  </si>
  <si>
    <t>81.29</t>
  </si>
  <si>
    <t>Додаток
до рішення виконавчого комітету
Південнівської міської ради
від 17.03.2026 № 2836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</si>
</sst>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#,##0.000"/>
  </numFmts>
  <fonts count="16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73">
    <xf numFmtId="0" fontId="0" fillId="0" borderId="0" xfId="0"/>
    <xf numFmtId="165" fontId="5" fillId="0" borderId="0" xfId="0" applyNumberFormat="1" applyFont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64" fontId="7" fillId="0" borderId="0" xfId="0" applyNumberFormat="1" applyFont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vertical="center" wrapText="1"/>
    </xf>
    <xf numFmtId="164" fontId="0" fillId="0" borderId="0" xfId="0" applyNumberFormat="1"/>
    <xf numFmtId="165" fontId="7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165" fontId="0" fillId="0" borderId="0" xfId="0" applyNumberFormat="1"/>
    <xf numFmtId="165" fontId="3" fillId="0" borderId="8" xfId="0" applyNumberFormat="1" applyFont="1" applyBorder="1" applyAlignment="1">
      <alignment horizontal="center" vertical="center" wrapText="1"/>
    </xf>
    <xf numFmtId="0" fontId="0" fillId="0" borderId="8" xfId="0" applyBorder="1"/>
    <xf numFmtId="0" fontId="5" fillId="0" borderId="5" xfId="0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165" fontId="8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165" fontId="5" fillId="0" borderId="1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wrapText="1"/>
    </xf>
    <xf numFmtId="0" fontId="1" fillId="0" borderId="0" xfId="0" applyFont="1"/>
    <xf numFmtId="164" fontId="5" fillId="2" borderId="5" xfId="0" applyNumberFormat="1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165" fontId="0" fillId="2" borderId="0" xfId="0" applyNumberFormat="1" applyFill="1"/>
    <xf numFmtId="165" fontId="8" fillId="2" borderId="5" xfId="0" applyNumberFormat="1" applyFont="1" applyFill="1" applyBorder="1" applyAlignment="1">
      <alignment horizontal="center" vertical="center" wrapText="1"/>
    </xf>
    <xf numFmtId="165" fontId="5" fillId="2" borderId="5" xfId="0" applyNumberFormat="1" applyFont="1" applyFill="1" applyBorder="1" applyAlignment="1">
      <alignment horizontal="center" vertical="center" wrapText="1"/>
    </xf>
    <xf numFmtId="165" fontId="8" fillId="2" borderId="6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right" vertical="center" wrapText="1"/>
    </xf>
    <xf numFmtId="165" fontId="3" fillId="2" borderId="1" xfId="0" applyNumberFormat="1" applyFont="1" applyFill="1" applyBorder="1" applyAlignment="1">
      <alignment horizontal="right" vertical="center" wrapText="1"/>
    </xf>
    <xf numFmtId="164" fontId="0" fillId="2" borderId="0" xfId="0" applyNumberFormat="1" applyFill="1"/>
    <xf numFmtId="165" fontId="11" fillId="4" borderId="1" xfId="0" applyNumberFormat="1" applyFont="1" applyFill="1" applyBorder="1"/>
    <xf numFmtId="165" fontId="5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165" fontId="0" fillId="3" borderId="0" xfId="0" applyNumberFormat="1" applyFill="1"/>
    <xf numFmtId="165" fontId="1" fillId="4" borderId="1" xfId="0" applyNumberFormat="1" applyFont="1" applyFill="1" applyBorder="1"/>
    <xf numFmtId="165" fontId="12" fillId="4" borderId="1" xfId="0" applyNumberFormat="1" applyFont="1" applyFill="1" applyBorder="1"/>
    <xf numFmtId="165" fontId="11" fillId="4" borderId="1" xfId="0" applyNumberFormat="1" applyFont="1" applyFill="1" applyBorder="1" applyAlignment="1">
      <alignment vertical="center"/>
    </xf>
    <xf numFmtId="164" fontId="1" fillId="2" borderId="1" xfId="0" applyNumberFormat="1" applyFont="1" applyFill="1" applyBorder="1"/>
    <xf numFmtId="165" fontId="3" fillId="5" borderId="8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165" fontId="5" fillId="2" borderId="1" xfId="0" applyNumberFormat="1" applyFont="1" applyFill="1" applyBorder="1" applyAlignment="1">
      <alignment vertical="center" wrapText="1"/>
    </xf>
    <xf numFmtId="165" fontId="5" fillId="6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/>
    <xf numFmtId="1" fontId="1" fillId="3" borderId="1" xfId="0" applyNumberFormat="1" applyFont="1" applyFill="1" applyBorder="1"/>
    <xf numFmtId="164" fontId="5" fillId="3" borderId="1" xfId="0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vertical="center" wrapText="1"/>
    </xf>
    <xf numFmtId="165" fontId="0" fillId="3" borderId="9" xfId="0" applyNumberFormat="1" applyFill="1" applyBorder="1"/>
    <xf numFmtId="165" fontId="3" fillId="3" borderId="1" xfId="0" applyNumberFormat="1" applyFont="1" applyFill="1" applyBorder="1" applyAlignment="1">
      <alignment vertical="center" wrapText="1"/>
    </xf>
    <xf numFmtId="165" fontId="8" fillId="3" borderId="5" xfId="0" applyNumberFormat="1" applyFont="1" applyFill="1" applyBorder="1" applyAlignment="1">
      <alignment horizontal="center" vertical="center" wrapText="1"/>
    </xf>
    <xf numFmtId="165" fontId="5" fillId="3" borderId="6" xfId="0" applyNumberFormat="1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vertical="center" wrapText="1"/>
    </xf>
    <xf numFmtId="164" fontId="3" fillId="3" borderId="1" xfId="0" applyNumberFormat="1" applyFont="1" applyFill="1" applyBorder="1" applyAlignment="1">
      <alignment vertical="center" wrapText="1"/>
    </xf>
    <xf numFmtId="165" fontId="3" fillId="3" borderId="1" xfId="0" applyNumberFormat="1" applyFont="1" applyFill="1" applyBorder="1" applyAlignment="1">
      <alignment horizontal="right" vertical="center" wrapText="1"/>
    </xf>
    <xf numFmtId="164" fontId="0" fillId="3" borderId="0" xfId="0" applyNumberFormat="1" applyFill="1"/>
    <xf numFmtId="164" fontId="10" fillId="3" borderId="0" xfId="0" applyNumberFormat="1" applyFont="1" applyFill="1" applyAlignment="1">
      <alignment horizontal="center"/>
    </xf>
    <xf numFmtId="165" fontId="5" fillId="7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vertical="center" wrapText="1"/>
    </xf>
    <xf numFmtId="0" fontId="6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vertical="center" wrapText="1"/>
    </xf>
    <xf numFmtId="49" fontId="5" fillId="7" borderId="1" xfId="0" applyNumberFormat="1" applyFont="1" applyFill="1" applyBorder="1" applyAlignment="1">
      <alignment vertical="center" wrapText="1"/>
    </xf>
    <xf numFmtId="165" fontId="5" fillId="8" borderId="1" xfId="0" applyNumberFormat="1" applyFont="1" applyFill="1" applyBorder="1" applyAlignment="1">
      <alignment horizontal="center" vertical="center" wrapText="1"/>
    </xf>
    <xf numFmtId="165" fontId="5" fillId="9" borderId="1" xfId="0" applyNumberFormat="1" applyFont="1" applyFill="1" applyBorder="1" applyAlignment="1">
      <alignment horizontal="center" vertical="center" wrapText="1"/>
    </xf>
    <xf numFmtId="165" fontId="3" fillId="9" borderId="1" xfId="0" applyNumberFormat="1" applyFont="1" applyFill="1" applyBorder="1" applyAlignment="1">
      <alignment horizontal="center" vertical="center" wrapText="1"/>
    </xf>
    <xf numFmtId="165" fontId="8" fillId="9" borderId="6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0" xfId="0" applyFill="1" applyAlignment="1">
      <alignment vertical="center"/>
    </xf>
    <xf numFmtId="165" fontId="3" fillId="3" borderId="0" xfId="0" applyNumberFormat="1" applyFont="1" applyFill="1" applyAlignment="1">
      <alignment horizontal="center" vertical="center" wrapText="1"/>
    </xf>
    <xf numFmtId="165" fontId="3" fillId="8" borderId="1" xfId="0" applyNumberFormat="1" applyFont="1" applyFill="1" applyBorder="1" applyAlignment="1">
      <alignment horizontal="center" vertical="center" wrapText="1"/>
    </xf>
    <xf numFmtId="165" fontId="5" fillId="10" borderId="1" xfId="0" applyNumberFormat="1" applyFont="1" applyFill="1" applyBorder="1" applyAlignment="1">
      <alignment horizontal="center" vertical="center" wrapText="1"/>
    </xf>
    <xf numFmtId="165" fontId="13" fillId="0" borderId="8" xfId="0" applyNumberFormat="1" applyFont="1" applyBorder="1" applyAlignment="1">
      <alignment horizontal="center" vertical="center" wrapText="1"/>
    </xf>
    <xf numFmtId="165" fontId="5" fillId="11" borderId="1" xfId="0" applyNumberFormat="1" applyFont="1" applyFill="1" applyBorder="1" applyAlignment="1">
      <alignment horizontal="center" vertical="center" wrapText="1"/>
    </xf>
    <xf numFmtId="165" fontId="3" fillId="10" borderId="1" xfId="0" applyNumberFormat="1" applyFont="1" applyFill="1" applyBorder="1" applyAlignment="1">
      <alignment horizontal="center" vertical="center" wrapText="1"/>
    </xf>
    <xf numFmtId="165" fontId="3" fillId="11" borderId="1" xfId="0" applyNumberFormat="1" applyFont="1" applyFill="1" applyBorder="1" applyAlignment="1">
      <alignment horizontal="center" vertical="center" wrapText="1"/>
    </xf>
    <xf numFmtId="165" fontId="5" fillId="11" borderId="5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/>
    <xf numFmtId="165" fontId="3" fillId="2" borderId="1" xfId="0" applyNumberFormat="1" applyFont="1" applyFill="1" applyBorder="1" applyAlignment="1">
      <alignment vertical="center" wrapText="1"/>
    </xf>
    <xf numFmtId="165" fontId="5" fillId="2" borderId="6" xfId="0" applyNumberFormat="1" applyFont="1" applyFill="1" applyBorder="1" applyAlignment="1">
      <alignment horizontal="center" vertical="center" wrapText="1"/>
    </xf>
    <xf numFmtId="0" fontId="0" fillId="2" borderId="0" xfId="0" applyFill="1"/>
    <xf numFmtId="164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0" fillId="2" borderId="8" xfId="0" applyFill="1" applyBorder="1"/>
    <xf numFmtId="165" fontId="0" fillId="2" borderId="9" xfId="0" applyNumberFormat="1" applyFill="1" applyBorder="1"/>
    <xf numFmtId="0" fontId="5" fillId="2" borderId="5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165" fontId="3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vertical="center" wrapText="1"/>
    </xf>
    <xf numFmtId="0" fontId="1" fillId="2" borderId="0" xfId="0" applyFont="1" applyFill="1" applyAlignment="1">
      <alignment wrapText="1"/>
    </xf>
    <xf numFmtId="0" fontId="1" fillId="2" borderId="0" xfId="0" applyFont="1" applyFill="1"/>
    <xf numFmtId="164" fontId="10" fillId="2" borderId="0" xfId="0" applyNumberFormat="1" applyFont="1" applyFill="1" applyAlignment="1">
      <alignment horizontal="center"/>
    </xf>
    <xf numFmtId="164" fontId="1" fillId="0" borderId="1" xfId="0" applyNumberFormat="1" applyFont="1" applyBorder="1"/>
    <xf numFmtId="166" fontId="0" fillId="0" borderId="0" xfId="0" applyNumberFormat="1" applyAlignment="1">
      <alignment horizontal="right"/>
    </xf>
    <xf numFmtId="166" fontId="0" fillId="0" borderId="9" xfId="0" applyNumberFormat="1" applyBorder="1" applyAlignment="1">
      <alignment horizontal="right"/>
    </xf>
    <xf numFmtId="166" fontId="8" fillId="0" borderId="5" xfId="0" applyNumberFormat="1" applyFont="1" applyBorder="1" applyAlignment="1">
      <alignment horizontal="right" vertical="center" wrapText="1"/>
    </xf>
    <xf numFmtId="166" fontId="5" fillId="0" borderId="5" xfId="0" applyNumberFormat="1" applyFont="1" applyBorder="1" applyAlignment="1">
      <alignment horizontal="right" vertical="center" wrapText="1"/>
    </xf>
    <xf numFmtId="0" fontId="6" fillId="0" borderId="6" xfId="0" applyFont="1" applyBorder="1" applyAlignment="1">
      <alignment vertical="center" wrapText="1"/>
    </xf>
    <xf numFmtId="166" fontId="5" fillId="0" borderId="6" xfId="0" applyNumberFormat="1" applyFont="1" applyBorder="1" applyAlignment="1">
      <alignment horizontal="right" vertical="center" wrapText="1"/>
    </xf>
    <xf numFmtId="166" fontId="8" fillId="0" borderId="6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vertical="center" wrapText="1"/>
    </xf>
    <xf numFmtId="166" fontId="3" fillId="0" borderId="1" xfId="0" applyNumberFormat="1" applyFont="1" applyBorder="1" applyAlignment="1">
      <alignment horizontal="right" vertical="center"/>
    </xf>
    <xf numFmtId="166" fontId="1" fillId="0" borderId="1" xfId="0" applyNumberFormat="1" applyFont="1" applyBorder="1" applyAlignment="1">
      <alignment horizontal="right"/>
    </xf>
    <xf numFmtId="166" fontId="5" fillId="0" borderId="1" xfId="0" applyNumberFormat="1" applyFont="1" applyBorder="1" applyAlignment="1">
      <alignment horizontal="right" vertical="center"/>
    </xf>
    <xf numFmtId="166" fontId="8" fillId="0" borderId="1" xfId="0" applyNumberFormat="1" applyFont="1" applyBorder="1" applyAlignment="1">
      <alignment horizontal="right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165" fontId="5" fillId="0" borderId="1" xfId="0" applyNumberFormat="1" applyFont="1" applyBorder="1" applyAlignment="1">
      <alignment horizontal="right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" fontId="1" fillId="0" borderId="1" xfId="0" applyNumberFormat="1" applyFont="1" applyBorder="1"/>
    <xf numFmtId="2" fontId="0" fillId="2" borderId="0" xfId="0" applyNumberFormat="1" applyFill="1"/>
    <xf numFmtId="49" fontId="5" fillId="0" borderId="5" xfId="0" applyNumberFormat="1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right" vertical="center" wrapText="1"/>
    </xf>
    <xf numFmtId="166" fontId="3" fillId="0" borderId="1" xfId="0" applyNumberFormat="1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4" fontId="10" fillId="0" borderId="0" xfId="0" applyNumberFormat="1" applyFont="1" applyAlignment="1">
      <alignment horizontal="center"/>
    </xf>
    <xf numFmtId="0" fontId="6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166" fontId="3" fillId="0" borderId="4" xfId="0" applyNumberFormat="1" applyFont="1" applyBorder="1" applyAlignment="1">
      <alignment horizontal="right" vertical="center" wrapText="1"/>
    </xf>
    <xf numFmtId="166" fontId="5" fillId="0" borderId="4" xfId="0" applyNumberFormat="1" applyFont="1" applyBorder="1" applyAlignment="1">
      <alignment horizontal="right" vertical="center" wrapText="1"/>
    </xf>
    <xf numFmtId="49" fontId="5" fillId="0" borderId="2" xfId="0" applyNumberFormat="1" applyFont="1" applyBorder="1" applyAlignment="1">
      <alignment vertical="center" wrapText="1"/>
    </xf>
    <xf numFmtId="164" fontId="10" fillId="3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3" borderId="0" xfId="0" applyNumberFormat="1" applyFont="1" applyFill="1" applyAlignment="1">
      <alignment horizontal="center"/>
    </xf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right" vertical="center" wrapText="1"/>
    </xf>
    <xf numFmtId="165" fontId="5" fillId="0" borderId="7" xfId="0" applyNumberFormat="1" applyFont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right" vertical="center" wrapText="1"/>
    </xf>
    <xf numFmtId="165" fontId="3" fillId="3" borderId="1" xfId="0" applyNumberFormat="1" applyFont="1" applyFill="1" applyBorder="1" applyAlignment="1">
      <alignment vertical="center" wrapText="1"/>
    </xf>
    <xf numFmtId="165" fontId="3" fillId="9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5" fontId="3" fillId="8" borderId="1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vertical="center" wrapText="1"/>
    </xf>
    <xf numFmtId="165" fontId="5" fillId="9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5" fillId="3" borderId="4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right"/>
    </xf>
    <xf numFmtId="164" fontId="1" fillId="3" borderId="0" xfId="0" applyNumberFormat="1" applyFont="1" applyFill="1" applyAlignment="1">
      <alignment horizontal="right"/>
    </xf>
    <xf numFmtId="164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right" vertical="center"/>
    </xf>
    <xf numFmtId="164" fontId="1" fillId="3" borderId="0" xfId="0" applyNumberFormat="1" applyFont="1" applyFill="1" applyAlignment="1">
      <alignment horizontal="right" vertical="center"/>
    </xf>
    <xf numFmtId="0" fontId="1" fillId="2" borderId="0" xfId="0" applyFont="1" applyFill="1" applyAlignment="1">
      <alignment horizontal="right"/>
    </xf>
    <xf numFmtId="164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right" vertical="center"/>
    </xf>
    <xf numFmtId="164" fontId="1" fillId="2" borderId="0" xfId="0" applyNumberFormat="1" applyFont="1" applyFill="1" applyAlignment="1">
      <alignment horizontal="right" vertic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65" fontId="3" fillId="2" borderId="5" xfId="0" applyNumberFormat="1" applyFont="1" applyFill="1" applyBorder="1" applyAlignment="1">
      <alignment horizontal="center" vertical="center" wrapText="1"/>
    </xf>
    <xf numFmtId="165" fontId="3" fillId="2" borderId="6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right" vertical="center" wrapText="1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7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165" fontId="3" fillId="2" borderId="5" xfId="0" applyNumberFormat="1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164" fontId="10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left"/>
    </xf>
    <xf numFmtId="16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left"/>
    </xf>
    <xf numFmtId="164" fontId="1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center"/>
    </xf>
    <xf numFmtId="166" fontId="3" fillId="0" borderId="1" xfId="0" applyNumberFormat="1" applyFont="1" applyBorder="1" applyAlignment="1">
      <alignment horizontal="right" vertical="center" wrapText="1"/>
    </xf>
    <xf numFmtId="166" fontId="5" fillId="0" borderId="1" xfId="0" applyNumberFormat="1" applyFont="1" applyBorder="1" applyAlignment="1">
      <alignment horizontal="right" vertical="center" wrapText="1"/>
    </xf>
    <xf numFmtId="166" fontId="5" fillId="0" borderId="5" xfId="0" applyNumberFormat="1" applyFont="1" applyBorder="1" applyAlignment="1">
      <alignment horizontal="right" vertical="center"/>
    </xf>
    <xf numFmtId="166" fontId="5" fillId="0" borderId="7" xfId="0" applyNumberFormat="1" applyFont="1" applyBorder="1" applyAlignment="1">
      <alignment horizontal="right" vertical="center"/>
    </xf>
    <xf numFmtId="166" fontId="5" fillId="0" borderId="6" xfId="0" applyNumberFormat="1" applyFont="1" applyBorder="1" applyAlignment="1">
      <alignment horizontal="right" vertical="center"/>
    </xf>
    <xf numFmtId="0" fontId="0" fillId="0" borderId="6" xfId="0" applyBorder="1" applyAlignment="1">
      <alignment horizontal="center" vertical="center" wrapText="1"/>
    </xf>
    <xf numFmtId="166" fontId="3" fillId="0" borderId="5" xfId="0" applyNumberFormat="1" applyFont="1" applyBorder="1" applyAlignment="1">
      <alignment horizontal="right" vertical="center" wrapText="1"/>
    </xf>
    <xf numFmtId="166" fontId="3" fillId="0" borderId="6" xfId="0" applyNumberFormat="1" applyFont="1" applyBorder="1" applyAlignment="1">
      <alignment horizontal="right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1" fillId="2" borderId="0" xfId="0" applyFont="1" applyFill="1" applyAlignment="1"/>
    <xf numFmtId="164" fontId="1" fillId="0" borderId="0" xfId="0" applyNumberFormat="1" applyFont="1" applyAlignment="1"/>
    <xf numFmtId="0" fontId="14" fillId="0" borderId="0" xfId="0" applyFont="1"/>
    <xf numFmtId="164" fontId="15" fillId="0" borderId="0" xfId="0" applyNumberFormat="1" applyFont="1" applyAlignment="1">
      <alignment horizontal="left" wrapText="1"/>
    </xf>
    <xf numFmtId="164" fontId="15" fillId="0" borderId="0" xfId="0" applyNumberFormat="1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45;&#1082;&#1086;&#1089;&#1077;&#1088;&#1074;&#1110;&#1089;\2024\&#1041;&#1070;&#1044;&#1046;&#1045;&#1058;%202024\&#1060;&#1080;&#1085;%20&#1087;&#1083;&#1072;&#1085;\&#1063;&#1077;&#1088;&#1074;&#1077;&#1085;&#1100;\&#1092;&#1080;&#1085;%20&#1087;&#1083;&#1072;&#1085;%20&#1050;&#1055;%20&#1045;&#1050;&#1054;&#1057;&#1045;&#1056;&#1042;&#1030;&#1057;%202023%20&#1095;&#1077;&#1088;&#1074;&#1077;&#1085;&#110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45;&#1082;&#1086;&#1089;&#1077;&#1088;&#1074;&#1110;&#1089;\2024\&#1041;&#1070;&#1044;&#1046;&#1045;&#1058;%202024\&#1057;&#1042;&#1054;&#1044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ose/Desktop/&#1045;&#1082;&#1086;&#1089;&#1077;&#1088;&#1074;&#1110;&#1089;/2024/&#1060;&#1080;&#1085;%20&#1087;&#1083;&#1072;&#1085;/&#1060;&#1055;%202024%20&#8470;4%20&#1092;&#1086;&#1085;&#1090;&#1072;&#1085;&#1080;/&#1055;&#1056;&#1054;&#1058;&#1054;&#1050;&#1054;&#1051;&#1068;&#1053;&#1048;&#1049;%20&#1047;&#1084;&#1110;&#1085;&#1080;%20&#1060;&#1110;&#1085;%20&#1087;&#1083;&#1072;&#1085;%20&#1050;&#1055;%20&#1045;&#1050;&#1054;&#1057;&#1045;&#1056;&#1042;&#1030;&#1057;%20&#1085;&#1072;%202024%20&#1095;&#1077;&#1088;&#1074;&#1077;&#1085;&#1100;%20&#1087;&#1110;&#1096;&#1086;&#1093;&#1110;&#1076;&#1085;&#1110;%20&#1076;&#1086;&#1088;&#1110;&#1078;&#1082;&#1080;%20&#1092;&#1086;&#1085;&#1090;&#1072;&#1085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31">
          <cell r="E31">
            <v>30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БЩИЙ"/>
      <sheetName val="Тер"/>
      <sheetName val="Зов."/>
      <sheetName val="оп.З,О"/>
      <sheetName val="8340"/>
      <sheetName val="відлов"/>
      <sheetName val="Гр.Роб"/>
      <sheetName val="Свод"/>
      <sheetName val="Територія"/>
      <sheetName val="З.О"/>
      <sheetName val="О.З.О"/>
      <sheetName val="собаки"/>
      <sheetName val="квіти"/>
      <sheetName val="громад"/>
      <sheetName val="ФІН ПЛАН 2024"/>
      <sheetName val="ФП 2024 лютий"/>
      <sheetName val="ФП2023"/>
      <sheetName val="ФП20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29">
          <cell r="E29">
            <v>184.99999999999997</v>
          </cell>
        </row>
        <row r="56">
          <cell r="E56">
            <v>0</v>
          </cell>
        </row>
        <row r="86">
          <cell r="E86">
            <v>0</v>
          </cell>
        </row>
        <row r="89">
          <cell r="E89">
            <v>741.21830639999996</v>
          </cell>
        </row>
        <row r="90">
          <cell r="E90">
            <v>2042.8880736000001</v>
          </cell>
        </row>
        <row r="112">
          <cell r="E112">
            <v>0</v>
          </cell>
        </row>
      </sheetData>
      <sheetData sheetId="17" refreshError="1">
        <row r="47">
          <cell r="F47">
            <v>16568.125180000003</v>
          </cell>
        </row>
        <row r="55">
          <cell r="F55">
            <v>0</v>
          </cell>
        </row>
        <row r="58">
          <cell r="F58">
            <v>0</v>
          </cell>
        </row>
        <row r="73">
          <cell r="F73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</sheetNames>
    <sheetDataSet>
      <sheetData sheetId="0">
        <row r="61">
          <cell r="E61">
            <v>40805.299999999996</v>
          </cell>
        </row>
        <row r="115">
          <cell r="E115">
            <v>40793.108019999992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58"/>
  <sheetViews>
    <sheetView view="pageBreakPreview" topLeftCell="A52" zoomScaleNormal="70" zoomScaleSheetLayoutView="100" workbookViewId="0">
      <selection activeCell="E61" sqref="E61"/>
    </sheetView>
  </sheetViews>
  <sheetFormatPr defaultColWidth="8.85546875" defaultRowHeight="15" x14ac:dyDescent="0.25"/>
  <cols>
    <col min="1" max="1" width="30.28515625" customWidth="1"/>
    <col min="2" max="2" width="7.28515625" customWidth="1"/>
    <col min="3" max="3" width="10.7109375" style="12" bestFit="1" customWidth="1"/>
    <col min="4" max="4" width="10.7109375" style="12" customWidth="1"/>
    <col min="5" max="5" width="11.28515625" style="47" bestFit="1" customWidth="1"/>
    <col min="6" max="6" width="10" style="73" bestFit="1" customWidth="1"/>
    <col min="7" max="7" width="10.42578125" style="73" bestFit="1" customWidth="1"/>
    <col min="8" max="8" width="11.5703125" style="73" customWidth="1"/>
    <col min="9" max="9" width="12.5703125" style="73" customWidth="1"/>
    <col min="10" max="10" width="26.85546875" customWidth="1"/>
    <col min="11" max="11" width="16" customWidth="1"/>
    <col min="12" max="12" width="14.85546875" customWidth="1"/>
    <col min="14" max="14" width="6.85546875" customWidth="1"/>
    <col min="15" max="15" width="5.85546875" customWidth="1"/>
    <col min="16" max="16" width="2.7109375" customWidth="1"/>
    <col min="17" max="17" width="17.28515625" customWidth="1"/>
    <col min="19" max="19" width="11" bestFit="1" customWidth="1"/>
  </cols>
  <sheetData>
    <row r="1" spans="1:9" x14ac:dyDescent="0.25">
      <c r="A1" s="204"/>
      <c r="B1" s="204"/>
      <c r="C1" s="204"/>
      <c r="D1" s="204"/>
      <c r="E1" s="204"/>
      <c r="F1" s="205" t="s">
        <v>0</v>
      </c>
      <c r="G1" s="205"/>
      <c r="H1" s="205"/>
      <c r="I1" s="205"/>
    </row>
    <row r="2" spans="1:9" ht="15" customHeight="1" x14ac:dyDescent="0.25">
      <c r="A2" s="209"/>
      <c r="B2" s="209"/>
      <c r="C2" s="209"/>
      <c r="D2" s="209"/>
      <c r="E2" s="209"/>
      <c r="F2" s="210" t="s">
        <v>165</v>
      </c>
      <c r="G2" s="210"/>
      <c r="H2" s="210"/>
      <c r="I2" s="210"/>
    </row>
    <row r="3" spans="1:9" x14ac:dyDescent="0.25">
      <c r="A3" s="204"/>
      <c r="B3" s="204"/>
      <c r="C3" s="204"/>
      <c r="D3" s="204"/>
      <c r="E3" s="204"/>
      <c r="F3" s="205" t="s">
        <v>2</v>
      </c>
      <c r="G3" s="205"/>
      <c r="H3" s="205"/>
      <c r="I3" s="205"/>
    </row>
    <row r="4" spans="1:9" x14ac:dyDescent="0.25">
      <c r="A4" s="204"/>
      <c r="B4" s="204"/>
      <c r="C4" s="204"/>
      <c r="D4" s="204"/>
      <c r="E4" s="204"/>
      <c r="F4" s="205" t="s">
        <v>3</v>
      </c>
      <c r="G4" s="205"/>
      <c r="H4" s="205"/>
      <c r="I4" s="205"/>
    </row>
    <row r="5" spans="1:9" ht="16.5" customHeight="1" x14ac:dyDescent="0.25">
      <c r="A5" s="204"/>
      <c r="B5" s="204"/>
      <c r="C5" s="204"/>
      <c r="D5" s="204"/>
      <c r="E5" s="206" t="s">
        <v>4</v>
      </c>
      <c r="F5" s="206"/>
      <c r="G5" s="206"/>
      <c r="H5" s="206"/>
      <c r="I5" s="206"/>
    </row>
    <row r="6" spans="1:9" x14ac:dyDescent="0.25">
      <c r="A6" s="207"/>
      <c r="B6" s="207"/>
      <c r="C6" s="207"/>
      <c r="D6" s="207"/>
      <c r="E6" s="207"/>
      <c r="F6" s="207"/>
      <c r="G6" s="207"/>
      <c r="H6" s="207"/>
      <c r="I6" s="207"/>
    </row>
    <row r="7" spans="1:9" x14ac:dyDescent="0.25">
      <c r="A7" s="208"/>
      <c r="B7" s="208"/>
      <c r="C7" s="208"/>
      <c r="D7" s="208"/>
      <c r="E7" s="208"/>
      <c r="F7" s="208"/>
      <c r="G7" s="208"/>
      <c r="H7" s="208"/>
      <c r="I7" s="61" t="s">
        <v>5</v>
      </c>
    </row>
    <row r="8" spans="1:9" x14ac:dyDescent="0.25">
      <c r="A8" s="201" t="s">
        <v>6</v>
      </c>
      <c r="B8" s="202"/>
      <c r="C8" s="202"/>
      <c r="D8" s="202"/>
      <c r="E8" s="202"/>
      <c r="F8" s="202"/>
      <c r="G8" s="202"/>
      <c r="H8" s="203"/>
      <c r="I8" s="62">
        <v>23990212</v>
      </c>
    </row>
    <row r="9" spans="1:9" x14ac:dyDescent="0.25">
      <c r="A9" s="189"/>
      <c r="B9" s="189"/>
      <c r="C9" s="189"/>
      <c r="D9" s="189"/>
      <c r="E9" s="189"/>
      <c r="F9" s="189"/>
      <c r="G9" s="189"/>
      <c r="H9" s="189"/>
      <c r="I9" s="61"/>
    </row>
    <row r="10" spans="1:9" x14ac:dyDescent="0.25">
      <c r="A10" s="189"/>
      <c r="B10" s="189"/>
      <c r="C10" s="189"/>
      <c r="D10" s="189"/>
      <c r="E10" s="189"/>
      <c r="F10" s="189"/>
      <c r="G10" s="189"/>
      <c r="H10" s="189"/>
      <c r="I10" s="61"/>
    </row>
    <row r="11" spans="1:9" x14ac:dyDescent="0.25">
      <c r="A11" s="189" t="s">
        <v>7</v>
      </c>
      <c r="B11" s="189"/>
      <c r="C11" s="189"/>
      <c r="D11" s="189"/>
      <c r="E11" s="189"/>
      <c r="F11" s="189"/>
      <c r="G11" s="189"/>
      <c r="H11" s="189"/>
      <c r="I11" s="61"/>
    </row>
    <row r="12" spans="1:9" x14ac:dyDescent="0.25">
      <c r="A12" s="189" t="s">
        <v>8</v>
      </c>
      <c r="B12" s="189"/>
      <c r="C12" s="189"/>
      <c r="D12" s="189"/>
      <c r="E12" s="189"/>
      <c r="F12" s="189"/>
      <c r="G12" s="189"/>
      <c r="H12" s="189"/>
      <c r="I12" s="61"/>
    </row>
    <row r="13" spans="1:9" ht="28.5" customHeight="1" x14ac:dyDescent="0.25">
      <c r="A13" s="200" t="s">
        <v>9</v>
      </c>
      <c r="B13" s="200"/>
      <c r="C13" s="200"/>
      <c r="D13" s="200"/>
      <c r="E13" s="200"/>
      <c r="F13" s="200"/>
      <c r="G13" s="200"/>
      <c r="H13" s="200"/>
      <c r="I13" s="61"/>
    </row>
    <row r="14" spans="1:9" x14ac:dyDescent="0.25">
      <c r="A14" s="189" t="s">
        <v>10</v>
      </c>
      <c r="B14" s="189"/>
      <c r="C14" s="189"/>
      <c r="D14" s="189"/>
      <c r="E14" s="189"/>
      <c r="F14" s="189"/>
      <c r="G14" s="189"/>
      <c r="H14" s="189"/>
      <c r="I14" s="61"/>
    </row>
    <row r="15" spans="1:9" x14ac:dyDescent="0.25">
      <c r="A15" s="189" t="s">
        <v>11</v>
      </c>
      <c r="B15" s="189"/>
      <c r="C15" s="189"/>
      <c r="D15" s="189"/>
      <c r="E15" s="189"/>
      <c r="F15" s="189"/>
      <c r="G15" s="189"/>
      <c r="H15" s="189"/>
      <c r="I15" s="61" t="s">
        <v>12</v>
      </c>
    </row>
    <row r="16" spans="1:9" x14ac:dyDescent="0.25">
      <c r="A16" s="189" t="s">
        <v>13</v>
      </c>
      <c r="B16" s="189"/>
      <c r="C16" s="189"/>
      <c r="D16" s="189"/>
      <c r="E16" s="189"/>
      <c r="F16" s="189"/>
      <c r="G16" s="189"/>
      <c r="H16" s="189"/>
      <c r="I16" s="61"/>
    </row>
    <row r="17" spans="1:17" x14ac:dyDescent="0.25">
      <c r="A17" s="189" t="s">
        <v>14</v>
      </c>
      <c r="B17" s="189"/>
      <c r="C17" s="189"/>
      <c r="D17" s="189"/>
      <c r="E17" s="189"/>
      <c r="F17" s="189"/>
      <c r="G17" s="189"/>
      <c r="H17" s="189"/>
      <c r="I17" s="61"/>
    </row>
    <row r="18" spans="1:17" x14ac:dyDescent="0.25">
      <c r="A18" s="199" t="s">
        <v>15</v>
      </c>
      <c r="B18" s="199"/>
      <c r="C18" s="199"/>
      <c r="D18" s="199"/>
      <c r="E18" s="199"/>
      <c r="F18" s="199"/>
      <c r="G18" s="199"/>
      <c r="H18" s="199"/>
      <c r="I18" s="61"/>
    </row>
    <row r="19" spans="1:17" ht="28.5" customHeight="1" x14ac:dyDescent="0.25">
      <c r="A19" s="200" t="s">
        <v>16</v>
      </c>
      <c r="B19" s="189"/>
      <c r="C19" s="189"/>
      <c r="D19" s="189"/>
      <c r="E19" s="189"/>
      <c r="F19" s="189"/>
      <c r="G19" s="189"/>
      <c r="H19" s="189"/>
      <c r="I19" s="61"/>
    </row>
    <row r="20" spans="1:17" x14ac:dyDescent="0.25">
      <c r="A20" s="189" t="s">
        <v>17</v>
      </c>
      <c r="B20" s="189"/>
      <c r="C20" s="189"/>
      <c r="D20" s="189"/>
      <c r="E20" s="189"/>
      <c r="F20" s="189"/>
      <c r="G20" s="189"/>
      <c r="H20" s="189"/>
      <c r="I20" s="61"/>
    </row>
    <row r="21" spans="1:17" ht="27" customHeight="1" x14ac:dyDescent="0.25">
      <c r="A21" s="161" t="s">
        <v>181</v>
      </c>
      <c r="B21" s="161"/>
      <c r="C21" s="161"/>
      <c r="D21" s="161"/>
      <c r="E21" s="161"/>
      <c r="F21" s="161"/>
      <c r="G21" s="161"/>
      <c r="H21" s="161"/>
      <c r="I21" s="161"/>
    </row>
    <row r="22" spans="1:17" ht="15" customHeight="1" x14ac:dyDescent="0.25">
      <c r="A22" s="190" t="s">
        <v>168</v>
      </c>
      <c r="B22" s="191"/>
      <c r="C22" s="191"/>
      <c r="D22" s="191"/>
      <c r="E22" s="191"/>
      <c r="F22" s="191"/>
      <c r="G22" s="191"/>
      <c r="H22" s="191"/>
      <c r="I22" s="192"/>
    </row>
    <row r="23" spans="1:17" ht="18.75" customHeight="1" x14ac:dyDescent="0.25">
      <c r="A23" s="190" t="s">
        <v>18</v>
      </c>
      <c r="B23" s="191"/>
      <c r="C23" s="191"/>
      <c r="D23" s="191"/>
      <c r="E23" s="191"/>
      <c r="F23" s="191"/>
      <c r="G23" s="191"/>
      <c r="H23" s="191"/>
      <c r="I23" s="192"/>
    </row>
    <row r="24" spans="1:17" x14ac:dyDescent="0.25">
      <c r="A24" s="161" t="s">
        <v>19</v>
      </c>
      <c r="B24" s="161"/>
      <c r="C24" s="161"/>
      <c r="D24" s="161"/>
      <c r="E24" s="193"/>
      <c r="F24" s="161"/>
      <c r="G24" s="161"/>
      <c r="H24" s="161"/>
      <c r="I24" s="161"/>
    </row>
    <row r="25" spans="1:17" x14ac:dyDescent="0.25">
      <c r="A25" s="194"/>
      <c r="B25" s="194" t="s">
        <v>20</v>
      </c>
      <c r="C25" s="195" t="s">
        <v>21</v>
      </c>
      <c r="D25" s="196" t="s">
        <v>21</v>
      </c>
      <c r="E25" s="37" t="s">
        <v>22</v>
      </c>
      <c r="F25" s="197" t="s">
        <v>23</v>
      </c>
      <c r="G25" s="198"/>
      <c r="H25" s="198"/>
      <c r="I25" s="198"/>
    </row>
    <row r="26" spans="1:17" x14ac:dyDescent="0.25">
      <c r="A26" s="194"/>
      <c r="B26" s="194"/>
      <c r="C26" s="195"/>
      <c r="D26" s="196"/>
      <c r="E26" s="38" t="s">
        <v>24</v>
      </c>
      <c r="F26" s="197"/>
      <c r="G26" s="198"/>
      <c r="H26" s="198"/>
      <c r="I26" s="198"/>
    </row>
    <row r="27" spans="1:17" ht="51" x14ac:dyDescent="0.25">
      <c r="A27" s="194"/>
      <c r="B27" s="194"/>
      <c r="C27" s="2" t="s">
        <v>171</v>
      </c>
      <c r="D27" s="2" t="s">
        <v>170</v>
      </c>
      <c r="E27" s="38" t="s">
        <v>169</v>
      </c>
      <c r="F27" s="63" t="s">
        <v>25</v>
      </c>
      <c r="G27" s="63" t="s">
        <v>26</v>
      </c>
      <c r="H27" s="63" t="s">
        <v>27</v>
      </c>
      <c r="I27" s="63" t="s">
        <v>28</v>
      </c>
      <c r="L27" s="84">
        <v>1</v>
      </c>
      <c r="M27" s="84">
        <v>2</v>
      </c>
      <c r="N27" s="84">
        <v>3</v>
      </c>
      <c r="O27" s="84">
        <v>4</v>
      </c>
      <c r="P27" s="84"/>
      <c r="Q27" s="84"/>
    </row>
    <row r="28" spans="1:17" x14ac:dyDescent="0.25">
      <c r="A28" s="183" t="s">
        <v>29</v>
      </c>
      <c r="B28" s="183"/>
      <c r="C28" s="183"/>
      <c r="D28" s="183"/>
      <c r="E28" s="183"/>
      <c r="F28" s="183"/>
      <c r="G28" s="183"/>
      <c r="H28" s="183"/>
      <c r="I28" s="183"/>
      <c r="L28" s="84"/>
      <c r="M28" s="84"/>
      <c r="N28" s="84"/>
      <c r="O28" s="84"/>
      <c r="P28" s="84"/>
      <c r="Q28" s="84"/>
    </row>
    <row r="29" spans="1:17" ht="25.5" x14ac:dyDescent="0.25">
      <c r="A29" s="3" t="s">
        <v>30</v>
      </c>
      <c r="B29" s="186" t="s">
        <v>31</v>
      </c>
      <c r="C29" s="4">
        <f>SUM(C31:C35)</f>
        <v>351.83300000000003</v>
      </c>
      <c r="D29" s="4">
        <f>SUM(D31:D35)</f>
        <v>268</v>
      </c>
      <c r="E29" s="39">
        <f>SUM(F29:I29)</f>
        <v>304.2</v>
      </c>
      <c r="F29" s="64">
        <f>SUM(F31:F35)</f>
        <v>88</v>
      </c>
      <c r="G29" s="64">
        <f>SUM(G31:G35)</f>
        <v>110.2</v>
      </c>
      <c r="H29" s="64">
        <f>SUM(H31:H35)</f>
        <v>48</v>
      </c>
      <c r="I29" s="64">
        <f>SUM(I31:I35)</f>
        <v>58</v>
      </c>
      <c r="J29" s="6">
        <f>E29-316</f>
        <v>-11.800000000000011</v>
      </c>
      <c r="L29" s="84"/>
      <c r="M29" s="84"/>
      <c r="N29" s="84"/>
      <c r="O29" s="84"/>
      <c r="P29" s="84"/>
      <c r="Q29" s="84"/>
    </row>
    <row r="30" spans="1:17" x14ac:dyDescent="0.25">
      <c r="A30" s="7" t="s">
        <v>32</v>
      </c>
      <c r="B30" s="187"/>
      <c r="C30" s="4"/>
      <c r="D30" s="4"/>
      <c r="E30" s="39"/>
      <c r="F30" s="64"/>
      <c r="G30" s="64"/>
      <c r="H30" s="64"/>
      <c r="I30" s="64"/>
      <c r="J30" s="6"/>
      <c r="L30" s="84"/>
      <c r="M30" s="84"/>
      <c r="N30" s="84"/>
      <c r="O30" s="84"/>
      <c r="P30" s="84"/>
      <c r="Q30" s="84"/>
    </row>
    <row r="31" spans="1:17" ht="27.75" customHeight="1" x14ac:dyDescent="0.25">
      <c r="A31" s="3" t="s">
        <v>33</v>
      </c>
      <c r="B31" s="187"/>
      <c r="C31" s="48">
        <v>28.111000000000001</v>
      </c>
      <c r="D31" s="4">
        <f>[1]Лист1!$E$31</f>
        <v>30</v>
      </c>
      <c r="E31" s="39">
        <f>SUM(F31:I31)</f>
        <v>28</v>
      </c>
      <c r="F31" s="80">
        <v>7</v>
      </c>
      <c r="G31" s="80">
        <v>7</v>
      </c>
      <c r="H31" s="80">
        <v>7</v>
      </c>
      <c r="I31" s="80">
        <v>7</v>
      </c>
      <c r="J31" s="6"/>
      <c r="K31" s="8"/>
      <c r="L31" s="84"/>
      <c r="M31" s="84"/>
      <c r="N31" s="84"/>
      <c r="O31" s="84"/>
      <c r="P31" s="84"/>
      <c r="Q31" s="84"/>
    </row>
    <row r="32" spans="1:17" ht="16.5" customHeight="1" x14ac:dyDescent="0.25">
      <c r="A32" s="3" t="s">
        <v>34</v>
      </c>
      <c r="B32" s="187"/>
      <c r="C32" s="48">
        <v>4.8499999999999996</v>
      </c>
      <c r="D32" s="4">
        <v>3</v>
      </c>
      <c r="E32" s="39">
        <f>SUM(F32:I32)</f>
        <v>2</v>
      </c>
      <c r="F32" s="80">
        <v>0.5</v>
      </c>
      <c r="G32" s="80">
        <v>0.5</v>
      </c>
      <c r="H32" s="80">
        <v>0.5</v>
      </c>
      <c r="I32" s="80">
        <v>0.5</v>
      </c>
      <c r="J32" s="6"/>
      <c r="K32" s="8"/>
      <c r="L32" s="84"/>
      <c r="M32" s="84"/>
      <c r="N32" s="84"/>
      <c r="O32" s="84"/>
      <c r="P32" s="84"/>
      <c r="Q32" s="84"/>
    </row>
    <row r="33" spans="1:17" ht="16.5" customHeight="1" x14ac:dyDescent="0.25">
      <c r="A33" s="3" t="s">
        <v>35</v>
      </c>
      <c r="B33" s="187"/>
      <c r="C33" s="48">
        <v>163.36500000000001</v>
      </c>
      <c r="D33" s="4">
        <v>110</v>
      </c>
      <c r="E33" s="39">
        <f>SUM(F33:I33)</f>
        <v>141.19999999999999</v>
      </c>
      <c r="F33" s="80">
        <v>58.5</v>
      </c>
      <c r="G33" s="80">
        <v>37.700000000000003</v>
      </c>
      <c r="H33" s="80">
        <v>24.5</v>
      </c>
      <c r="I33" s="80">
        <v>20.5</v>
      </c>
      <c r="J33" s="6">
        <v>7.7</v>
      </c>
      <c r="K33" s="8"/>
      <c r="L33" s="84"/>
      <c r="M33" s="84"/>
      <c r="N33" s="84"/>
      <c r="O33" s="84"/>
      <c r="P33" s="84"/>
      <c r="Q33" s="84"/>
    </row>
    <row r="34" spans="1:17" ht="16.5" customHeight="1" x14ac:dyDescent="0.25">
      <c r="A34" s="3" t="s">
        <v>36</v>
      </c>
      <c r="B34" s="187"/>
      <c r="C34" s="48">
        <v>9.5079999999999991</v>
      </c>
      <c r="D34" s="4">
        <v>10</v>
      </c>
      <c r="E34" s="39">
        <f>SUM(F34:I34)</f>
        <v>17</v>
      </c>
      <c r="F34" s="80">
        <v>0</v>
      </c>
      <c r="G34" s="80">
        <v>15</v>
      </c>
      <c r="H34" s="80">
        <v>2</v>
      </c>
      <c r="I34" s="80">
        <v>0</v>
      </c>
      <c r="J34" s="6"/>
      <c r="K34" s="8"/>
      <c r="L34" s="84"/>
      <c r="M34" s="84"/>
      <c r="N34" s="84"/>
      <c r="O34" s="84"/>
      <c r="P34" s="84"/>
      <c r="Q34" s="84"/>
    </row>
    <row r="35" spans="1:17" ht="45.75" customHeight="1" x14ac:dyDescent="0.25">
      <c r="A35" s="3" t="s">
        <v>37</v>
      </c>
      <c r="B35" s="188"/>
      <c r="C35" s="48">
        <v>145.999</v>
      </c>
      <c r="D35" s="4">
        <v>115</v>
      </c>
      <c r="E35" s="39">
        <f>SUM(F35:I35)</f>
        <v>116</v>
      </c>
      <c r="F35" s="80">
        <v>22</v>
      </c>
      <c r="G35" s="80">
        <v>50</v>
      </c>
      <c r="H35" s="80">
        <v>14</v>
      </c>
      <c r="I35" s="80">
        <v>30</v>
      </c>
      <c r="J35" s="6"/>
      <c r="K35" s="8"/>
      <c r="L35" s="84"/>
      <c r="M35" s="84"/>
      <c r="N35" s="84"/>
      <c r="O35" s="84"/>
      <c r="P35" s="84"/>
      <c r="Q35" s="84"/>
    </row>
    <row r="36" spans="1:17" x14ac:dyDescent="0.25">
      <c r="A36" s="3" t="s">
        <v>38</v>
      </c>
      <c r="B36" s="9"/>
      <c r="C36" s="48">
        <v>11.749000000000001</v>
      </c>
      <c r="D36" s="4"/>
      <c r="E36" s="39"/>
      <c r="F36" s="49"/>
      <c r="G36" s="49"/>
      <c r="H36" s="49"/>
      <c r="I36" s="49"/>
      <c r="J36" s="6"/>
      <c r="K36" s="8"/>
      <c r="L36" s="84"/>
      <c r="M36" s="84"/>
      <c r="N36" s="84"/>
      <c r="O36" s="84"/>
      <c r="P36" s="84"/>
      <c r="Q36" s="84"/>
    </row>
    <row r="37" spans="1:17" ht="15.75" customHeight="1" x14ac:dyDescent="0.25">
      <c r="A37" s="3" t="s">
        <v>39</v>
      </c>
      <c r="B37" s="10" t="s">
        <v>40</v>
      </c>
      <c r="C37" s="4">
        <v>0</v>
      </c>
      <c r="D37" s="4">
        <v>0</v>
      </c>
      <c r="E37" s="39">
        <f>SUM(F37:I37)</f>
        <v>0</v>
      </c>
      <c r="F37" s="64">
        <v>0</v>
      </c>
      <c r="G37" s="64">
        <v>0</v>
      </c>
      <c r="H37" s="64">
        <v>0</v>
      </c>
      <c r="I37" s="64">
        <v>0</v>
      </c>
      <c r="J37" s="6"/>
      <c r="K37" s="8"/>
      <c r="L37" s="84"/>
      <c r="M37" s="84"/>
      <c r="N37" s="84"/>
      <c r="O37" s="84"/>
      <c r="P37" s="84"/>
      <c r="Q37" s="84"/>
    </row>
    <row r="38" spans="1:17" ht="21.75" customHeight="1" x14ac:dyDescent="0.25">
      <c r="A38" s="3" t="s">
        <v>41</v>
      </c>
      <c r="B38" s="10" t="s">
        <v>42</v>
      </c>
      <c r="C38" s="4">
        <v>0</v>
      </c>
      <c r="D38" s="4">
        <v>0</v>
      </c>
      <c r="E38" s="39">
        <v>0</v>
      </c>
      <c r="F38" s="49">
        <v>0</v>
      </c>
      <c r="G38" s="49">
        <v>0</v>
      </c>
      <c r="H38" s="49">
        <v>0</v>
      </c>
      <c r="I38" s="49">
        <v>0</v>
      </c>
      <c r="J38" s="6"/>
      <c r="K38" s="8"/>
      <c r="L38" s="84"/>
      <c r="M38" s="84"/>
      <c r="N38" s="84"/>
      <c r="O38" s="84"/>
      <c r="P38" s="84"/>
      <c r="Q38" s="84"/>
    </row>
    <row r="39" spans="1:17" ht="16.5" customHeight="1" x14ac:dyDescent="0.25">
      <c r="A39" s="176" t="s">
        <v>43</v>
      </c>
      <c r="B39" s="175" t="s">
        <v>44</v>
      </c>
      <c r="C39" s="165">
        <v>0</v>
      </c>
      <c r="D39" s="165">
        <v>0</v>
      </c>
      <c r="E39" s="168">
        <v>0</v>
      </c>
      <c r="F39" s="185">
        <v>0</v>
      </c>
      <c r="G39" s="185">
        <v>0</v>
      </c>
      <c r="H39" s="185">
        <v>0</v>
      </c>
      <c r="I39" s="185">
        <v>0</v>
      </c>
      <c r="J39" s="6"/>
      <c r="K39" s="8"/>
      <c r="L39" s="84"/>
      <c r="M39" s="84"/>
      <c r="N39" s="84"/>
      <c r="O39" s="84"/>
      <c r="P39" s="84"/>
      <c r="Q39" s="84"/>
    </row>
    <row r="40" spans="1:17" ht="9.75" customHeight="1" x14ac:dyDescent="0.25">
      <c r="A40" s="176"/>
      <c r="B40" s="175"/>
      <c r="C40" s="165"/>
      <c r="D40" s="165"/>
      <c r="E40" s="168"/>
      <c r="F40" s="185"/>
      <c r="G40" s="185"/>
      <c r="H40" s="185"/>
      <c r="I40" s="185"/>
      <c r="J40" s="6"/>
      <c r="K40" s="8"/>
      <c r="L40" s="84"/>
      <c r="M40" s="84"/>
      <c r="N40" s="84"/>
      <c r="O40" s="84"/>
      <c r="P40" s="84"/>
      <c r="Q40" s="84"/>
    </row>
    <row r="41" spans="1:17" ht="21" customHeight="1" x14ac:dyDescent="0.25">
      <c r="A41" s="183" t="s">
        <v>45</v>
      </c>
      <c r="B41" s="175" t="s">
        <v>46</v>
      </c>
      <c r="C41" s="165">
        <f t="shared" ref="C41:H41" si="0">C29</f>
        <v>351.83300000000003</v>
      </c>
      <c r="D41" s="165">
        <f t="shared" si="0"/>
        <v>268</v>
      </c>
      <c r="E41" s="184">
        <f t="shared" si="0"/>
        <v>304.2</v>
      </c>
      <c r="F41" s="185">
        <f t="shared" si="0"/>
        <v>88</v>
      </c>
      <c r="G41" s="185">
        <f t="shared" si="0"/>
        <v>110.2</v>
      </c>
      <c r="H41" s="185">
        <f t="shared" si="0"/>
        <v>48</v>
      </c>
      <c r="I41" s="185">
        <f t="shared" ref="I41" si="1">I29</f>
        <v>58</v>
      </c>
      <c r="J41" s="6"/>
      <c r="K41" s="8"/>
      <c r="L41" s="84"/>
      <c r="M41" s="84"/>
      <c r="N41" s="84"/>
      <c r="O41" s="84"/>
      <c r="P41" s="84"/>
      <c r="Q41" s="84"/>
    </row>
    <row r="42" spans="1:17" ht="30.6" customHeight="1" x14ac:dyDescent="0.25">
      <c r="A42" s="183"/>
      <c r="B42" s="175"/>
      <c r="C42" s="165"/>
      <c r="D42" s="165"/>
      <c r="E42" s="184"/>
      <c r="F42" s="185"/>
      <c r="G42" s="185"/>
      <c r="H42" s="185"/>
      <c r="I42" s="185"/>
      <c r="J42" s="6"/>
      <c r="K42" s="8"/>
      <c r="L42" s="84"/>
      <c r="M42" s="84"/>
      <c r="N42" s="84"/>
      <c r="O42" s="84"/>
      <c r="P42" s="84"/>
      <c r="Q42" s="84"/>
    </row>
    <row r="43" spans="1:17" ht="14.25" customHeight="1" x14ac:dyDescent="0.25">
      <c r="A43" s="3" t="s">
        <v>47</v>
      </c>
      <c r="B43" s="175" t="s">
        <v>48</v>
      </c>
      <c r="C43" s="165">
        <v>139.78</v>
      </c>
      <c r="D43" s="165">
        <v>194.49700000000001</v>
      </c>
      <c r="E43" s="168">
        <f>SUM(F43:I44)</f>
        <v>204.01599999999999</v>
      </c>
      <c r="F43" s="177">
        <v>51.003999999999998</v>
      </c>
      <c r="G43" s="177">
        <v>51.003999999999998</v>
      </c>
      <c r="H43" s="177">
        <v>51.003999999999998</v>
      </c>
      <c r="I43" s="177">
        <v>51.003999999999998</v>
      </c>
      <c r="J43" s="6"/>
      <c r="K43" s="8"/>
      <c r="L43" s="84"/>
      <c r="M43" s="84"/>
      <c r="N43" s="84"/>
      <c r="O43" s="84"/>
      <c r="P43" s="84"/>
      <c r="Q43" s="84"/>
    </row>
    <row r="44" spans="1:17" ht="17.25" customHeight="1" x14ac:dyDescent="0.25">
      <c r="A44" s="3" t="s">
        <v>49</v>
      </c>
      <c r="B44" s="175"/>
      <c r="C44" s="165"/>
      <c r="D44" s="165"/>
      <c r="E44" s="168"/>
      <c r="F44" s="177"/>
      <c r="G44" s="177"/>
      <c r="H44" s="177"/>
      <c r="I44" s="177"/>
      <c r="J44" s="6"/>
      <c r="K44" s="8"/>
      <c r="L44" s="84"/>
      <c r="M44" s="84"/>
      <c r="N44" s="84"/>
      <c r="O44" s="84"/>
      <c r="P44" s="84"/>
      <c r="Q44" s="84"/>
    </row>
    <row r="45" spans="1:17" ht="21" customHeight="1" x14ac:dyDescent="0.25">
      <c r="A45" s="3" t="s">
        <v>50</v>
      </c>
      <c r="B45" s="10" t="s">
        <v>51</v>
      </c>
      <c r="C45" s="49" t="e">
        <f>C47+C51+C54+C57</f>
        <v>#REF!</v>
      </c>
      <c r="D45" s="49" t="e">
        <f>D47+D51+D54+D57</f>
        <v>#REF!</v>
      </c>
      <c r="E45" s="39">
        <f>SUM(F45:I45)</f>
        <v>39396.663999999997</v>
      </c>
      <c r="F45" s="64">
        <f>F47+F51+F54+F57</f>
        <v>10445.992</v>
      </c>
      <c r="G45" s="64">
        <f>G47+G51+G54+G57</f>
        <v>11149.584999999999</v>
      </c>
      <c r="H45" s="64">
        <f>H47+H51+H54+H57</f>
        <v>9449.2580000000016</v>
      </c>
      <c r="I45" s="64">
        <f>I47+I51+I54+I57</f>
        <v>8351.8289999999997</v>
      </c>
      <c r="J45" s="6"/>
      <c r="K45" s="8"/>
      <c r="L45" s="84"/>
      <c r="M45" s="84"/>
      <c r="N45" s="84"/>
      <c r="O45" s="84"/>
      <c r="P45" s="84"/>
      <c r="Q45" s="84"/>
    </row>
    <row r="46" spans="1:17" ht="30" customHeight="1" x14ac:dyDescent="0.25">
      <c r="A46" s="3" t="s">
        <v>52</v>
      </c>
      <c r="B46" s="178" t="s">
        <v>53</v>
      </c>
      <c r="C46" s="4"/>
      <c r="D46" s="4"/>
      <c r="E46" s="39"/>
      <c r="F46" s="64"/>
      <c r="G46" s="49"/>
      <c r="H46" s="49"/>
      <c r="I46" s="65"/>
      <c r="J46" s="6"/>
      <c r="K46" s="8"/>
      <c r="L46" s="84"/>
      <c r="M46" s="84"/>
      <c r="N46" s="84"/>
      <c r="O46" s="84"/>
      <c r="P46" s="84"/>
      <c r="Q46" s="84"/>
    </row>
    <row r="47" spans="1:17" ht="77.25" customHeight="1" x14ac:dyDescent="0.25">
      <c r="A47" s="7" t="s">
        <v>54</v>
      </c>
      <c r="B47" s="179"/>
      <c r="C47" s="4">
        <f>C48+C50</f>
        <v>20524.100999999999</v>
      </c>
      <c r="D47" s="4">
        <f>D48+D50</f>
        <v>29711.84</v>
      </c>
      <c r="E47" s="39">
        <f>F47+G47+H47+I47</f>
        <v>38076.828000000001</v>
      </c>
      <c r="F47" s="82">
        <f>F48+F50</f>
        <v>10404.962</v>
      </c>
      <c r="G47" s="82">
        <f>G48+G50</f>
        <v>10634.477999999999</v>
      </c>
      <c r="H47" s="82">
        <f>H48+H50</f>
        <v>8685.5590000000011</v>
      </c>
      <c r="I47" s="82">
        <f>I48+I50</f>
        <v>8351.8289999999997</v>
      </c>
      <c r="J47" s="88">
        <f>G47-G80</f>
        <v>4.000000080850441E-5</v>
      </c>
      <c r="K47" s="88"/>
      <c r="L47" s="88"/>
      <c r="M47" s="88"/>
      <c r="N47" s="84"/>
      <c r="O47" s="84"/>
      <c r="P47" s="84"/>
      <c r="Q47" s="73"/>
    </row>
    <row r="48" spans="1:17" ht="19.5" customHeight="1" x14ac:dyDescent="0.25">
      <c r="A48" s="7" t="s">
        <v>55</v>
      </c>
      <c r="B48" s="179"/>
      <c r="C48" s="4">
        <v>20524.100999999999</v>
      </c>
      <c r="D48" s="4">
        <v>24751.84</v>
      </c>
      <c r="E48" s="40">
        <f>F48+G48+H48+I48</f>
        <v>37674.782999999996</v>
      </c>
      <c r="F48" s="81">
        <f>1327.74+3893+1752.265+68.213+2961.702-0.003</f>
        <v>10002.916999999999</v>
      </c>
      <c r="G48" s="40">
        <f>416.299+110.905+1536.004+4397.548+10.212+1628.243+45.416+2433.951+55.9</f>
        <v>10634.477999999999</v>
      </c>
      <c r="H48" s="81">
        <f>141.87+1560.873+4365.266+72.72+42.885+2473.997+27.948</f>
        <v>8685.5590000000011</v>
      </c>
      <c r="I48" s="81">
        <f>1327.74+3893+96.216+2784.773+250.1</f>
        <v>8351.8289999999997</v>
      </c>
      <c r="J48" s="6">
        <f>G48-G81</f>
        <v>4.000000080850441E-5</v>
      </c>
      <c r="K48" s="13" t="s">
        <v>182</v>
      </c>
      <c r="L48" s="84"/>
      <c r="M48" s="84"/>
      <c r="N48" s="84"/>
      <c r="O48" s="84"/>
      <c r="P48" s="84"/>
      <c r="Q48" s="84"/>
    </row>
    <row r="49" spans="1:21" ht="28.5" customHeight="1" x14ac:dyDescent="0.25">
      <c r="A49" s="3" t="s">
        <v>56</v>
      </c>
      <c r="B49" s="179"/>
      <c r="C49" s="4"/>
      <c r="D49" s="4"/>
      <c r="E49" s="39"/>
      <c r="F49" s="64"/>
      <c r="G49" s="49"/>
      <c r="H49" s="49"/>
      <c r="I49" s="65"/>
      <c r="J49" s="6">
        <f>H48-H81</f>
        <v>-1.9999999494757503E-5</v>
      </c>
      <c r="K49" s="8">
        <f>I48-I81</f>
        <v>9.999999929277692E-5</v>
      </c>
      <c r="L49" s="84"/>
      <c r="M49" s="84"/>
      <c r="N49" s="84"/>
      <c r="O49" s="84"/>
      <c r="P49" s="84"/>
      <c r="Q49" s="84"/>
    </row>
    <row r="50" spans="1:21" ht="20.25" customHeight="1" x14ac:dyDescent="0.25">
      <c r="A50" s="3" t="s">
        <v>57</v>
      </c>
      <c r="B50" s="179"/>
      <c r="C50" s="4">
        <v>0</v>
      </c>
      <c r="D50" s="4">
        <v>4960</v>
      </c>
      <c r="E50" s="40">
        <f>F50+G50+H50+I50</f>
        <v>402.04500000000002</v>
      </c>
      <c r="F50" s="88">
        <v>402.04500000000002</v>
      </c>
      <c r="G50" s="49">
        <v>0</v>
      </c>
      <c r="H50" s="49">
        <v>0</v>
      </c>
      <c r="I50" s="49">
        <v>0</v>
      </c>
      <c r="J50" s="6"/>
      <c r="K50" s="8"/>
      <c r="L50" s="84"/>
      <c r="M50" s="84"/>
      <c r="N50" s="84"/>
      <c r="O50" s="84"/>
      <c r="P50" s="84"/>
      <c r="Q50" s="84"/>
    </row>
    <row r="51" spans="1:21" ht="80.25" customHeight="1" x14ac:dyDescent="0.25">
      <c r="A51" s="7" t="s">
        <v>58</v>
      </c>
      <c r="B51" s="179"/>
      <c r="C51" s="4">
        <f>C52+C53</f>
        <v>179.703</v>
      </c>
      <c r="D51" s="4">
        <f>D52+D53</f>
        <v>249.447</v>
      </c>
      <c r="E51" s="39">
        <f>SUM(F51:I51)</f>
        <v>414.77</v>
      </c>
      <c r="F51" s="64">
        <f>F52+F53</f>
        <v>0</v>
      </c>
      <c r="G51" s="82">
        <f>G52+G53</f>
        <v>414.77</v>
      </c>
      <c r="H51" s="64">
        <f>H52+H53</f>
        <v>0</v>
      </c>
      <c r="I51" s="64">
        <f>I52+I53</f>
        <v>0</v>
      </c>
      <c r="J51" s="6"/>
      <c r="K51" s="8"/>
      <c r="L51" s="84"/>
      <c r="M51" s="84"/>
      <c r="N51" s="84"/>
      <c r="O51" s="84"/>
      <c r="P51" s="84"/>
      <c r="Q51" s="84"/>
    </row>
    <row r="52" spans="1:21" ht="26.25" customHeight="1" x14ac:dyDescent="0.25">
      <c r="A52" s="3" t="s">
        <v>59</v>
      </c>
      <c r="B52" s="179"/>
      <c r="C52" s="4">
        <v>179.703</v>
      </c>
      <c r="D52" s="4">
        <v>210.34700000000001</v>
      </c>
      <c r="E52" s="40">
        <f>SUM(F52:I52)</f>
        <v>414.77</v>
      </c>
      <c r="F52" s="49">
        <v>0</v>
      </c>
      <c r="G52" s="75">
        <v>414.77</v>
      </c>
      <c r="H52" s="49"/>
      <c r="I52" s="49">
        <v>0</v>
      </c>
      <c r="J52" s="6"/>
      <c r="K52" s="8"/>
      <c r="L52" s="84"/>
      <c r="M52" s="84"/>
      <c r="N52" s="84"/>
      <c r="O52" s="84"/>
      <c r="P52" s="84"/>
      <c r="Q52" s="84"/>
    </row>
    <row r="53" spans="1:21" ht="42" customHeight="1" x14ac:dyDescent="0.25">
      <c r="A53" s="3" t="s">
        <v>60</v>
      </c>
      <c r="B53" s="179"/>
      <c r="C53" s="4">
        <f>[2]ФП2022!F55</f>
        <v>0</v>
      </c>
      <c r="D53" s="40">
        <v>39.1</v>
      </c>
      <c r="E53" s="40">
        <f>SUM(F53:I53)</f>
        <v>0</v>
      </c>
      <c r="F53" s="49">
        <v>0</v>
      </c>
      <c r="G53" s="49">
        <v>0</v>
      </c>
      <c r="H53" s="49"/>
      <c r="I53" s="49">
        <v>0</v>
      </c>
      <c r="J53" s="6"/>
      <c r="K53" s="8"/>
      <c r="L53" s="84"/>
      <c r="M53" s="84"/>
      <c r="N53" s="84"/>
      <c r="O53" s="84"/>
      <c r="P53" s="84"/>
      <c r="Q53" s="84"/>
    </row>
    <row r="54" spans="1:21" ht="67.5" customHeight="1" x14ac:dyDescent="0.25">
      <c r="A54" s="50" t="s">
        <v>61</v>
      </c>
      <c r="B54" s="179"/>
      <c r="C54" s="4">
        <f>C55+C56</f>
        <v>129.55472</v>
      </c>
      <c r="D54" s="4">
        <f>D55+D56</f>
        <v>27.986999999999998</v>
      </c>
      <c r="E54" s="39">
        <f>F54+G54+H54+I54</f>
        <v>183.56600000000003</v>
      </c>
      <c r="F54" s="87">
        <f>F55+F56</f>
        <v>41.03</v>
      </c>
      <c r="G54" s="87">
        <f t="shared" ref="G54:I54" si="2">G55+G56</f>
        <v>100.337</v>
      </c>
      <c r="H54" s="87">
        <f t="shared" si="2"/>
        <v>42.198999999999998</v>
      </c>
      <c r="I54" s="87">
        <f t="shared" si="2"/>
        <v>0</v>
      </c>
      <c r="J54" s="6"/>
      <c r="K54" s="8"/>
      <c r="L54" s="84"/>
      <c r="M54" s="84"/>
      <c r="N54" s="84"/>
      <c r="O54" s="84"/>
      <c r="P54" s="84"/>
      <c r="Q54" s="84"/>
    </row>
    <row r="55" spans="1:21" ht="20.25" customHeight="1" x14ac:dyDescent="0.25">
      <c r="A55" s="7" t="s">
        <v>55</v>
      </c>
      <c r="B55" s="179"/>
      <c r="C55" s="48">
        <v>129.55472</v>
      </c>
      <c r="D55" s="4">
        <v>27.986999999999998</v>
      </c>
      <c r="E55" s="39">
        <f t="shared" ref="E55:E59" si="3">F55+G55+H55+I55</f>
        <v>183.56600000000003</v>
      </c>
      <c r="F55" s="87">
        <v>41.03</v>
      </c>
      <c r="G55" s="87">
        <v>100.337</v>
      </c>
      <c r="H55" s="87">
        <v>42.198999999999998</v>
      </c>
      <c r="I55" s="87">
        <v>0</v>
      </c>
      <c r="J55" s="6"/>
      <c r="K55" s="8"/>
      <c r="L55" s="86"/>
      <c r="M55" s="84"/>
      <c r="N55" s="84"/>
      <c r="O55" s="84"/>
      <c r="P55" s="84"/>
      <c r="Q55" s="84"/>
    </row>
    <row r="56" spans="1:21" ht="18" customHeight="1" x14ac:dyDescent="0.25">
      <c r="A56" s="3" t="s">
        <v>62</v>
      </c>
      <c r="B56" s="179"/>
      <c r="C56" s="4">
        <f>[2]ФП2022!F58</f>
        <v>0</v>
      </c>
      <c r="D56" s="4">
        <f>[2]ФП2023!E56</f>
        <v>0</v>
      </c>
      <c r="E56" s="39">
        <f t="shared" si="3"/>
        <v>0</v>
      </c>
      <c r="F56" s="64">
        <v>0</v>
      </c>
      <c r="G56" s="64">
        <v>0</v>
      </c>
      <c r="H56" s="64">
        <v>0</v>
      </c>
      <c r="I56" s="64">
        <v>0</v>
      </c>
      <c r="J56" s="6"/>
      <c r="K56" s="8"/>
      <c r="L56" s="84"/>
      <c r="M56" s="84"/>
      <c r="N56" s="84"/>
      <c r="O56" s="84"/>
      <c r="P56" s="84"/>
      <c r="Q56" s="84"/>
    </row>
    <row r="57" spans="1:21" ht="84.6" customHeight="1" x14ac:dyDescent="0.25">
      <c r="A57" s="7" t="s">
        <v>63</v>
      </c>
      <c r="B57" s="179"/>
      <c r="C57" s="4" t="e">
        <f>C58+C59</f>
        <v>#REF!</v>
      </c>
      <c r="D57" s="4" t="e">
        <f>D58+D59</f>
        <v>#REF!</v>
      </c>
      <c r="E57" s="39">
        <f t="shared" si="3"/>
        <v>721.5</v>
      </c>
      <c r="F57" s="49">
        <f>F58+F59</f>
        <v>0</v>
      </c>
      <c r="G57" s="49">
        <f t="shared" ref="G57:I57" si="4">G58+G59</f>
        <v>0</v>
      </c>
      <c r="H57" s="49">
        <f t="shared" si="4"/>
        <v>721.5</v>
      </c>
      <c r="I57" s="49">
        <f t="shared" si="4"/>
        <v>0</v>
      </c>
      <c r="J57" s="6"/>
      <c r="K57" s="8"/>
      <c r="L57" s="84"/>
      <c r="M57" s="84"/>
      <c r="N57" s="84"/>
      <c r="O57" s="84"/>
      <c r="P57" s="84"/>
      <c r="Q57" s="84"/>
    </row>
    <row r="58" spans="1:21" ht="18" customHeight="1" x14ac:dyDescent="0.25">
      <c r="A58" s="7" t="s">
        <v>55</v>
      </c>
      <c r="B58" s="179"/>
      <c r="C58" s="4">
        <v>0</v>
      </c>
      <c r="D58" s="4">
        <v>721.5</v>
      </c>
      <c r="E58" s="39">
        <f t="shared" si="3"/>
        <v>721.5</v>
      </c>
      <c r="F58" s="49">
        <v>0</v>
      </c>
      <c r="G58" s="49">
        <v>0</v>
      </c>
      <c r="H58" s="80">
        <v>721.5</v>
      </c>
      <c r="I58" s="64">
        <f>I108</f>
        <v>0</v>
      </c>
      <c r="J58" s="6"/>
      <c r="K58" s="8"/>
      <c r="L58" s="84"/>
      <c r="M58" s="84"/>
      <c r="N58" s="84"/>
      <c r="O58" s="84"/>
      <c r="P58" s="84"/>
      <c r="Q58" s="84"/>
    </row>
    <row r="59" spans="1:21" ht="18" customHeight="1" x14ac:dyDescent="0.25">
      <c r="A59" s="3" t="s">
        <v>62</v>
      </c>
      <c r="B59" s="180"/>
      <c r="C59" s="4" t="e">
        <f>[2]ФП2022!F61</f>
        <v>#REF!</v>
      </c>
      <c r="D59" s="4" t="e">
        <f>[2]ФП2023!E59</f>
        <v>#REF!</v>
      </c>
      <c r="E59" s="39">
        <f t="shared" si="3"/>
        <v>0</v>
      </c>
      <c r="F59" s="49">
        <v>0</v>
      </c>
      <c r="G59" s="49">
        <v>0</v>
      </c>
      <c r="H59" s="80">
        <v>0</v>
      </c>
      <c r="I59" s="64">
        <f>I109</f>
        <v>0</v>
      </c>
      <c r="J59" s="6"/>
      <c r="K59" s="8"/>
      <c r="L59" s="84"/>
      <c r="M59" s="84"/>
      <c r="N59" s="84"/>
      <c r="O59" s="84"/>
      <c r="P59" s="84"/>
      <c r="Q59" s="84"/>
    </row>
    <row r="60" spans="1:21" ht="19.5" customHeight="1" x14ac:dyDescent="0.25">
      <c r="A60" s="14" t="s">
        <v>64</v>
      </c>
      <c r="B60" s="10" t="s">
        <v>65</v>
      </c>
      <c r="C60" s="4">
        <v>12131.344999999999</v>
      </c>
      <c r="D60" s="4">
        <v>12189.516</v>
      </c>
      <c r="E60" s="39">
        <v>12243.69</v>
      </c>
      <c r="F60" s="82">
        <f>E60/4</f>
        <v>3060.9225000000001</v>
      </c>
      <c r="G60" s="82">
        <f>F60</f>
        <v>3060.9225000000001</v>
      </c>
      <c r="H60" s="82">
        <f>F60</f>
        <v>3060.9225000000001</v>
      </c>
      <c r="I60" s="82">
        <f>G60</f>
        <v>3060.9225000000001</v>
      </c>
      <c r="J60" s="6"/>
      <c r="K60" s="8"/>
      <c r="L60" s="84"/>
      <c r="M60" s="84"/>
      <c r="N60" s="84"/>
      <c r="O60" s="84"/>
      <c r="P60" s="84"/>
      <c r="Q60" s="84"/>
    </row>
    <row r="61" spans="1:21" ht="29.25" customHeight="1" x14ac:dyDescent="0.25">
      <c r="A61" s="15" t="s">
        <v>66</v>
      </c>
      <c r="B61" s="10" t="s">
        <v>67</v>
      </c>
      <c r="C61" s="49" t="e">
        <f>C60+C43+C41+C45</f>
        <v>#REF!</v>
      </c>
      <c r="D61" s="49" t="e">
        <f>D60+D45+D43+D41</f>
        <v>#REF!</v>
      </c>
      <c r="E61" s="39">
        <f>F61+G61+H61+I61</f>
        <v>52148.570000000007</v>
      </c>
      <c r="F61" s="64">
        <f>F60+F45+F43+F41</f>
        <v>13645.918500000002</v>
      </c>
      <c r="G61" s="64">
        <f>G43+G45+G60+G41</f>
        <v>14371.711500000001</v>
      </c>
      <c r="H61" s="64">
        <f>H43+H45+H60+H41</f>
        <v>12609.184500000003</v>
      </c>
      <c r="I61" s="64">
        <f>I43+I45+I60+I41</f>
        <v>11521.755500000001</v>
      </c>
      <c r="J61" s="17">
        <f>E61-[3]Лист1!$E$61</f>
        <v>11343.270000000011</v>
      </c>
      <c r="K61" s="51">
        <v>11.749000000000001</v>
      </c>
      <c r="L61" s="51"/>
      <c r="M61" s="51"/>
      <c r="N61" s="84"/>
      <c r="O61" s="84"/>
      <c r="P61" s="84"/>
      <c r="Q61" s="84"/>
    </row>
    <row r="62" spans="1:21" x14ac:dyDescent="0.25">
      <c r="A62" s="181" t="s">
        <v>68</v>
      </c>
      <c r="B62" s="181"/>
      <c r="C62" s="181"/>
      <c r="D62" s="181"/>
      <c r="E62" s="181"/>
      <c r="F62" s="181"/>
      <c r="G62" s="181"/>
      <c r="H62" s="181"/>
      <c r="I62" s="181"/>
      <c r="J62" s="6"/>
      <c r="K62" s="16"/>
      <c r="L62" s="51"/>
      <c r="M62" s="51"/>
      <c r="N62" s="84"/>
      <c r="O62" s="84"/>
      <c r="P62" s="84"/>
      <c r="Q62" s="84"/>
    </row>
    <row r="63" spans="1:21" ht="43.5" customHeight="1" x14ac:dyDescent="0.25">
      <c r="A63" s="3" t="s">
        <v>69</v>
      </c>
      <c r="B63" s="10" t="s">
        <v>70</v>
      </c>
      <c r="C63" s="48">
        <f>C64</f>
        <v>470.40100000000001</v>
      </c>
      <c r="D63" s="48">
        <f>D64</f>
        <v>444.40501999999998</v>
      </c>
      <c r="E63" s="39">
        <f>SUM(F63:I63)</f>
        <v>484.464</v>
      </c>
      <c r="F63" s="64">
        <f>F65+F67+F70</f>
        <v>134.57</v>
      </c>
      <c r="G63" s="64">
        <f>G65+G67+G70</f>
        <v>154.9</v>
      </c>
      <c r="H63" s="64">
        <f>H65+H67+H70</f>
        <v>94.039999999999992</v>
      </c>
      <c r="I63" s="64">
        <f>I65+I67+I70</f>
        <v>100.95399999999999</v>
      </c>
      <c r="J63" s="17"/>
      <c r="K63" s="8"/>
      <c r="L63" s="84"/>
      <c r="M63" s="84"/>
      <c r="N63" s="84"/>
      <c r="O63" s="84"/>
      <c r="P63" s="84"/>
      <c r="Q63" s="84"/>
    </row>
    <row r="64" spans="1:21" ht="25.5" x14ac:dyDescent="0.25">
      <c r="A64" s="7" t="s">
        <v>71</v>
      </c>
      <c r="B64" s="10" t="s">
        <v>72</v>
      </c>
      <c r="C64" s="48">
        <f>C65+C67+C70</f>
        <v>470.40100000000001</v>
      </c>
      <c r="D64" s="48">
        <f>D65+D67+D70</f>
        <v>444.40501999999998</v>
      </c>
      <c r="E64" s="40">
        <f>F64+G64+H64+I64</f>
        <v>484.464</v>
      </c>
      <c r="F64" s="49">
        <f>F63</f>
        <v>134.57</v>
      </c>
      <c r="G64" s="49">
        <f>G63</f>
        <v>154.9</v>
      </c>
      <c r="H64" s="49">
        <f>H63</f>
        <v>94.039999999999992</v>
      </c>
      <c r="I64" s="49">
        <f>I63</f>
        <v>100.95399999999999</v>
      </c>
      <c r="J64" s="6">
        <v>491.70100000000002</v>
      </c>
      <c r="L64" s="84"/>
      <c r="M64" s="84"/>
      <c r="N64" s="84"/>
      <c r="O64" s="84"/>
      <c r="P64" s="84"/>
      <c r="Q64" s="84"/>
      <c r="R64" s="12"/>
      <c r="S64" s="12"/>
      <c r="T64" s="12"/>
      <c r="U64" s="12"/>
    </row>
    <row r="65" spans="1:23" ht="17.25" customHeight="1" x14ac:dyDescent="0.25">
      <c r="A65" s="176" t="s">
        <v>73</v>
      </c>
      <c r="B65" s="175" t="s">
        <v>74</v>
      </c>
      <c r="C65" s="165">
        <v>291.101</v>
      </c>
      <c r="D65" s="165">
        <v>270.62700000000001</v>
      </c>
      <c r="E65" s="168">
        <f>SUM(F65:I66)</f>
        <v>306.10000000000002</v>
      </c>
      <c r="F65" s="182">
        <v>105.9</v>
      </c>
      <c r="G65" s="182">
        <v>100</v>
      </c>
      <c r="H65" s="182">
        <v>30.6</v>
      </c>
      <c r="I65" s="182">
        <v>69.599999999999994</v>
      </c>
      <c r="J65" s="48">
        <v>291.101</v>
      </c>
      <c r="K65" s="16"/>
      <c r="L65" s="84"/>
      <c r="M65" s="84"/>
      <c r="N65" s="84"/>
      <c r="O65" s="84"/>
      <c r="P65" s="84"/>
      <c r="Q65" s="84"/>
    </row>
    <row r="66" spans="1:23" ht="3.75" customHeight="1" x14ac:dyDescent="0.25">
      <c r="A66" s="176"/>
      <c r="B66" s="175"/>
      <c r="C66" s="165"/>
      <c r="D66" s="165"/>
      <c r="E66" s="168"/>
      <c r="F66" s="182"/>
      <c r="G66" s="182"/>
      <c r="H66" s="182"/>
      <c r="I66" s="182"/>
      <c r="J66" s="6"/>
      <c r="L66" s="84"/>
      <c r="M66" s="84"/>
      <c r="N66" s="84"/>
      <c r="O66" s="84"/>
      <c r="P66" s="84"/>
      <c r="Q66" s="84"/>
    </row>
    <row r="67" spans="1:23" x14ac:dyDescent="0.25">
      <c r="A67" s="3" t="s">
        <v>75</v>
      </c>
      <c r="B67" s="175" t="s">
        <v>76</v>
      </c>
      <c r="C67" s="4">
        <f>C68+C69</f>
        <v>150.30000000000001</v>
      </c>
      <c r="D67" s="4">
        <f>D68+D69</f>
        <v>142.441</v>
      </c>
      <c r="E67" s="39">
        <f>E69</f>
        <v>146.19999999999999</v>
      </c>
      <c r="F67" s="64">
        <f t="shared" ref="F67:I67" si="5">F69</f>
        <v>23.5</v>
      </c>
      <c r="G67" s="64">
        <f t="shared" si="5"/>
        <v>45</v>
      </c>
      <c r="H67" s="64">
        <f t="shared" si="5"/>
        <v>52</v>
      </c>
      <c r="I67" s="64">
        <f t="shared" si="5"/>
        <v>25.7</v>
      </c>
      <c r="J67" s="17"/>
      <c r="K67" s="16"/>
      <c r="L67" s="84"/>
      <c r="M67" s="84"/>
      <c r="N67" s="84"/>
      <c r="O67" s="84"/>
      <c r="P67" s="84"/>
      <c r="Q67" s="84"/>
    </row>
    <row r="68" spans="1:23" ht="16.5" customHeight="1" x14ac:dyDescent="0.25">
      <c r="A68" s="7" t="s">
        <v>77</v>
      </c>
      <c r="B68" s="175"/>
      <c r="C68" s="11"/>
      <c r="D68" s="4"/>
      <c r="E68" s="39" t="s">
        <v>78</v>
      </c>
      <c r="F68" s="64" t="s">
        <v>78</v>
      </c>
      <c r="G68" s="64" t="s">
        <v>78</v>
      </c>
      <c r="H68" s="64" t="s">
        <v>78</v>
      </c>
      <c r="I68" s="64" t="s">
        <v>78</v>
      </c>
      <c r="J68" s="6"/>
      <c r="L68" s="84"/>
      <c r="M68" s="84"/>
      <c r="N68" s="84"/>
      <c r="O68" s="84"/>
      <c r="P68" s="84"/>
      <c r="Q68" s="84"/>
    </row>
    <row r="69" spans="1:23" ht="18" customHeight="1" x14ac:dyDescent="0.25">
      <c r="A69" s="7" t="s">
        <v>79</v>
      </c>
      <c r="B69" s="175"/>
      <c r="C69" s="48">
        <v>150.30000000000001</v>
      </c>
      <c r="D69" s="4">
        <v>142.441</v>
      </c>
      <c r="E69" s="39">
        <f>SUM(F69:I69)</f>
        <v>146.19999999999999</v>
      </c>
      <c r="F69" s="81">
        <v>23.5</v>
      </c>
      <c r="G69" s="81">
        <v>45</v>
      </c>
      <c r="H69" s="81">
        <v>52</v>
      </c>
      <c r="I69" s="81">
        <v>25.7</v>
      </c>
      <c r="J69" s="6"/>
      <c r="K69" s="1"/>
      <c r="L69" s="51"/>
      <c r="M69" s="84"/>
      <c r="N69" s="84"/>
      <c r="O69" s="84"/>
      <c r="P69" s="84"/>
      <c r="Q69" s="84"/>
    </row>
    <row r="70" spans="1:23" ht="14.25" customHeight="1" x14ac:dyDescent="0.25">
      <c r="A70" s="176" t="s">
        <v>80</v>
      </c>
      <c r="B70" s="175" t="s">
        <v>81</v>
      </c>
      <c r="C70" s="165">
        <v>29</v>
      </c>
      <c r="D70" s="165">
        <f>D69*0.22</f>
        <v>31.337019999999999</v>
      </c>
      <c r="E70" s="168">
        <f>F70+G70+H70+I70</f>
        <v>32.164000000000001</v>
      </c>
      <c r="F70" s="174">
        <f>F69*0.22</f>
        <v>5.17</v>
      </c>
      <c r="G70" s="174">
        <f t="shared" ref="G70:I70" si="6">G69*0.22</f>
        <v>9.9</v>
      </c>
      <c r="H70" s="174">
        <f>H69*0.22</f>
        <v>11.44</v>
      </c>
      <c r="I70" s="174">
        <f t="shared" si="6"/>
        <v>5.6539999999999999</v>
      </c>
      <c r="J70" s="6"/>
      <c r="L70" s="84"/>
      <c r="M70" s="84"/>
      <c r="N70" s="84"/>
      <c r="O70" s="84"/>
      <c r="P70" s="84"/>
      <c r="Q70" s="84"/>
    </row>
    <row r="71" spans="1:23" ht="7.5" customHeight="1" x14ac:dyDescent="0.25">
      <c r="A71" s="176"/>
      <c r="B71" s="175"/>
      <c r="C71" s="165"/>
      <c r="D71" s="165"/>
      <c r="E71" s="168"/>
      <c r="F71" s="174"/>
      <c r="G71" s="174"/>
      <c r="H71" s="174"/>
      <c r="I71" s="174"/>
      <c r="J71" s="6"/>
      <c r="L71" s="84"/>
      <c r="M71" s="84"/>
      <c r="N71" s="84"/>
      <c r="O71" s="84"/>
      <c r="P71" s="84"/>
      <c r="Q71" s="84"/>
    </row>
    <row r="72" spans="1:23" ht="13.5" hidden="1" customHeight="1" x14ac:dyDescent="0.25">
      <c r="A72" s="18"/>
      <c r="C72" s="16"/>
      <c r="D72" s="16"/>
      <c r="E72" s="41"/>
      <c r="F72" s="51"/>
      <c r="G72" s="51"/>
      <c r="H72" s="51"/>
      <c r="I72" s="66"/>
      <c r="J72" s="6"/>
      <c r="L72" s="84"/>
      <c r="M72" s="84"/>
      <c r="N72" s="84"/>
      <c r="O72" s="84"/>
      <c r="P72" s="84"/>
      <c r="Q72" s="84"/>
    </row>
    <row r="73" spans="1:23" ht="21" customHeight="1" x14ac:dyDescent="0.25">
      <c r="A73" s="3" t="s">
        <v>82</v>
      </c>
      <c r="B73" s="10" t="s">
        <v>83</v>
      </c>
      <c r="C73" s="4" t="s">
        <v>84</v>
      </c>
      <c r="D73" s="4" t="s">
        <v>84</v>
      </c>
      <c r="E73" s="39" t="s">
        <v>78</v>
      </c>
      <c r="F73" s="49" t="s">
        <v>78</v>
      </c>
      <c r="G73" s="49" t="s">
        <v>78</v>
      </c>
      <c r="H73" s="49"/>
      <c r="I73" s="49" t="s">
        <v>78</v>
      </c>
      <c r="J73" s="6"/>
      <c r="L73" s="84"/>
      <c r="M73" s="84"/>
      <c r="N73" s="84"/>
      <c r="O73" s="84"/>
      <c r="P73" s="84"/>
      <c r="Q73" s="84"/>
    </row>
    <row r="74" spans="1:23" ht="33.75" customHeight="1" x14ac:dyDescent="0.25">
      <c r="A74" s="3" t="s">
        <v>85</v>
      </c>
      <c r="B74" s="175" t="s">
        <v>86</v>
      </c>
      <c r="C74" s="5">
        <f>C75+C76</f>
        <v>21.3</v>
      </c>
      <c r="D74" s="5">
        <f>D75+D76</f>
        <v>5.9</v>
      </c>
      <c r="E74" s="5">
        <f t="shared" ref="E74:I74" si="7">E75+E76</f>
        <v>9.6</v>
      </c>
      <c r="F74" s="64">
        <f>F75+F76</f>
        <v>2.4</v>
      </c>
      <c r="G74" s="64">
        <f t="shared" si="7"/>
        <v>2.4</v>
      </c>
      <c r="H74" s="64">
        <f t="shared" si="7"/>
        <v>2.4</v>
      </c>
      <c r="I74" s="64">
        <f t="shared" si="7"/>
        <v>2.4</v>
      </c>
      <c r="J74" s="6"/>
      <c r="L74" s="84"/>
      <c r="M74" s="84"/>
      <c r="N74" s="84"/>
      <c r="O74" s="84"/>
      <c r="P74" s="84"/>
      <c r="Q74" s="84"/>
    </row>
    <row r="75" spans="1:23" ht="27" customHeight="1" x14ac:dyDescent="0.25">
      <c r="A75" s="3" t="s">
        <v>87</v>
      </c>
      <c r="B75" s="175"/>
      <c r="C75" s="48">
        <v>21.3</v>
      </c>
      <c r="D75" s="4">
        <v>4.7</v>
      </c>
      <c r="E75" s="39">
        <f>F75+G75+H75+I75</f>
        <v>9.6</v>
      </c>
      <c r="F75" s="81">
        <v>2.4</v>
      </c>
      <c r="G75" s="81">
        <v>2.4</v>
      </c>
      <c r="H75" s="81">
        <v>2.4</v>
      </c>
      <c r="I75" s="81">
        <v>2.4</v>
      </c>
      <c r="J75" s="6"/>
      <c r="L75" s="84"/>
      <c r="M75" s="84"/>
      <c r="N75" s="84"/>
      <c r="O75" s="84"/>
      <c r="P75" s="84"/>
      <c r="Q75" s="84"/>
    </row>
    <row r="76" spans="1:23" ht="24" customHeight="1" x14ac:dyDescent="0.25">
      <c r="A76" s="3" t="s">
        <v>88</v>
      </c>
      <c r="B76" s="175"/>
      <c r="C76" s="4">
        <f>[2]ФП2022!F73</f>
        <v>0</v>
      </c>
      <c r="D76" s="4">
        <v>1.2</v>
      </c>
      <c r="E76" s="39">
        <f>F76+G76+H76+I76</f>
        <v>0</v>
      </c>
      <c r="F76" s="49">
        <v>0</v>
      </c>
      <c r="G76" s="49">
        <v>0</v>
      </c>
      <c r="H76" s="49">
        <v>0</v>
      </c>
      <c r="I76" s="49">
        <v>0</v>
      </c>
      <c r="J76" s="6"/>
      <c r="L76" s="84"/>
      <c r="M76" s="84"/>
      <c r="N76" s="84"/>
      <c r="O76" s="84"/>
      <c r="P76" s="84"/>
      <c r="Q76" s="84"/>
    </row>
    <row r="77" spans="1:23" ht="24" customHeight="1" x14ac:dyDescent="0.25">
      <c r="A77" s="3" t="s">
        <v>89</v>
      </c>
      <c r="B77" s="10" t="s">
        <v>90</v>
      </c>
      <c r="C77" s="48">
        <v>12131.344999999999</v>
      </c>
      <c r="D77" s="4">
        <v>12189.516</v>
      </c>
      <c r="E77" s="40">
        <f>E60</f>
        <v>12243.69</v>
      </c>
      <c r="F77" s="81">
        <f>F60</f>
        <v>3060.9225000000001</v>
      </c>
      <c r="G77" s="81">
        <f>G60</f>
        <v>3060.9225000000001</v>
      </c>
      <c r="H77" s="81">
        <f>H60</f>
        <v>3060.9225000000001</v>
      </c>
      <c r="I77" s="81">
        <f>I60</f>
        <v>3060.9225000000001</v>
      </c>
      <c r="J77" s="6">
        <v>12243.69</v>
      </c>
      <c r="L77" s="84"/>
      <c r="M77" s="84"/>
      <c r="N77" s="84"/>
      <c r="O77" s="84"/>
      <c r="P77" s="84"/>
      <c r="Q77" s="84"/>
    </row>
    <row r="78" spans="1:23" ht="33" customHeight="1" x14ac:dyDescent="0.25">
      <c r="A78" s="3" t="s">
        <v>91</v>
      </c>
      <c r="B78" s="10" t="s">
        <v>92</v>
      </c>
      <c r="C78" s="4">
        <f>C80+C100+C105+C110</f>
        <v>20833.359000000004</v>
      </c>
      <c r="D78" s="4">
        <f>D80+D100+D105+D110</f>
        <v>30710.774000000001</v>
      </c>
      <c r="E78" s="39">
        <f>E80+E102+E105+E110</f>
        <v>39396.663779999995</v>
      </c>
      <c r="F78" s="64">
        <f>F80+F102+F105+F110</f>
        <v>10445.991900000003</v>
      </c>
      <c r="G78" s="64">
        <f>G80+G102+G105+G110</f>
        <v>11149.584959999998</v>
      </c>
      <c r="H78" s="64">
        <f>H80+H102+H105+H110</f>
        <v>9449.2580200000011</v>
      </c>
      <c r="I78" s="64">
        <f>I80+I102+I105+I110</f>
        <v>8351.8289000000004</v>
      </c>
      <c r="J78" s="6"/>
      <c r="L78" s="84"/>
      <c r="M78" s="84"/>
      <c r="N78" s="84"/>
      <c r="O78" s="84"/>
      <c r="P78" s="84"/>
      <c r="Q78" s="84"/>
      <c r="S78" s="12"/>
      <c r="T78" s="12"/>
      <c r="U78" s="12"/>
      <c r="V78" s="12"/>
      <c r="W78" s="12"/>
    </row>
    <row r="79" spans="1:23" ht="51" customHeight="1" x14ac:dyDescent="0.25">
      <c r="A79" s="3" t="s">
        <v>93</v>
      </c>
      <c r="B79" s="19" t="s">
        <v>94</v>
      </c>
      <c r="C79" s="11"/>
      <c r="D79" s="11"/>
      <c r="E79" s="39"/>
      <c r="F79" s="64"/>
      <c r="G79" s="49"/>
      <c r="H79" s="49"/>
      <c r="I79" s="67"/>
      <c r="J79" s="6"/>
      <c r="L79" s="84"/>
      <c r="M79" s="84"/>
      <c r="N79" s="84"/>
      <c r="O79" s="84"/>
      <c r="P79" s="84"/>
      <c r="Q79" s="84"/>
    </row>
    <row r="80" spans="1:23" ht="79.5" customHeight="1" x14ac:dyDescent="0.25">
      <c r="A80" s="7" t="s">
        <v>54</v>
      </c>
      <c r="B80" s="21"/>
      <c r="C80" s="11">
        <f>C81</f>
        <v>20524.101000000002</v>
      </c>
      <c r="D80" s="11">
        <f>D81+D99</f>
        <v>29711.84</v>
      </c>
      <c r="E80" s="39">
        <f>F80+G80+H80+I80</f>
        <v>38076.82778</v>
      </c>
      <c r="F80" s="64">
        <f>F81+F99</f>
        <v>10404.961900000002</v>
      </c>
      <c r="G80" s="64">
        <f>G81+G99</f>
        <v>10634.477959999998</v>
      </c>
      <c r="H80" s="64">
        <f>H81+H99</f>
        <v>8685.5590200000006</v>
      </c>
      <c r="I80" s="64">
        <f>I81+I99</f>
        <v>8351.8289000000004</v>
      </c>
      <c r="J80" s="6">
        <v>20524.100999999999</v>
      </c>
      <c r="K80" s="8"/>
      <c r="L80" s="85"/>
      <c r="M80" s="84"/>
      <c r="N80" s="84"/>
      <c r="O80" s="84"/>
      <c r="P80" s="84"/>
      <c r="Q80" s="84"/>
      <c r="S80" s="12"/>
      <c r="T80" s="12"/>
      <c r="U80" s="12"/>
      <c r="V80" s="12"/>
      <c r="W80" s="12"/>
    </row>
    <row r="81" spans="1:17" ht="19.5" customHeight="1" x14ac:dyDescent="0.25">
      <c r="A81" s="22" t="s">
        <v>55</v>
      </c>
      <c r="B81" s="21"/>
      <c r="C81" s="11">
        <f>C82+C83+C88+C91</f>
        <v>20524.101000000002</v>
      </c>
      <c r="D81" s="11">
        <f>D82+D83+D88+D91</f>
        <v>24751.84</v>
      </c>
      <c r="E81" s="39">
        <f>F81+G81+H81+I81</f>
        <v>37674.782780000001</v>
      </c>
      <c r="F81" s="64">
        <f>F82+F83+F88+F91</f>
        <v>10002.916900000002</v>
      </c>
      <c r="G81" s="64">
        <f>G82+G83+G88+G91</f>
        <v>10634.477959999998</v>
      </c>
      <c r="H81" s="64">
        <f>H82+H83+H88+H91</f>
        <v>8685.5590200000006</v>
      </c>
      <c r="I81" s="64">
        <f>I82+I83+I88+I91</f>
        <v>8351.8289000000004</v>
      </c>
      <c r="J81" s="6"/>
      <c r="L81" s="84"/>
      <c r="M81" s="84"/>
      <c r="N81" s="84"/>
      <c r="O81" s="84"/>
      <c r="P81" s="84"/>
      <c r="Q81" s="84"/>
    </row>
    <row r="82" spans="1:17" ht="21.75" customHeight="1" x14ac:dyDescent="0.25">
      <c r="A82" s="3" t="s">
        <v>73</v>
      </c>
      <c r="B82" s="21"/>
      <c r="C82" s="53">
        <v>1231.9639999999999</v>
      </c>
      <c r="D82" s="53">
        <v>1357.2629999999999</v>
      </c>
      <c r="E82" s="39">
        <f>SUM(F82:I82)</f>
        <v>3703.3249999999998</v>
      </c>
      <c r="F82" s="82">
        <f>1752.265-0.003</f>
        <v>1752.2620000000002</v>
      </c>
      <c r="G82" s="92">
        <v>1628.2429999999999</v>
      </c>
      <c r="H82" s="92">
        <v>72.72</v>
      </c>
      <c r="I82" s="92">
        <v>250.1</v>
      </c>
      <c r="J82" s="17">
        <f>D82</f>
        <v>1357.2629999999999</v>
      </c>
      <c r="K82" s="16"/>
      <c r="L82" s="51"/>
      <c r="M82" s="51"/>
      <c r="N82" s="51"/>
      <c r="O82" s="51"/>
      <c r="P82" s="51"/>
      <c r="Q82" s="84"/>
    </row>
    <row r="83" spans="1:17" x14ac:dyDescent="0.25">
      <c r="A83" s="3" t="s">
        <v>95</v>
      </c>
      <c r="B83" s="21"/>
      <c r="C83" s="11">
        <f>C84+C85+C87</f>
        <v>12440.886</v>
      </c>
      <c r="D83" s="11">
        <f>D84+D85+D87</f>
        <v>14332.091</v>
      </c>
      <c r="E83" s="39">
        <f>SUM(E84:E87)</f>
        <v>18289.861000000001</v>
      </c>
      <c r="F83" s="91">
        <f>F84+F85+F86+F87</f>
        <v>4279.2950000000001</v>
      </c>
      <c r="G83" s="91">
        <f>G84+G85+G86+G87</f>
        <v>4873.78</v>
      </c>
      <c r="H83" s="91">
        <f>H84+H85+H86+H87</f>
        <v>4857.491</v>
      </c>
      <c r="I83" s="91">
        <f>I84+I85+I86+I87</f>
        <v>4279.2950000000001</v>
      </c>
      <c r="J83" s="17"/>
      <c r="K83" s="16"/>
      <c r="L83" s="51"/>
      <c r="M83" s="51"/>
      <c r="N83" s="51"/>
      <c r="O83" s="51"/>
      <c r="P83" s="51"/>
      <c r="Q83" s="84"/>
    </row>
    <row r="84" spans="1:17" x14ac:dyDescent="0.25">
      <c r="A84" s="3" t="s">
        <v>96</v>
      </c>
      <c r="B84" s="21"/>
      <c r="C84" s="48">
        <f>3122.721+215.895+14.914</f>
        <v>3353.53</v>
      </c>
      <c r="D84" s="11">
        <v>4388.6459999999997</v>
      </c>
      <c r="E84" s="40">
        <f>F84+G84+H84+I84</f>
        <v>4715.0479999999998</v>
      </c>
      <c r="F84" s="88">
        <v>1088.3119999999999</v>
      </c>
      <c r="G84" s="88">
        <v>1259.02</v>
      </c>
      <c r="H84" s="88">
        <v>1279.404</v>
      </c>
      <c r="I84" s="88">
        <v>1088.3119999999999</v>
      </c>
      <c r="J84" s="89"/>
      <c r="K84" s="16"/>
      <c r="L84" s="51"/>
      <c r="M84" s="51"/>
      <c r="N84" s="51"/>
      <c r="O84" s="51"/>
      <c r="P84" s="51"/>
      <c r="Q84" s="51"/>
    </row>
    <row r="85" spans="1:17" ht="12.75" customHeight="1" x14ac:dyDescent="0.25">
      <c r="A85" s="3" t="s">
        <v>97</v>
      </c>
      <c r="B85" s="21"/>
      <c r="C85" s="48">
        <f>9067.258-C86+0.0908+0.8162+19.191</f>
        <v>9081.0489999999991</v>
      </c>
      <c r="D85" s="11">
        <v>9936.4989999999998</v>
      </c>
      <c r="E85" s="40">
        <f>F85+G85+H85+I85</f>
        <v>13564.601000000001</v>
      </c>
      <c r="F85" s="80">
        <f>3190.983</f>
        <v>3190.9830000000002</v>
      </c>
      <c r="G85" s="80">
        <f>3604.548</f>
        <v>3604.5479999999998</v>
      </c>
      <c r="H85" s="80">
        <f>3578.087</f>
        <v>3578.087</v>
      </c>
      <c r="I85" s="80">
        <f>3190.983</f>
        <v>3190.9830000000002</v>
      </c>
      <c r="J85" s="17"/>
      <c r="K85" s="16"/>
      <c r="L85" s="51"/>
      <c r="M85" s="51"/>
      <c r="N85" s="51"/>
      <c r="O85" s="51"/>
      <c r="P85" s="51"/>
      <c r="Q85" s="51"/>
    </row>
    <row r="86" spans="1:17" ht="18.75" hidden="1" customHeight="1" x14ac:dyDescent="0.25">
      <c r="A86" s="23" t="s">
        <v>98</v>
      </c>
      <c r="B86" s="21"/>
      <c r="C86" s="48">
        <v>6.3070000000000004</v>
      </c>
      <c r="D86" s="11">
        <f>[2]ФП2023!E86</f>
        <v>0</v>
      </c>
      <c r="E86" s="40">
        <f>F86+G86+H86+I86</f>
        <v>0</v>
      </c>
      <c r="F86" s="49"/>
      <c r="G86" s="49"/>
      <c r="H86" s="49"/>
      <c r="I86" s="49"/>
      <c r="J86" s="17"/>
      <c r="K86" s="16"/>
      <c r="L86" s="51"/>
      <c r="M86" s="51"/>
      <c r="N86" s="51"/>
      <c r="O86" s="51"/>
      <c r="P86" s="51"/>
      <c r="Q86" s="84"/>
    </row>
    <row r="87" spans="1:17" x14ac:dyDescent="0.25">
      <c r="A87" s="23" t="s">
        <v>99</v>
      </c>
      <c r="B87" s="21"/>
      <c r="C87" s="48">
        <v>6.3070000000000004</v>
      </c>
      <c r="D87" s="11">
        <v>6.9459999999999997</v>
      </c>
      <c r="E87" s="40">
        <f>F87+G87+H87+I87</f>
        <v>10.212</v>
      </c>
      <c r="F87" s="49">
        <v>0</v>
      </c>
      <c r="G87" s="90">
        <v>10.212</v>
      </c>
      <c r="H87" s="49">
        <v>0</v>
      </c>
      <c r="I87" s="49">
        <v>0</v>
      </c>
      <c r="J87" s="17"/>
      <c r="K87" s="16"/>
      <c r="L87" s="51"/>
      <c r="M87" s="51"/>
      <c r="N87" s="51"/>
      <c r="O87" s="51"/>
      <c r="P87" s="51"/>
      <c r="Q87" s="84"/>
    </row>
    <row r="88" spans="1:17" ht="14.25" customHeight="1" x14ac:dyDescent="0.25">
      <c r="A88" s="3" t="s">
        <v>100</v>
      </c>
      <c r="B88" s="21"/>
      <c r="C88" s="4">
        <v>2626.194</v>
      </c>
      <c r="D88" s="11">
        <v>3153.06</v>
      </c>
      <c r="E88" s="39">
        <f>F88+G88+H88+I88</f>
        <v>4021.5227799999998</v>
      </c>
      <c r="F88" s="91">
        <f>F89+F90</f>
        <v>941.44489999999996</v>
      </c>
      <c r="G88" s="91">
        <f t="shared" ref="G88:I88" si="8">G89+G90</f>
        <v>1069.98496</v>
      </c>
      <c r="H88" s="91">
        <f t="shared" si="8"/>
        <v>1068.6480200000001</v>
      </c>
      <c r="I88" s="91">
        <f t="shared" si="8"/>
        <v>941.44489999999996</v>
      </c>
      <c r="J88" s="17"/>
      <c r="K88" s="16"/>
      <c r="L88" s="51"/>
      <c r="M88" s="51"/>
      <c r="N88" s="51"/>
      <c r="O88" s="51"/>
      <c r="P88" s="51"/>
      <c r="Q88" s="84"/>
    </row>
    <row r="89" spans="1:17" ht="18" customHeight="1" x14ac:dyDescent="0.25">
      <c r="A89" s="3" t="s">
        <v>77</v>
      </c>
      <c r="B89" s="21"/>
      <c r="C89" s="4">
        <v>444.1</v>
      </c>
      <c r="D89" s="11">
        <f>[2]ФП2023!E89</f>
        <v>741.21830639999996</v>
      </c>
      <c r="E89" s="40">
        <f t="shared" ref="E89:I90" si="9">E84*0.22</f>
        <v>1037.3105599999999</v>
      </c>
      <c r="F89" s="88">
        <f t="shared" si="9"/>
        <v>239.42863999999997</v>
      </c>
      <c r="G89" s="88">
        <f>G84*0.22</f>
        <v>276.98439999999999</v>
      </c>
      <c r="H89" s="88">
        <f t="shared" si="9"/>
        <v>281.46888000000001</v>
      </c>
      <c r="I89" s="88">
        <f t="shared" si="9"/>
        <v>239.42863999999997</v>
      </c>
      <c r="J89" s="17"/>
      <c r="K89" s="16"/>
      <c r="L89" s="51"/>
      <c r="M89" s="51"/>
      <c r="N89" s="51"/>
      <c r="O89" s="51"/>
      <c r="P89" s="51"/>
      <c r="Q89" s="84"/>
    </row>
    <row r="90" spans="1:17" ht="25.5" customHeight="1" x14ac:dyDescent="0.25">
      <c r="A90" s="3" t="s">
        <v>101</v>
      </c>
      <c r="B90" s="21"/>
      <c r="C90" s="4">
        <v>1506.5</v>
      </c>
      <c r="D90" s="11">
        <f>[2]ФП2023!E90</f>
        <v>2042.8880736000001</v>
      </c>
      <c r="E90" s="40">
        <f t="shared" si="9"/>
        <v>2984.2122200000003</v>
      </c>
      <c r="F90" s="88">
        <f t="shared" si="9"/>
        <v>702.01625999999999</v>
      </c>
      <c r="G90" s="88">
        <f>G85*0.22</f>
        <v>793.00055999999995</v>
      </c>
      <c r="H90" s="88">
        <f t="shared" si="9"/>
        <v>787.17913999999996</v>
      </c>
      <c r="I90" s="88">
        <f t="shared" si="9"/>
        <v>702.01625999999999</v>
      </c>
      <c r="J90" s="17"/>
      <c r="K90" s="16"/>
      <c r="L90" s="51"/>
      <c r="M90" s="51"/>
      <c r="N90" s="51"/>
      <c r="O90" s="51"/>
      <c r="P90" s="51"/>
      <c r="Q90" s="84"/>
    </row>
    <row r="91" spans="1:17" ht="25.5" x14ac:dyDescent="0.25">
      <c r="A91" s="15" t="s">
        <v>102</v>
      </c>
      <c r="B91" s="21"/>
      <c r="C91" s="5">
        <f>C93+C97</f>
        <v>4225.0570000000007</v>
      </c>
      <c r="D91" s="5">
        <f>D92+D97</f>
        <v>5909.4259999999995</v>
      </c>
      <c r="E91" s="39">
        <f>F91+G91+H91+I91</f>
        <v>11660.073999999999</v>
      </c>
      <c r="F91" s="64">
        <f>F93+F94+F95+F96+F97</f>
        <v>3029.9150000000004</v>
      </c>
      <c r="G91" s="64">
        <f>G93+G97+G94+G95+G96</f>
        <v>3062.4699999999993</v>
      </c>
      <c r="H91" s="64">
        <f>H93+H97+H94+H95+H96</f>
        <v>2686.7</v>
      </c>
      <c r="I91" s="64">
        <f>I93+I97+I94+I95+I96</f>
        <v>2880.989</v>
      </c>
      <c r="J91" s="17"/>
      <c r="K91" s="16"/>
      <c r="L91" s="51"/>
      <c r="M91" s="51"/>
      <c r="N91" s="51"/>
      <c r="O91" s="51"/>
      <c r="P91" s="51"/>
      <c r="Q91" s="84"/>
    </row>
    <row r="92" spans="1:17" x14ac:dyDescent="0.25">
      <c r="A92" s="24" t="s">
        <v>103</v>
      </c>
      <c r="B92" s="25"/>
      <c r="C92" s="26">
        <f t="shared" ref="C92:I92" si="10">SUM(C93+C94+C95+C96)</f>
        <v>2474.3870000000002</v>
      </c>
      <c r="D92" s="26">
        <f t="shared" si="10"/>
        <v>1407.3729999999998</v>
      </c>
      <c r="E92" s="42">
        <f t="shared" si="10"/>
        <v>1005.6519999999999</v>
      </c>
      <c r="F92" s="68">
        <f>SUM(F93+F94+F95+F96)</f>
        <v>68.212999999999994</v>
      </c>
      <c r="G92" s="68">
        <f>SUM(G93+G94+G95+G96)</f>
        <v>628.52</v>
      </c>
      <c r="H92" s="68">
        <f>SUM(H93+H94+H95+H96)</f>
        <v>212.703</v>
      </c>
      <c r="I92" s="68">
        <f t="shared" si="10"/>
        <v>96.215999999999994</v>
      </c>
      <c r="J92" s="17"/>
      <c r="K92" s="16"/>
      <c r="L92" s="51"/>
      <c r="M92" s="51"/>
      <c r="N92" s="51"/>
      <c r="O92" s="51"/>
      <c r="P92" s="51"/>
      <c r="Q92" s="84"/>
    </row>
    <row r="93" spans="1:17" ht="25.5" x14ac:dyDescent="0.25">
      <c r="A93" s="27" t="s">
        <v>104</v>
      </c>
      <c r="B93" s="21"/>
      <c r="C93" s="54">
        <v>2474.3870000000002</v>
      </c>
      <c r="D93" s="11">
        <v>236.22200000000001</v>
      </c>
      <c r="E93" s="43">
        <f>F93+G93+H93+I93</f>
        <v>336.57799999999997</v>
      </c>
      <c r="F93" s="93">
        <v>68.212999999999994</v>
      </c>
      <c r="G93" s="93">
        <f>45.416+55.9</f>
        <v>101.316</v>
      </c>
      <c r="H93" s="93">
        <f>42.885+27.948</f>
        <v>70.832999999999998</v>
      </c>
      <c r="I93" s="93">
        <v>96.215999999999994</v>
      </c>
      <c r="J93" s="17"/>
      <c r="K93" s="16"/>
      <c r="L93" s="51"/>
      <c r="M93" s="51"/>
      <c r="N93" s="51"/>
      <c r="O93" s="51"/>
      <c r="P93" s="51"/>
      <c r="Q93" s="84"/>
    </row>
    <row r="94" spans="1:17" x14ac:dyDescent="0.25">
      <c r="A94" s="7" t="s">
        <v>105</v>
      </c>
      <c r="B94" s="3"/>
      <c r="C94" s="4">
        <v>0</v>
      </c>
      <c r="D94" s="11">
        <v>478.73500000000001</v>
      </c>
      <c r="E94" s="40">
        <f>F94+G94+H94+I94</f>
        <v>0</v>
      </c>
      <c r="F94" s="49">
        <v>0</v>
      </c>
      <c r="G94" s="49"/>
      <c r="H94" s="49">
        <v>0</v>
      </c>
      <c r="I94" s="49">
        <v>0</v>
      </c>
      <c r="J94" s="17"/>
      <c r="K94" s="16"/>
      <c r="L94" s="51"/>
      <c r="M94" s="51"/>
      <c r="N94" s="51"/>
      <c r="O94" s="51"/>
      <c r="P94" s="51"/>
      <c r="Q94" s="84"/>
    </row>
    <row r="95" spans="1:17" x14ac:dyDescent="0.25">
      <c r="A95" s="7" t="s">
        <v>106</v>
      </c>
      <c r="B95" s="3"/>
      <c r="C95" s="4">
        <v>0</v>
      </c>
      <c r="D95" s="11">
        <v>322.17399999999998</v>
      </c>
      <c r="E95" s="40">
        <f>F95+G95+H95+I95</f>
        <v>669.07399999999996</v>
      </c>
      <c r="F95" s="49">
        <v>0</v>
      </c>
      <c r="G95" s="75">
        <f>416.299+110.905</f>
        <v>527.20399999999995</v>
      </c>
      <c r="H95" s="75">
        <v>141.87</v>
      </c>
      <c r="I95" s="49">
        <v>0</v>
      </c>
      <c r="J95" s="17" t="s">
        <v>172</v>
      </c>
      <c r="K95" s="16"/>
      <c r="L95" s="51"/>
      <c r="M95" s="51" t="s">
        <v>179</v>
      </c>
      <c r="N95" s="51" t="s">
        <v>180</v>
      </c>
      <c r="O95" s="51"/>
      <c r="P95" s="51"/>
      <c r="Q95" s="84"/>
    </row>
    <row r="96" spans="1:17" x14ac:dyDescent="0.25">
      <c r="A96" s="7" t="s">
        <v>166</v>
      </c>
      <c r="B96" s="21"/>
      <c r="C96" s="4">
        <v>0</v>
      </c>
      <c r="D96" s="11">
        <v>370.24200000000002</v>
      </c>
      <c r="E96" s="40">
        <f>F96+G96+H96+I96</f>
        <v>0</v>
      </c>
      <c r="F96" s="69"/>
      <c r="G96" s="69"/>
      <c r="H96" s="69"/>
      <c r="I96" s="69"/>
      <c r="J96" s="17"/>
      <c r="K96" s="16"/>
      <c r="L96" s="51"/>
      <c r="M96" s="51"/>
      <c r="N96" s="51"/>
      <c r="O96" s="51"/>
      <c r="P96" s="51"/>
      <c r="Q96" s="84"/>
    </row>
    <row r="97" spans="1:23" ht="27" customHeight="1" x14ac:dyDescent="0.25">
      <c r="A97" s="28" t="s">
        <v>107</v>
      </c>
      <c r="B97" s="21"/>
      <c r="C97" s="48">
        <v>1750.67</v>
      </c>
      <c r="D97" s="11">
        <v>4502.0529999999999</v>
      </c>
      <c r="E97" s="44">
        <f>F97+G97+H97+I97</f>
        <v>10654.421999999999</v>
      </c>
      <c r="F97" s="83">
        <v>2961.7020000000002</v>
      </c>
      <c r="G97" s="83">
        <v>2433.9499999999998</v>
      </c>
      <c r="H97" s="83">
        <v>2473.9969999999998</v>
      </c>
      <c r="I97" s="83">
        <v>2784.7730000000001</v>
      </c>
      <c r="J97" s="17"/>
      <c r="K97" s="16"/>
      <c r="L97" s="51" t="s">
        <v>176</v>
      </c>
      <c r="M97" s="51" t="s">
        <v>177</v>
      </c>
      <c r="N97" s="51" t="s">
        <v>178</v>
      </c>
      <c r="O97" s="51"/>
      <c r="P97" s="51"/>
      <c r="Q97" s="51" t="s">
        <v>178</v>
      </c>
    </row>
    <row r="98" spans="1:23" ht="36" customHeight="1" x14ac:dyDescent="0.25">
      <c r="A98" s="57" t="s">
        <v>56</v>
      </c>
      <c r="B98" s="58"/>
      <c r="C98" s="40"/>
      <c r="D98" s="59" t="e">
        <f>[2]ФП2023!E97</f>
        <v>#REF!</v>
      </c>
      <c r="E98" s="40"/>
      <c r="F98" s="49"/>
      <c r="G98" s="49"/>
      <c r="H98" s="49"/>
      <c r="I98" s="49"/>
      <c r="J98" s="56"/>
      <c r="K98" s="16"/>
      <c r="L98" s="51"/>
      <c r="M98" s="51"/>
      <c r="N98" s="51"/>
      <c r="O98" s="51"/>
      <c r="P98" s="51"/>
      <c r="Q98" s="84"/>
    </row>
    <row r="99" spans="1:23" ht="19.5" customHeight="1" x14ac:dyDescent="0.25">
      <c r="A99" s="15" t="s">
        <v>108</v>
      </c>
      <c r="B99" s="21"/>
      <c r="C99" s="4"/>
      <c r="D99" s="11">
        <v>4960</v>
      </c>
      <c r="E99" s="39">
        <f>F99+G99+H99+I99</f>
        <v>402.04500000000002</v>
      </c>
      <c r="F99" s="91">
        <v>402.04500000000002</v>
      </c>
      <c r="G99" s="64">
        <v>0</v>
      </c>
      <c r="H99" s="64"/>
      <c r="I99" s="64">
        <v>0</v>
      </c>
      <c r="J99" s="17"/>
      <c r="K99" s="16"/>
      <c r="L99" s="51"/>
      <c r="M99" s="51"/>
      <c r="N99" s="51"/>
      <c r="O99" s="51"/>
      <c r="P99" s="51"/>
      <c r="Q99" s="84"/>
    </row>
    <row r="100" spans="1:23" ht="81.75" customHeight="1" x14ac:dyDescent="0.25">
      <c r="A100" s="7" t="s">
        <v>58</v>
      </c>
      <c r="B100" s="21"/>
      <c r="C100" s="5">
        <f t="shared" ref="C100:I100" si="11">C102</f>
        <v>179.703</v>
      </c>
      <c r="D100" s="5">
        <f t="shared" si="11"/>
        <v>249.447</v>
      </c>
      <c r="E100" s="39">
        <f t="shared" si="11"/>
        <v>414.77</v>
      </c>
      <c r="F100" s="64">
        <f t="shared" si="11"/>
        <v>0</v>
      </c>
      <c r="G100" s="87">
        <f t="shared" si="11"/>
        <v>414.77</v>
      </c>
      <c r="H100" s="64">
        <f t="shared" si="11"/>
        <v>0</v>
      </c>
      <c r="I100" s="64">
        <f t="shared" si="11"/>
        <v>0</v>
      </c>
      <c r="J100" s="17"/>
      <c r="K100" s="16"/>
      <c r="L100" s="51"/>
      <c r="M100" s="51"/>
      <c r="N100" s="51"/>
      <c r="O100" s="51"/>
      <c r="P100" s="51"/>
      <c r="Q100" s="84"/>
    </row>
    <row r="101" spans="1:23" x14ac:dyDescent="0.25">
      <c r="A101" s="7" t="s">
        <v>109</v>
      </c>
      <c r="B101" s="21"/>
      <c r="C101" s="4"/>
      <c r="D101" s="11" t="e">
        <f>[2]ФП2023!E100</f>
        <v>#REF!</v>
      </c>
      <c r="E101" s="40"/>
      <c r="F101" s="49"/>
      <c r="G101" s="80"/>
      <c r="H101" s="49"/>
      <c r="I101" s="49"/>
      <c r="J101" s="17"/>
      <c r="K101" s="16"/>
      <c r="L101" s="51"/>
      <c r="M101" s="51"/>
      <c r="N101" s="51"/>
      <c r="O101" s="51"/>
      <c r="P101" s="51"/>
      <c r="Q101" s="84"/>
    </row>
    <row r="102" spans="1:23" ht="15.75" customHeight="1" x14ac:dyDescent="0.25">
      <c r="A102" s="3" t="s">
        <v>57</v>
      </c>
      <c r="B102" s="21"/>
      <c r="C102" s="4">
        <f>C103+C104</f>
        <v>179.703</v>
      </c>
      <c r="D102" s="4">
        <f>D103+D104</f>
        <v>249.447</v>
      </c>
      <c r="E102" s="4">
        <f>SUM(F102:I102)</f>
        <v>414.77</v>
      </c>
      <c r="F102" s="4">
        <f>F103+F104</f>
        <v>0</v>
      </c>
      <c r="G102" s="4">
        <f>G103+G104</f>
        <v>414.77</v>
      </c>
      <c r="H102" s="4">
        <f>H103+H104</f>
        <v>0</v>
      </c>
      <c r="I102" s="4">
        <f>I103+I104</f>
        <v>0</v>
      </c>
      <c r="J102" s="17"/>
      <c r="K102" s="16"/>
      <c r="L102" s="51"/>
      <c r="M102" s="51"/>
      <c r="N102" s="51"/>
      <c r="O102" s="51"/>
      <c r="P102" s="51"/>
      <c r="Q102" s="84"/>
      <c r="S102" s="12"/>
      <c r="T102" s="12"/>
      <c r="U102" s="12"/>
      <c r="V102" s="12"/>
      <c r="W102" s="12"/>
    </row>
    <row r="103" spans="1:23" ht="38.25" x14ac:dyDescent="0.25">
      <c r="A103" s="3" t="s">
        <v>110</v>
      </c>
      <c r="B103" s="21"/>
      <c r="C103" s="52">
        <v>179.703</v>
      </c>
      <c r="D103" s="11">
        <v>210.34700000000001</v>
      </c>
      <c r="E103" s="40">
        <f>F103+H103+I103+G103</f>
        <v>414.77</v>
      </c>
      <c r="F103" s="49">
        <v>0</v>
      </c>
      <c r="G103" s="80">
        <v>414.77</v>
      </c>
      <c r="H103" s="49"/>
      <c r="I103" s="49">
        <v>0</v>
      </c>
      <c r="J103" s="17"/>
      <c r="K103" s="16"/>
      <c r="L103" s="51"/>
      <c r="M103" s="51"/>
      <c r="N103" s="51"/>
      <c r="O103" s="51"/>
      <c r="P103" s="51"/>
      <c r="Q103" s="84"/>
      <c r="S103" s="12"/>
      <c r="T103" s="12"/>
      <c r="U103" s="12"/>
      <c r="V103" s="12"/>
      <c r="W103" s="12"/>
    </row>
    <row r="104" spans="1:23" ht="33.75" customHeight="1" x14ac:dyDescent="0.25">
      <c r="A104" s="3" t="s">
        <v>111</v>
      </c>
      <c r="B104" s="21"/>
      <c r="C104" s="4">
        <v>0</v>
      </c>
      <c r="D104" s="11">
        <v>39.1</v>
      </c>
      <c r="E104" s="40">
        <f>F104+H104+I104+G104</f>
        <v>0</v>
      </c>
      <c r="F104" s="49">
        <v>0</v>
      </c>
      <c r="G104" s="49">
        <v>0</v>
      </c>
      <c r="H104" s="80"/>
      <c r="I104" s="49">
        <v>0</v>
      </c>
      <c r="J104" s="17"/>
      <c r="K104" s="16"/>
      <c r="L104" s="51"/>
      <c r="M104" s="51"/>
      <c r="N104" s="51"/>
      <c r="O104" s="51"/>
      <c r="P104" s="51"/>
      <c r="Q104" s="84"/>
      <c r="S104" s="12"/>
      <c r="T104" s="12"/>
      <c r="U104" s="12"/>
      <c r="V104" s="12"/>
      <c r="W104" s="12"/>
    </row>
    <row r="105" spans="1:23" ht="60.75" customHeight="1" x14ac:dyDescent="0.25">
      <c r="A105" s="76" t="s">
        <v>112</v>
      </c>
      <c r="B105" s="21"/>
      <c r="C105" s="5">
        <f>C106</f>
        <v>129.55500000000001</v>
      </c>
      <c r="D105" s="5">
        <f>D106</f>
        <v>27.987000000000002</v>
      </c>
      <c r="E105" s="39">
        <f>E106+E113</f>
        <v>183.56600000000003</v>
      </c>
      <c r="F105" s="87">
        <f>F106+F113</f>
        <v>41.03</v>
      </c>
      <c r="G105" s="87">
        <f>G106+G113</f>
        <v>100.337</v>
      </c>
      <c r="H105" s="87">
        <f>H106+H113</f>
        <v>42.198999999999998</v>
      </c>
      <c r="I105" s="64">
        <f>I106+I113</f>
        <v>0</v>
      </c>
      <c r="J105" s="17"/>
      <c r="K105" s="16"/>
      <c r="L105" s="51"/>
      <c r="M105" s="51"/>
      <c r="N105" s="51"/>
      <c r="O105" s="51"/>
      <c r="P105" s="51"/>
      <c r="Q105" s="84"/>
    </row>
    <row r="106" spans="1:23" ht="15.75" customHeight="1" x14ac:dyDescent="0.25">
      <c r="A106" s="77" t="s">
        <v>55</v>
      </c>
      <c r="B106" s="21"/>
      <c r="C106" s="4">
        <f>C107+C108+C109</f>
        <v>129.55500000000001</v>
      </c>
      <c r="D106" s="4">
        <f>D107+D108+D109</f>
        <v>27.987000000000002</v>
      </c>
      <c r="E106" s="40">
        <f>F106+G106+H106+I106</f>
        <v>183.56600000000003</v>
      </c>
      <c r="F106" s="80">
        <f>F107+F108+F109</f>
        <v>41.03</v>
      </c>
      <c r="G106" s="80">
        <f>G107+G108+G109</f>
        <v>100.337</v>
      </c>
      <c r="H106" s="80">
        <f>H107+H108+H109</f>
        <v>42.198999999999998</v>
      </c>
      <c r="I106" s="49">
        <f>I107+I108+I109</f>
        <v>0</v>
      </c>
      <c r="J106" s="17"/>
      <c r="K106" s="16"/>
      <c r="L106" s="51"/>
      <c r="M106" s="51"/>
      <c r="N106" s="51"/>
      <c r="O106" s="51"/>
      <c r="P106" s="51"/>
      <c r="Q106" s="84"/>
    </row>
    <row r="107" spans="1:23" x14ac:dyDescent="0.25">
      <c r="A107" s="78" t="s">
        <v>113</v>
      </c>
      <c r="B107" s="21"/>
      <c r="C107" s="52">
        <v>47.874000000000002</v>
      </c>
      <c r="D107" s="11">
        <v>14.276999999999999</v>
      </c>
      <c r="E107" s="40">
        <f>G107+H107+I107</f>
        <v>69.179000000000002</v>
      </c>
      <c r="F107" s="80">
        <v>0</v>
      </c>
      <c r="G107" s="80">
        <v>34.590000000000003</v>
      </c>
      <c r="H107" s="80">
        <v>34.588999999999999</v>
      </c>
      <c r="I107" s="49">
        <v>0</v>
      </c>
      <c r="J107" s="17"/>
      <c r="K107" s="16"/>
      <c r="L107" s="51"/>
      <c r="M107" s="51"/>
      <c r="N107" s="51"/>
      <c r="O107" s="51"/>
      <c r="P107" s="51"/>
      <c r="Q107" s="84"/>
    </row>
    <row r="108" spans="1:23" x14ac:dyDescent="0.25">
      <c r="A108" s="78" t="s">
        <v>114</v>
      </c>
      <c r="B108" s="21"/>
      <c r="C108" s="52">
        <v>71.149000000000001</v>
      </c>
      <c r="D108" s="11">
        <v>3.141</v>
      </c>
      <c r="E108" s="40">
        <f>G108+H108+I108</f>
        <v>15.22</v>
      </c>
      <c r="F108" s="80">
        <v>0</v>
      </c>
      <c r="G108" s="80">
        <v>7.61</v>
      </c>
      <c r="H108" s="80">
        <v>7.61</v>
      </c>
      <c r="I108" s="49">
        <v>0</v>
      </c>
      <c r="J108" s="17"/>
      <c r="K108" s="16"/>
      <c r="L108" s="51"/>
      <c r="M108" s="51"/>
      <c r="N108" s="51"/>
      <c r="O108" s="51"/>
      <c r="P108" s="51"/>
      <c r="Q108" s="84"/>
    </row>
    <row r="109" spans="1:23" x14ac:dyDescent="0.25">
      <c r="A109" s="79" t="s">
        <v>115</v>
      </c>
      <c r="B109" s="21"/>
      <c r="C109" s="52">
        <v>10.532</v>
      </c>
      <c r="D109" s="11">
        <v>10.569000000000001</v>
      </c>
      <c r="E109" s="40">
        <f>G109+H109+I109+F109</f>
        <v>99.167000000000002</v>
      </c>
      <c r="F109" s="80">
        <v>41.03</v>
      </c>
      <c r="G109" s="80">
        <v>58.137</v>
      </c>
      <c r="H109" s="80">
        <v>0</v>
      </c>
      <c r="I109" s="49">
        <v>0</v>
      </c>
      <c r="J109" s="17"/>
      <c r="K109" s="16"/>
      <c r="L109" s="51"/>
      <c r="M109" s="51"/>
      <c r="N109" s="51"/>
      <c r="O109" s="51"/>
      <c r="P109" s="51"/>
      <c r="Q109" s="84"/>
    </row>
    <row r="110" spans="1:23" ht="76.5" customHeight="1" x14ac:dyDescent="0.25">
      <c r="A110" s="7" t="s">
        <v>63</v>
      </c>
      <c r="B110" s="21"/>
      <c r="C110" s="20"/>
      <c r="D110" s="20">
        <f>D111+D113</f>
        <v>721.5</v>
      </c>
      <c r="E110" s="39">
        <f>SUM(F110:I110)</f>
        <v>721.5</v>
      </c>
      <c r="F110" s="64">
        <f>F111+F112+F113</f>
        <v>0</v>
      </c>
      <c r="G110" s="64">
        <f t="shared" ref="G110:I110" si="12">G111+G112+G113</f>
        <v>0</v>
      </c>
      <c r="H110" s="64">
        <f>H111+H113</f>
        <v>721.5</v>
      </c>
      <c r="I110" s="64">
        <f t="shared" si="12"/>
        <v>0</v>
      </c>
      <c r="J110" s="17"/>
      <c r="K110" s="16"/>
      <c r="L110" s="51"/>
      <c r="M110" s="51"/>
      <c r="N110" s="51"/>
      <c r="O110" s="51"/>
      <c r="P110" s="51"/>
      <c r="Q110" s="84"/>
    </row>
    <row r="111" spans="1:23" ht="15" customHeight="1" x14ac:dyDescent="0.25">
      <c r="A111" s="7" t="s">
        <v>55</v>
      </c>
      <c r="B111" s="21"/>
      <c r="C111" s="11"/>
      <c r="D111" s="11">
        <v>721.5</v>
      </c>
      <c r="E111" s="40">
        <f t="shared" ref="E111" si="13">SUM(F111:I111)</f>
        <v>721.5</v>
      </c>
      <c r="F111" s="49">
        <f>F112</f>
        <v>0</v>
      </c>
      <c r="G111" s="49">
        <f t="shared" ref="G111:I111" si="14">G112</f>
        <v>0</v>
      </c>
      <c r="H111" s="49">
        <f t="shared" si="14"/>
        <v>721.5</v>
      </c>
      <c r="I111" s="49">
        <f t="shared" si="14"/>
        <v>0</v>
      </c>
      <c r="J111" s="17"/>
      <c r="K111" s="16"/>
      <c r="L111" s="51"/>
      <c r="M111" s="51"/>
      <c r="N111" s="51"/>
      <c r="O111" s="51"/>
      <c r="P111" s="51"/>
      <c r="Q111" s="84"/>
    </row>
    <row r="112" spans="1:23" ht="15" customHeight="1" x14ac:dyDescent="0.25">
      <c r="A112" s="7" t="s">
        <v>167</v>
      </c>
      <c r="B112" s="29"/>
      <c r="C112" s="11"/>
      <c r="D112" s="11">
        <v>721.5</v>
      </c>
      <c r="E112" s="40">
        <v>721.5</v>
      </c>
      <c r="F112" s="49">
        <v>0</v>
      </c>
      <c r="G112" s="49">
        <v>0</v>
      </c>
      <c r="H112" s="49">
        <v>721.5</v>
      </c>
      <c r="I112" s="49">
        <v>0</v>
      </c>
      <c r="J112" s="17"/>
      <c r="K112" s="16"/>
      <c r="L112" s="51"/>
      <c r="M112" s="51"/>
      <c r="N112" s="51"/>
      <c r="O112" s="51"/>
      <c r="P112" s="51"/>
      <c r="Q112" s="84"/>
    </row>
    <row r="113" spans="1:17" ht="15" customHeight="1" x14ac:dyDescent="0.25">
      <c r="A113" s="3" t="s">
        <v>116</v>
      </c>
      <c r="B113" s="21"/>
      <c r="C113" s="4">
        <v>0</v>
      </c>
      <c r="D113" s="11">
        <f>[2]ФП2023!E112</f>
        <v>0</v>
      </c>
      <c r="E113" s="40">
        <v>0</v>
      </c>
      <c r="F113" s="49">
        <f>F114</f>
        <v>0</v>
      </c>
      <c r="G113" s="49">
        <f t="shared" ref="G113:I113" si="15">G114</f>
        <v>0</v>
      </c>
      <c r="H113" s="49">
        <f t="shared" si="15"/>
        <v>0</v>
      </c>
      <c r="I113" s="49">
        <f t="shared" si="15"/>
        <v>0</v>
      </c>
      <c r="J113" s="17"/>
      <c r="K113" s="16"/>
      <c r="L113" s="51"/>
      <c r="M113" s="51"/>
      <c r="N113" s="51"/>
      <c r="O113" s="51"/>
      <c r="P113" s="51"/>
      <c r="Q113" s="84"/>
    </row>
    <row r="114" spans="1:17" x14ac:dyDescent="0.25">
      <c r="A114" s="3" t="s">
        <v>117</v>
      </c>
      <c r="B114" s="10" t="s">
        <v>118</v>
      </c>
      <c r="C114" s="4"/>
      <c r="D114" s="11" t="e">
        <f>[2]ФП2023!E113</f>
        <v>#REF!</v>
      </c>
      <c r="E114" s="40"/>
      <c r="F114" s="49">
        <v>0</v>
      </c>
      <c r="G114" s="49">
        <v>0</v>
      </c>
      <c r="H114" s="49">
        <v>0</v>
      </c>
      <c r="I114" s="49">
        <v>0</v>
      </c>
      <c r="J114" s="17"/>
      <c r="K114" s="16"/>
      <c r="L114" s="51"/>
      <c r="M114" s="51"/>
      <c r="N114" s="51"/>
      <c r="O114" s="51"/>
      <c r="P114" s="51"/>
      <c r="Q114" s="84"/>
    </row>
    <row r="115" spans="1:17" ht="26.25" customHeight="1" x14ac:dyDescent="0.25">
      <c r="A115" s="15" t="s">
        <v>119</v>
      </c>
      <c r="B115" s="10" t="s">
        <v>120</v>
      </c>
      <c r="C115" s="4">
        <f>C78+C77+C63+C74</f>
        <v>33456.405000000006</v>
      </c>
      <c r="D115" s="4">
        <f>D78+D77+D63+D74</f>
        <v>43350.595020000001</v>
      </c>
      <c r="E115" s="39">
        <f>SUM(F115:I115)</f>
        <v>52134.417780000003</v>
      </c>
      <c r="F115" s="64">
        <f>F63+F77+F78+F74</f>
        <v>13643.884400000003</v>
      </c>
      <c r="G115" s="64">
        <f>G63+G77+G78+G74</f>
        <v>14367.807459999998</v>
      </c>
      <c r="H115" s="64">
        <f>H63+H77+H78+H74</f>
        <v>12606.62052</v>
      </c>
      <c r="I115" s="64">
        <f>I63+I77+I78+I74</f>
        <v>11516.1054</v>
      </c>
      <c r="J115" s="17">
        <f>E115-[3]Лист1!$E$115</f>
        <v>11341.309760000011</v>
      </c>
      <c r="L115" s="84"/>
      <c r="M115" s="84"/>
      <c r="N115" s="84"/>
      <c r="O115" s="84"/>
      <c r="P115" s="84"/>
      <c r="Q115" s="84"/>
    </row>
    <row r="116" spans="1:17" ht="24" customHeight="1" x14ac:dyDescent="0.25">
      <c r="A116" s="30" t="s">
        <v>121</v>
      </c>
      <c r="B116" s="10" t="s">
        <v>122</v>
      </c>
      <c r="C116" s="4" t="e">
        <f>C61+C36-C115</f>
        <v>#REF!</v>
      </c>
      <c r="D116" s="31" t="e">
        <f>D61-D115</f>
        <v>#REF!</v>
      </c>
      <c r="E116" s="39">
        <f>F116+G116+H116+I116</f>
        <v>14.1522200000054</v>
      </c>
      <c r="F116" s="64">
        <f>F61-F115</f>
        <v>2.0340999999989435</v>
      </c>
      <c r="G116" s="64">
        <f>G61-G115</f>
        <v>3.9040400000030786</v>
      </c>
      <c r="H116" s="64">
        <f>H61-H115</f>
        <v>2.5639800000026298</v>
      </c>
      <c r="I116" s="64">
        <f>I61-I115</f>
        <v>5.650100000000748</v>
      </c>
      <c r="J116" s="17"/>
      <c r="K116" s="12"/>
      <c r="L116" s="84"/>
      <c r="M116" s="84"/>
      <c r="N116" s="84"/>
      <c r="O116" s="84"/>
      <c r="P116" s="84"/>
      <c r="Q116" s="84"/>
    </row>
    <row r="117" spans="1:17" ht="12.75" customHeight="1" x14ac:dyDescent="0.25">
      <c r="A117" s="19" t="s">
        <v>123</v>
      </c>
      <c r="B117" s="164" t="s">
        <v>124</v>
      </c>
      <c r="C117" s="170"/>
      <c r="D117" s="166"/>
      <c r="E117" s="172"/>
      <c r="F117" s="173"/>
      <c r="G117" s="173"/>
      <c r="H117" s="173"/>
      <c r="I117" s="173"/>
      <c r="J117" s="6"/>
      <c r="K117" s="12"/>
      <c r="L117" s="73"/>
      <c r="M117" s="73"/>
      <c r="N117" s="73"/>
      <c r="O117" s="73"/>
      <c r="P117" s="84"/>
      <c r="Q117" s="84"/>
    </row>
    <row r="118" spans="1:17" ht="17.25" customHeight="1" x14ac:dyDescent="0.25">
      <c r="A118" s="3" t="s">
        <v>125</v>
      </c>
      <c r="B118" s="164"/>
      <c r="C118" s="170"/>
      <c r="D118" s="171"/>
      <c r="E118" s="172"/>
      <c r="F118" s="173"/>
      <c r="G118" s="173"/>
      <c r="H118" s="173"/>
      <c r="I118" s="173"/>
      <c r="J118" s="6"/>
      <c r="K118" s="12"/>
      <c r="L118" s="73"/>
      <c r="M118" s="73"/>
      <c r="N118" s="73"/>
      <c r="O118" s="73"/>
      <c r="P118" s="84"/>
      <c r="Q118" s="84"/>
    </row>
    <row r="119" spans="1:17" x14ac:dyDescent="0.25">
      <c r="A119" s="3" t="s">
        <v>126</v>
      </c>
      <c r="B119" s="164"/>
      <c r="C119" s="170"/>
      <c r="D119" s="167"/>
      <c r="E119" s="172"/>
      <c r="F119" s="173"/>
      <c r="G119" s="173"/>
      <c r="H119" s="173"/>
      <c r="I119" s="173"/>
      <c r="J119" s="6"/>
      <c r="L119" s="84"/>
      <c r="M119" s="84"/>
      <c r="N119" s="84"/>
      <c r="O119" s="84"/>
      <c r="P119" s="84"/>
      <c r="Q119" s="84"/>
    </row>
    <row r="120" spans="1:17" ht="25.5" x14ac:dyDescent="0.25">
      <c r="A120" s="21" t="s">
        <v>127</v>
      </c>
      <c r="B120" s="164" t="s">
        <v>128</v>
      </c>
      <c r="C120" s="170"/>
      <c r="D120" s="166"/>
      <c r="E120" s="172"/>
      <c r="F120" s="173"/>
      <c r="G120" s="173"/>
      <c r="H120" s="173"/>
      <c r="I120" s="173"/>
      <c r="J120" s="6"/>
      <c r="L120" s="84"/>
      <c r="M120" s="84"/>
      <c r="N120" s="84"/>
      <c r="O120" s="84"/>
      <c r="P120" s="84"/>
      <c r="Q120" s="84"/>
    </row>
    <row r="121" spans="1:17" x14ac:dyDescent="0.25">
      <c r="A121" s="3" t="s">
        <v>125</v>
      </c>
      <c r="B121" s="164"/>
      <c r="C121" s="170"/>
      <c r="D121" s="171"/>
      <c r="E121" s="172"/>
      <c r="F121" s="173"/>
      <c r="G121" s="173"/>
      <c r="H121" s="173"/>
      <c r="I121" s="173"/>
      <c r="J121" s="6"/>
      <c r="K121" s="12"/>
      <c r="L121" s="73"/>
      <c r="M121" s="73"/>
      <c r="N121" s="73"/>
      <c r="O121" s="73"/>
      <c r="P121" s="84"/>
      <c r="Q121" s="84"/>
    </row>
    <row r="122" spans="1:17" x14ac:dyDescent="0.25">
      <c r="A122" s="3" t="s">
        <v>126</v>
      </c>
      <c r="B122" s="164"/>
      <c r="C122" s="170"/>
      <c r="D122" s="167"/>
      <c r="E122" s="172"/>
      <c r="F122" s="173"/>
      <c r="G122" s="173"/>
      <c r="H122" s="173"/>
      <c r="I122" s="173"/>
      <c r="J122" s="6"/>
      <c r="L122" s="84"/>
      <c r="M122" s="84"/>
      <c r="N122" s="84"/>
      <c r="O122" s="84"/>
      <c r="P122" s="84"/>
      <c r="Q122" s="84"/>
    </row>
    <row r="123" spans="1:17" ht="45.75" customHeight="1" x14ac:dyDescent="0.25">
      <c r="A123" s="19" t="s">
        <v>129</v>
      </c>
      <c r="B123" s="164" t="s">
        <v>130</v>
      </c>
      <c r="C123" s="55"/>
      <c r="D123" s="31"/>
      <c r="E123" s="39"/>
      <c r="F123" s="49"/>
      <c r="G123" s="49"/>
      <c r="H123" s="49"/>
      <c r="I123" s="49"/>
      <c r="J123" s="6"/>
      <c r="L123" s="84"/>
      <c r="M123" s="84"/>
      <c r="N123" s="84"/>
      <c r="O123" s="84"/>
      <c r="P123" s="84"/>
      <c r="Q123" s="84"/>
    </row>
    <row r="124" spans="1:17" x14ac:dyDescent="0.25">
      <c r="A124" s="3" t="s">
        <v>125</v>
      </c>
      <c r="B124" s="164"/>
      <c r="C124" s="4" t="e">
        <f>C116</f>
        <v>#REF!</v>
      </c>
      <c r="D124" s="4">
        <v>12.192</v>
      </c>
      <c r="E124" s="40">
        <f>E116</f>
        <v>14.1522200000054</v>
      </c>
      <c r="F124" s="49">
        <f>F116</f>
        <v>2.0340999999989435</v>
      </c>
      <c r="G124" s="49">
        <f>G116</f>
        <v>3.9040400000030786</v>
      </c>
      <c r="H124" s="49">
        <f>H116</f>
        <v>2.5639800000026298</v>
      </c>
      <c r="I124" s="49">
        <f>I116</f>
        <v>5.650100000000748</v>
      </c>
      <c r="J124" s="6"/>
      <c r="L124" s="84"/>
      <c r="M124" s="84"/>
      <c r="N124" s="84"/>
      <c r="O124" s="84"/>
      <c r="P124" s="84"/>
      <c r="Q124" s="84"/>
    </row>
    <row r="125" spans="1:17" x14ac:dyDescent="0.25">
      <c r="A125" s="3" t="s">
        <v>126</v>
      </c>
      <c r="B125" s="164"/>
      <c r="C125" s="4">
        <v>0</v>
      </c>
      <c r="D125" s="31">
        <v>0</v>
      </c>
      <c r="E125" s="39">
        <f>F125+G125+H125+I125</f>
        <v>0</v>
      </c>
      <c r="F125" s="49">
        <v>0</v>
      </c>
      <c r="G125" s="49">
        <v>0</v>
      </c>
      <c r="H125" s="49">
        <v>0</v>
      </c>
      <c r="I125" s="49">
        <v>0</v>
      </c>
      <c r="J125" s="6"/>
      <c r="L125" s="84"/>
      <c r="M125" s="84"/>
      <c r="N125" s="84"/>
      <c r="O125" s="84"/>
      <c r="P125" s="84"/>
      <c r="Q125" s="84"/>
    </row>
    <row r="126" spans="1:17" ht="25.5" x14ac:dyDescent="0.25">
      <c r="A126" s="21" t="s">
        <v>131</v>
      </c>
      <c r="B126" s="10" t="s">
        <v>132</v>
      </c>
      <c r="C126" s="4">
        <v>2.1</v>
      </c>
      <c r="D126" s="4">
        <f>D124*18%</f>
        <v>2.1945600000000001</v>
      </c>
      <c r="E126" s="39">
        <f>E124-E127</f>
        <v>2.547399600000972</v>
      </c>
      <c r="F126" s="64">
        <f>F124*0.18</f>
        <v>0.36613799999980984</v>
      </c>
      <c r="G126" s="64">
        <f>G124*0.18</f>
        <v>0.70272720000055411</v>
      </c>
      <c r="H126" s="64">
        <f>H124*0.18</f>
        <v>0.46151640000047334</v>
      </c>
      <c r="I126" s="64">
        <f>I124*0.18</f>
        <v>1.0170180000001345</v>
      </c>
      <c r="J126" s="6"/>
      <c r="L126" s="84"/>
      <c r="M126" s="84"/>
      <c r="N126" s="84"/>
      <c r="O126" s="84"/>
      <c r="P126" s="84"/>
      <c r="Q126" s="84"/>
    </row>
    <row r="127" spans="1:17" x14ac:dyDescent="0.25">
      <c r="A127" s="30" t="s">
        <v>133</v>
      </c>
      <c r="B127" s="164" t="s">
        <v>134</v>
      </c>
      <c r="C127" s="165">
        <f>C129</f>
        <v>9.6</v>
      </c>
      <c r="D127" s="166">
        <v>9.9969999999999999</v>
      </c>
      <c r="E127" s="168">
        <f>SUM(F127:I128)</f>
        <v>11.604820400004428</v>
      </c>
      <c r="F127" s="169">
        <f>F124-F126</f>
        <v>1.6679619999991337</v>
      </c>
      <c r="G127" s="169">
        <f>G124-G126</f>
        <v>3.2013128000025244</v>
      </c>
      <c r="H127" s="169">
        <f>H124-H126</f>
        <v>2.1024636000021566</v>
      </c>
      <c r="I127" s="169">
        <f>I124-I126</f>
        <v>4.6330820000006137</v>
      </c>
      <c r="J127" s="6"/>
      <c r="L127" s="84"/>
      <c r="M127" s="84"/>
      <c r="N127" s="84"/>
      <c r="O127" s="84"/>
      <c r="P127" s="84"/>
      <c r="Q127" s="84"/>
    </row>
    <row r="128" spans="1:17" ht="15.75" customHeight="1" x14ac:dyDescent="0.25">
      <c r="A128" s="32" t="s">
        <v>135</v>
      </c>
      <c r="B128" s="164"/>
      <c r="C128" s="165"/>
      <c r="D128" s="167"/>
      <c r="E128" s="168"/>
      <c r="F128" s="169"/>
      <c r="G128" s="169"/>
      <c r="H128" s="169"/>
      <c r="I128" s="169"/>
      <c r="J128" s="6"/>
      <c r="L128" s="84"/>
      <c r="M128" s="84"/>
      <c r="N128" s="84"/>
      <c r="O128" s="84"/>
      <c r="P128" s="84"/>
      <c r="Q128" s="84"/>
    </row>
    <row r="129" spans="1:17" x14ac:dyDescent="0.25">
      <c r="A129" s="29" t="s">
        <v>136</v>
      </c>
      <c r="B129" s="10" t="s">
        <v>137</v>
      </c>
      <c r="C129" s="4">
        <v>9.6</v>
      </c>
      <c r="D129" s="31">
        <v>9.9969999999999999</v>
      </c>
      <c r="E129" s="39">
        <f>E127</f>
        <v>11.604820400004428</v>
      </c>
      <c r="F129" s="64">
        <f>F127</f>
        <v>1.6679619999991337</v>
      </c>
      <c r="G129" s="64">
        <f>G127</f>
        <v>3.2013128000025244</v>
      </c>
      <c r="H129" s="64">
        <f>H127</f>
        <v>2.1024636000021566</v>
      </c>
      <c r="I129" s="64">
        <f>I127</f>
        <v>4.6330820000006137</v>
      </c>
      <c r="J129" s="6"/>
      <c r="L129" s="84"/>
      <c r="M129" s="84"/>
      <c r="N129" s="84"/>
      <c r="O129" s="84"/>
      <c r="P129" s="84"/>
      <c r="Q129" s="84"/>
    </row>
    <row r="130" spans="1:17" x14ac:dyDescent="0.25">
      <c r="A130" s="3" t="s">
        <v>126</v>
      </c>
      <c r="B130" s="10" t="s">
        <v>138</v>
      </c>
      <c r="C130" s="2"/>
      <c r="D130" s="33"/>
      <c r="E130" s="45"/>
      <c r="F130" s="70"/>
      <c r="G130" s="70"/>
      <c r="H130" s="70"/>
      <c r="I130" s="70"/>
      <c r="J130" s="6"/>
      <c r="L130" s="84"/>
      <c r="M130" s="84"/>
      <c r="N130" s="84"/>
      <c r="O130" s="84"/>
      <c r="P130" s="84"/>
      <c r="Q130" s="84"/>
    </row>
    <row r="131" spans="1:17" ht="15" customHeight="1" x14ac:dyDescent="0.25">
      <c r="A131" s="161" t="s">
        <v>139</v>
      </c>
      <c r="B131" s="161"/>
      <c r="C131" s="161"/>
      <c r="D131" s="161"/>
      <c r="E131" s="161"/>
      <c r="F131" s="161"/>
      <c r="G131" s="161"/>
      <c r="H131" s="161"/>
      <c r="I131" s="161"/>
      <c r="J131" s="6"/>
      <c r="L131" s="84"/>
      <c r="M131" s="84"/>
      <c r="N131" s="84"/>
      <c r="O131" s="84"/>
      <c r="P131" s="84"/>
      <c r="Q131" s="84"/>
    </row>
    <row r="132" spans="1:17" ht="20.25" customHeight="1" x14ac:dyDescent="0.25">
      <c r="A132" s="3" t="s">
        <v>140</v>
      </c>
      <c r="B132" s="10" t="s">
        <v>141</v>
      </c>
      <c r="C132" s="2"/>
      <c r="D132" s="2"/>
      <c r="E132" s="45"/>
      <c r="F132" s="71"/>
      <c r="G132" s="71"/>
      <c r="H132" s="71"/>
      <c r="I132" s="71"/>
      <c r="J132" s="6"/>
      <c r="L132" s="84"/>
      <c r="M132" s="84"/>
      <c r="N132" s="84"/>
      <c r="O132" s="84"/>
      <c r="P132" s="84"/>
      <c r="Q132" s="84"/>
    </row>
    <row r="133" spans="1:17" ht="25.5" x14ac:dyDescent="0.25">
      <c r="A133" s="11" t="s">
        <v>142</v>
      </c>
      <c r="B133" s="4" t="s">
        <v>143</v>
      </c>
      <c r="C133" s="4">
        <f>(C126-C140)*0.2</f>
        <v>0.4</v>
      </c>
      <c r="D133" s="60">
        <f>(D126-D140)*0.2</f>
        <v>0.33894200000000008</v>
      </c>
      <c r="E133" s="39">
        <f>SUM(F133:I133)</f>
        <v>2.2049158760008414</v>
      </c>
      <c r="F133" s="49">
        <f>(F127-F140)*0.2</f>
        <v>0.31691277999983547</v>
      </c>
      <c r="G133" s="49">
        <f>(G127-G140)*0.2</f>
        <v>0.60824943200047965</v>
      </c>
      <c r="H133" s="49">
        <f>(H127-H140)*0.2</f>
        <v>0.39946808400040978</v>
      </c>
      <c r="I133" s="49">
        <f>(I127-I140)*0.2</f>
        <v>0.8802855800001167</v>
      </c>
      <c r="J133" s="6">
        <v>1.9</v>
      </c>
      <c r="L133" s="84"/>
      <c r="M133" s="84"/>
      <c r="N133" s="84"/>
      <c r="O133" s="84"/>
      <c r="P133" s="84"/>
      <c r="Q133" s="84"/>
    </row>
    <row r="134" spans="1:17" ht="25.5" customHeight="1" x14ac:dyDescent="0.25">
      <c r="A134" s="11" t="s">
        <v>144</v>
      </c>
      <c r="B134" s="4" t="s">
        <v>145</v>
      </c>
      <c r="C134" s="4">
        <f>(C129-C141)*0.8</f>
        <v>7.68</v>
      </c>
      <c r="D134" s="60">
        <f>(D129-D141)*0.8</f>
        <v>7.9976000000000003</v>
      </c>
      <c r="E134" s="39">
        <f>SUM(F134:I134)</f>
        <v>8.8196635040033655</v>
      </c>
      <c r="F134" s="49">
        <f>(F127-F140)*0.8</f>
        <v>1.2676511199993419</v>
      </c>
      <c r="G134" s="49">
        <f>(G127-G140)*0.8</f>
        <v>2.4329977280019186</v>
      </c>
      <c r="H134" s="49">
        <f>(H127-H140)*0.8</f>
        <v>1.5978723360016391</v>
      </c>
      <c r="I134" s="49">
        <f>(I127-I140)*0.8</f>
        <v>3.5211423200004668</v>
      </c>
      <c r="J134" s="6">
        <v>7.5979999999999999</v>
      </c>
      <c r="L134" s="84"/>
      <c r="M134" s="84"/>
      <c r="N134" s="84"/>
      <c r="O134" s="84"/>
      <c r="P134" s="84"/>
      <c r="Q134" s="84"/>
    </row>
    <row r="135" spans="1:17" ht="43.5" customHeight="1" x14ac:dyDescent="0.25">
      <c r="A135" s="20" t="s">
        <v>1</v>
      </c>
      <c r="B135" s="4" t="s">
        <v>146</v>
      </c>
      <c r="C135" s="4"/>
      <c r="D135" s="4"/>
      <c r="E135" s="46"/>
      <c r="F135" s="67"/>
      <c r="G135" s="67"/>
      <c r="H135" s="67"/>
      <c r="I135" s="67"/>
      <c r="L135" s="84"/>
      <c r="M135" s="84"/>
      <c r="N135" s="84"/>
      <c r="O135" s="84"/>
      <c r="P135" s="84"/>
      <c r="Q135" s="84"/>
    </row>
    <row r="136" spans="1:17" ht="15.75" customHeight="1" x14ac:dyDescent="0.25">
      <c r="A136" s="162" t="s">
        <v>147</v>
      </c>
      <c r="B136" s="162"/>
      <c r="C136" s="162"/>
      <c r="D136" s="162"/>
      <c r="E136" s="162"/>
      <c r="F136" s="162"/>
      <c r="G136" s="162"/>
      <c r="H136" s="162"/>
      <c r="I136" s="162"/>
      <c r="L136" s="84"/>
      <c r="M136" s="84"/>
      <c r="N136" s="84"/>
      <c r="O136" s="84"/>
      <c r="P136" s="84"/>
      <c r="Q136" s="84"/>
    </row>
    <row r="137" spans="1:17" ht="16.5" customHeight="1" x14ac:dyDescent="0.25">
      <c r="A137" s="20" t="s">
        <v>148</v>
      </c>
      <c r="B137" s="4" t="s">
        <v>149</v>
      </c>
      <c r="C137" s="4"/>
      <c r="D137" s="4"/>
      <c r="E137" s="46"/>
      <c r="F137" s="64"/>
      <c r="G137" s="64"/>
      <c r="H137" s="64"/>
      <c r="I137" s="64"/>
      <c r="K137" s="12"/>
      <c r="L137" s="73"/>
      <c r="M137" s="73"/>
      <c r="N137" s="73"/>
      <c r="O137" s="73"/>
      <c r="P137" s="84"/>
      <c r="Q137" s="84"/>
    </row>
    <row r="138" spans="1:17" ht="16.5" customHeight="1" x14ac:dyDescent="0.25">
      <c r="A138" s="20" t="s">
        <v>150</v>
      </c>
      <c r="B138" s="4" t="s">
        <v>151</v>
      </c>
      <c r="C138" s="4"/>
      <c r="D138" s="4"/>
      <c r="E138" s="46"/>
      <c r="F138" s="72"/>
      <c r="G138" s="72"/>
      <c r="H138" s="72"/>
      <c r="I138" s="72"/>
      <c r="L138" s="84"/>
      <c r="M138" s="84"/>
      <c r="N138" s="84"/>
      <c r="O138" s="84"/>
      <c r="P138" s="84"/>
      <c r="Q138" s="84"/>
    </row>
    <row r="139" spans="1:17" ht="24.75" customHeight="1" x14ac:dyDescent="0.25">
      <c r="A139" s="20" t="s">
        <v>152</v>
      </c>
      <c r="B139" s="4" t="s">
        <v>153</v>
      </c>
      <c r="C139" s="34"/>
      <c r="D139" s="34"/>
      <c r="E139" s="46"/>
      <c r="F139" s="72"/>
      <c r="G139" s="72"/>
      <c r="H139" s="72"/>
      <c r="I139" s="72"/>
      <c r="K139" s="12"/>
      <c r="L139" s="73"/>
      <c r="M139" s="73"/>
      <c r="N139" s="73"/>
      <c r="O139" s="73"/>
      <c r="P139" s="84"/>
      <c r="Q139" s="84"/>
    </row>
    <row r="140" spans="1:17" x14ac:dyDescent="0.25">
      <c r="A140" s="11" t="s">
        <v>154</v>
      </c>
      <c r="B140" s="4" t="s">
        <v>155</v>
      </c>
      <c r="C140" s="4">
        <v>0.1</v>
      </c>
      <c r="D140" s="4">
        <f>D127*0.05</f>
        <v>0.49985000000000002</v>
      </c>
      <c r="E140" s="39">
        <f>E129*5%</f>
        <v>0.58024102000022137</v>
      </c>
      <c r="F140" s="64">
        <f>F127*0.05</f>
        <v>8.339809999995669E-2</v>
      </c>
      <c r="G140" s="64">
        <f>G127*0.05</f>
        <v>0.16006564000012624</v>
      </c>
      <c r="H140" s="64">
        <f>H127*0.05</f>
        <v>0.10512318000010784</v>
      </c>
      <c r="I140" s="64">
        <f>I127*0.05</f>
        <v>0.2316541000000307</v>
      </c>
      <c r="L140" s="84"/>
      <c r="M140" s="84"/>
      <c r="N140" s="84"/>
      <c r="O140" s="84"/>
      <c r="P140" s="84"/>
      <c r="Q140" s="84"/>
    </row>
    <row r="141" spans="1:17" ht="14.45" customHeight="1" x14ac:dyDescent="0.25">
      <c r="A141" s="3" t="s">
        <v>156</v>
      </c>
      <c r="B141" s="10" t="s">
        <v>157</v>
      </c>
      <c r="C141" s="2"/>
      <c r="D141" s="2"/>
      <c r="E141" s="45"/>
      <c r="F141" s="70"/>
      <c r="G141" s="70"/>
      <c r="H141" s="70"/>
      <c r="I141" s="70"/>
      <c r="L141" s="84"/>
      <c r="M141" s="84"/>
      <c r="N141" s="84"/>
      <c r="O141" s="84"/>
      <c r="P141" s="84"/>
      <c r="Q141" s="84"/>
    </row>
    <row r="142" spans="1:17" ht="12.6" hidden="1" customHeight="1" x14ac:dyDescent="0.25">
      <c r="A142" s="163"/>
      <c r="B142" s="163"/>
      <c r="C142" s="163"/>
      <c r="D142" s="163"/>
      <c r="E142" s="163"/>
      <c r="F142" s="163"/>
      <c r="G142" s="163"/>
      <c r="H142" s="163"/>
      <c r="I142" s="163"/>
      <c r="K142" s="12"/>
      <c r="L142" s="73"/>
      <c r="M142" s="73"/>
      <c r="N142" s="73"/>
      <c r="O142" s="73"/>
      <c r="P142" s="84"/>
      <c r="Q142" s="84"/>
    </row>
    <row r="143" spans="1:17" ht="16.149999999999999" hidden="1" customHeight="1" x14ac:dyDescent="0.25">
      <c r="A143" s="163"/>
      <c r="B143" s="163"/>
      <c r="C143" s="163"/>
      <c r="D143" s="163"/>
      <c r="E143" s="163"/>
      <c r="F143" s="163"/>
      <c r="G143" s="163"/>
      <c r="H143" s="163"/>
      <c r="I143" s="163"/>
      <c r="L143" s="84"/>
      <c r="M143" s="84"/>
      <c r="N143" s="84"/>
      <c r="O143" s="84"/>
      <c r="P143" s="84"/>
      <c r="Q143" s="84"/>
    </row>
    <row r="144" spans="1:17" ht="15.75" customHeight="1" x14ac:dyDescent="0.25">
      <c r="A144" s="160"/>
      <c r="B144" s="160"/>
      <c r="C144" s="160"/>
      <c r="D144" s="160"/>
      <c r="E144" s="160"/>
      <c r="F144" s="160"/>
      <c r="G144" s="160"/>
      <c r="H144" s="160"/>
      <c r="I144" s="160"/>
      <c r="L144" s="84"/>
      <c r="M144" s="84"/>
      <c r="N144" s="84"/>
      <c r="O144" s="84"/>
      <c r="P144" s="84"/>
      <c r="Q144" s="84"/>
    </row>
    <row r="145" spans="1:17" ht="30" x14ac:dyDescent="0.25">
      <c r="A145" s="35" t="s">
        <v>158</v>
      </c>
      <c r="B145" s="36"/>
      <c r="C145" s="158" t="s">
        <v>159</v>
      </c>
      <c r="D145" s="158"/>
      <c r="E145" s="158"/>
      <c r="F145" s="158"/>
      <c r="G145" s="159"/>
      <c r="H145" s="159"/>
      <c r="I145" s="159"/>
      <c r="L145" s="84"/>
      <c r="M145" s="84"/>
      <c r="N145" s="84"/>
      <c r="O145" s="84"/>
      <c r="P145" s="84"/>
      <c r="Q145" s="84"/>
    </row>
    <row r="146" spans="1:17" ht="15" customHeight="1" x14ac:dyDescent="0.25">
      <c r="G146" s="157" t="s">
        <v>160</v>
      </c>
      <c r="H146" s="157"/>
      <c r="I146" s="157"/>
      <c r="L146" s="84"/>
      <c r="M146" s="84"/>
      <c r="N146" s="84"/>
      <c r="O146" s="84"/>
      <c r="P146" s="84"/>
      <c r="Q146" s="84"/>
    </row>
    <row r="147" spans="1:17" ht="0.6" customHeight="1" x14ac:dyDescent="0.25">
      <c r="G147" s="74"/>
      <c r="H147" s="74"/>
      <c r="I147" s="74"/>
      <c r="L147" s="84"/>
      <c r="M147" s="84"/>
      <c r="N147" s="84"/>
      <c r="O147" s="84"/>
      <c r="P147" s="84"/>
      <c r="Q147" s="84"/>
    </row>
    <row r="148" spans="1:17" hidden="1" x14ac:dyDescent="0.25">
      <c r="A148" s="36" t="s">
        <v>161</v>
      </c>
      <c r="B148" s="36"/>
      <c r="C148" s="158" t="s">
        <v>162</v>
      </c>
      <c r="D148" s="158"/>
      <c r="E148" s="158"/>
      <c r="F148" s="158"/>
      <c r="G148" s="159"/>
      <c r="H148" s="159"/>
      <c r="I148" s="159"/>
      <c r="K148" s="12"/>
      <c r="L148" s="73"/>
      <c r="M148" s="73"/>
      <c r="N148" s="73"/>
      <c r="O148" s="73"/>
      <c r="P148" s="84"/>
      <c r="Q148" s="84"/>
    </row>
    <row r="149" spans="1:17" hidden="1" x14ac:dyDescent="0.25">
      <c r="G149" s="157" t="s">
        <v>160</v>
      </c>
      <c r="H149" s="157"/>
      <c r="I149" s="157"/>
      <c r="L149" s="84"/>
      <c r="M149" s="84"/>
      <c r="N149" s="84"/>
      <c r="O149" s="84"/>
      <c r="P149" s="84"/>
      <c r="Q149" s="84"/>
    </row>
    <row r="150" spans="1:17" hidden="1" x14ac:dyDescent="0.25">
      <c r="L150" s="84"/>
      <c r="M150" s="84"/>
      <c r="N150" s="84"/>
      <c r="O150" s="84"/>
      <c r="P150" s="84"/>
      <c r="Q150" s="84"/>
    </row>
    <row r="151" spans="1:17" hidden="1" x14ac:dyDescent="0.25">
      <c r="A151" s="36" t="s">
        <v>163</v>
      </c>
      <c r="B151" s="36"/>
      <c r="C151" s="158" t="s">
        <v>164</v>
      </c>
      <c r="D151" s="158"/>
      <c r="E151" s="158"/>
      <c r="F151" s="158"/>
      <c r="G151" s="159"/>
      <c r="H151" s="159"/>
      <c r="I151" s="159"/>
      <c r="L151" s="84"/>
      <c r="M151" s="84"/>
      <c r="N151" s="84"/>
      <c r="O151" s="84"/>
      <c r="P151" s="84"/>
      <c r="Q151" s="84"/>
    </row>
    <row r="152" spans="1:17" hidden="1" x14ac:dyDescent="0.25">
      <c r="G152" s="157" t="s">
        <v>160</v>
      </c>
      <c r="H152" s="157"/>
      <c r="I152" s="157"/>
      <c r="L152" s="84"/>
      <c r="M152" s="84"/>
      <c r="N152" s="84"/>
      <c r="O152" s="84"/>
      <c r="P152" s="84"/>
      <c r="Q152" s="84"/>
    </row>
    <row r="153" spans="1:17" hidden="1" x14ac:dyDescent="0.25">
      <c r="L153" s="84"/>
      <c r="M153" s="84"/>
      <c r="N153" s="84"/>
      <c r="O153" s="84"/>
      <c r="P153" s="84"/>
      <c r="Q153" s="84"/>
    </row>
    <row r="154" spans="1:17" x14ac:dyDescent="0.25">
      <c r="L154" s="84"/>
      <c r="M154" s="84"/>
      <c r="N154" s="84"/>
      <c r="O154" s="84"/>
      <c r="P154" s="84"/>
      <c r="Q154" s="84"/>
    </row>
    <row r="156" spans="1:17" x14ac:dyDescent="0.25">
      <c r="A156" t="s">
        <v>173</v>
      </c>
    </row>
    <row r="157" spans="1:17" x14ac:dyDescent="0.25">
      <c r="A157" t="s">
        <v>174</v>
      </c>
    </row>
    <row r="158" spans="1:17" x14ac:dyDescent="0.25">
      <c r="A158" t="s">
        <v>175</v>
      </c>
    </row>
  </sheetData>
  <mergeCells count="122">
    <mergeCell ref="A4:E4"/>
    <mergeCell ref="F4:I4"/>
    <mergeCell ref="A5:D5"/>
    <mergeCell ref="E5:I5"/>
    <mergeCell ref="A6:I6"/>
    <mergeCell ref="A7:H7"/>
    <mergeCell ref="A1:E1"/>
    <mergeCell ref="F1:I1"/>
    <mergeCell ref="A2:E2"/>
    <mergeCell ref="F2:I2"/>
    <mergeCell ref="A3:E3"/>
    <mergeCell ref="F3:I3"/>
    <mergeCell ref="A14:H14"/>
    <mergeCell ref="A15:H15"/>
    <mergeCell ref="A16:H16"/>
    <mergeCell ref="A17:H17"/>
    <mergeCell ref="A18:H18"/>
    <mergeCell ref="A19:H19"/>
    <mergeCell ref="A8:H8"/>
    <mergeCell ref="A9:H9"/>
    <mergeCell ref="A10:H10"/>
    <mergeCell ref="A11:H11"/>
    <mergeCell ref="A12:H12"/>
    <mergeCell ref="A13:H13"/>
    <mergeCell ref="A20:H20"/>
    <mergeCell ref="A21:I21"/>
    <mergeCell ref="A22:I22"/>
    <mergeCell ref="A23:I23"/>
    <mergeCell ref="A24:I24"/>
    <mergeCell ref="A25:A27"/>
    <mergeCell ref="B25:B27"/>
    <mergeCell ref="C25:C26"/>
    <mergeCell ref="D25:D26"/>
    <mergeCell ref="F25:I26"/>
    <mergeCell ref="A28:I28"/>
    <mergeCell ref="B29:B35"/>
    <mergeCell ref="A39:A40"/>
    <mergeCell ref="B39:B40"/>
    <mergeCell ref="C39:C40"/>
    <mergeCell ref="D39:D40"/>
    <mergeCell ref="E39:E40"/>
    <mergeCell ref="F39:F40"/>
    <mergeCell ref="G39:G40"/>
    <mergeCell ref="H39:H40"/>
    <mergeCell ref="I39:I40"/>
    <mergeCell ref="A41:A42"/>
    <mergeCell ref="B41:B42"/>
    <mergeCell ref="C41:C42"/>
    <mergeCell ref="D41:D42"/>
    <mergeCell ref="E41:E42"/>
    <mergeCell ref="F41:F42"/>
    <mergeCell ref="G41:G42"/>
    <mergeCell ref="H41:H42"/>
    <mergeCell ref="I41:I42"/>
    <mergeCell ref="H43:H44"/>
    <mergeCell ref="I43:I44"/>
    <mergeCell ref="B46:B59"/>
    <mergeCell ref="A62:I62"/>
    <mergeCell ref="A65:A66"/>
    <mergeCell ref="B65:B66"/>
    <mergeCell ref="C65:C66"/>
    <mergeCell ref="D65:D66"/>
    <mergeCell ref="E65:E66"/>
    <mergeCell ref="F65:F66"/>
    <mergeCell ref="B43:B44"/>
    <mergeCell ref="C43:C44"/>
    <mergeCell ref="D43:D44"/>
    <mergeCell ref="E43:E44"/>
    <mergeCell ref="F43:F44"/>
    <mergeCell ref="G43:G44"/>
    <mergeCell ref="G65:G66"/>
    <mergeCell ref="H65:H66"/>
    <mergeCell ref="I65:I66"/>
    <mergeCell ref="B67:B69"/>
    <mergeCell ref="A70:A71"/>
    <mergeCell ref="B70:B71"/>
    <mergeCell ref="C70:C71"/>
    <mergeCell ref="D70:D71"/>
    <mergeCell ref="E70:E71"/>
    <mergeCell ref="F70:F71"/>
    <mergeCell ref="G70:G71"/>
    <mergeCell ref="H70:H71"/>
    <mergeCell ref="I70:I71"/>
    <mergeCell ref="B74:B76"/>
    <mergeCell ref="B117:B119"/>
    <mergeCell ref="C117:C119"/>
    <mergeCell ref="D117:D119"/>
    <mergeCell ref="E117:E119"/>
    <mergeCell ref="F117:F119"/>
    <mergeCell ref="G117:G119"/>
    <mergeCell ref="H117:H119"/>
    <mergeCell ref="I117:I119"/>
    <mergeCell ref="B120:B122"/>
    <mergeCell ref="C120:C122"/>
    <mergeCell ref="D120:D122"/>
    <mergeCell ref="E120:E122"/>
    <mergeCell ref="F120:F122"/>
    <mergeCell ref="G120:G122"/>
    <mergeCell ref="H120:H122"/>
    <mergeCell ref="I120:I122"/>
    <mergeCell ref="G127:G128"/>
    <mergeCell ref="H127:H128"/>
    <mergeCell ref="I127:I128"/>
    <mergeCell ref="A131:I131"/>
    <mergeCell ref="A136:I136"/>
    <mergeCell ref="A142:I143"/>
    <mergeCell ref="B123:B125"/>
    <mergeCell ref="B127:B128"/>
    <mergeCell ref="C127:C128"/>
    <mergeCell ref="D127:D128"/>
    <mergeCell ref="E127:E128"/>
    <mergeCell ref="F127:F128"/>
    <mergeCell ref="G149:I149"/>
    <mergeCell ref="C151:F151"/>
    <mergeCell ref="G151:I151"/>
    <mergeCell ref="G152:I152"/>
    <mergeCell ref="A144:I144"/>
    <mergeCell ref="C145:F145"/>
    <mergeCell ref="G145:I145"/>
    <mergeCell ref="G146:I146"/>
    <mergeCell ref="C148:F148"/>
    <mergeCell ref="G148:I148"/>
  </mergeCells>
  <pageMargins left="0.59055118110236227" right="0.31496062992125984" top="0.39370078740157483" bottom="0.39370078740157483" header="0.31496062992125984" footer="0.31496062992125984"/>
  <pageSetup paperSize="9" scale="4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1C12B-A7DA-49E4-8A3C-4379BB844DF2}">
  <sheetPr>
    <pageSetUpPr fitToPage="1"/>
  </sheetPr>
  <dimension ref="A1:O159"/>
  <sheetViews>
    <sheetView view="pageBreakPreview" topLeftCell="A25" zoomScaleNormal="70" zoomScaleSheetLayoutView="100" workbookViewId="0">
      <selection activeCell="G30" sqref="G30"/>
    </sheetView>
  </sheetViews>
  <sheetFormatPr defaultColWidth="8.85546875" defaultRowHeight="15" x14ac:dyDescent="0.25"/>
  <cols>
    <col min="1" max="1" width="30.28515625" style="97" customWidth="1"/>
    <col min="2" max="2" width="7.28515625" style="97" customWidth="1"/>
    <col min="3" max="3" width="10.7109375" style="47" bestFit="1" customWidth="1"/>
    <col min="4" max="4" width="10.7109375" style="47" customWidth="1"/>
    <col min="5" max="5" width="11.28515625" style="47" bestFit="1" customWidth="1"/>
    <col min="6" max="6" width="10" style="47" bestFit="1" customWidth="1"/>
    <col min="7" max="7" width="10.85546875" style="47" bestFit="1" customWidth="1"/>
    <col min="8" max="8" width="11.5703125" style="47" customWidth="1"/>
    <col min="9" max="9" width="12.5703125" style="47" customWidth="1"/>
    <col min="10" max="10" width="8.85546875" style="97"/>
    <col min="11" max="11" width="11" style="97" bestFit="1" customWidth="1"/>
    <col min="12" max="16384" width="8.85546875" style="97"/>
  </cols>
  <sheetData>
    <row r="1" spans="1:9" x14ac:dyDescent="0.25">
      <c r="A1" s="211"/>
      <c r="B1" s="211"/>
      <c r="C1" s="211"/>
      <c r="D1" s="211"/>
      <c r="E1" s="211"/>
      <c r="F1" s="212" t="s">
        <v>0</v>
      </c>
      <c r="G1" s="212"/>
      <c r="H1" s="212"/>
      <c r="I1" s="212"/>
    </row>
    <row r="2" spans="1:9" ht="15" customHeight="1" x14ac:dyDescent="0.25">
      <c r="A2" s="215"/>
      <c r="B2" s="215"/>
      <c r="C2" s="215"/>
      <c r="D2" s="215"/>
      <c r="E2" s="215"/>
      <c r="F2" s="216" t="s">
        <v>165</v>
      </c>
      <c r="G2" s="216"/>
      <c r="H2" s="216"/>
      <c r="I2" s="216"/>
    </row>
    <row r="3" spans="1:9" x14ac:dyDescent="0.25">
      <c r="A3" s="211"/>
      <c r="B3" s="211"/>
      <c r="C3" s="211"/>
      <c r="D3" s="211"/>
      <c r="E3" s="211"/>
      <c r="F3" s="212" t="s">
        <v>2</v>
      </c>
      <c r="G3" s="212"/>
      <c r="H3" s="212"/>
      <c r="I3" s="212"/>
    </row>
    <row r="4" spans="1:9" x14ac:dyDescent="0.25">
      <c r="A4" s="211"/>
      <c r="B4" s="211"/>
      <c r="C4" s="211"/>
      <c r="D4" s="211"/>
      <c r="E4" s="211"/>
      <c r="F4" s="212" t="s">
        <v>3</v>
      </c>
      <c r="G4" s="212"/>
      <c r="H4" s="212"/>
      <c r="I4" s="212"/>
    </row>
    <row r="5" spans="1:9" ht="16.5" customHeight="1" x14ac:dyDescent="0.25">
      <c r="A5" s="211"/>
      <c r="B5" s="211"/>
      <c r="C5" s="211"/>
      <c r="D5" s="211"/>
      <c r="E5" s="212" t="s">
        <v>4</v>
      </c>
      <c r="F5" s="212"/>
      <c r="G5" s="212"/>
      <c r="H5" s="212"/>
      <c r="I5" s="212"/>
    </row>
    <row r="6" spans="1:9" x14ac:dyDescent="0.25">
      <c r="A6" s="213"/>
      <c r="B6" s="213"/>
      <c r="C6" s="213"/>
      <c r="D6" s="213"/>
      <c r="E6" s="213"/>
      <c r="F6" s="213"/>
      <c r="G6" s="213"/>
      <c r="H6" s="213"/>
      <c r="I6" s="213"/>
    </row>
    <row r="7" spans="1:9" x14ac:dyDescent="0.25">
      <c r="A7" s="214"/>
      <c r="B7" s="214"/>
      <c r="C7" s="214"/>
      <c r="D7" s="214"/>
      <c r="E7" s="214"/>
      <c r="F7" s="214"/>
      <c r="G7" s="214"/>
      <c r="H7" s="214"/>
      <c r="I7" s="55" t="s">
        <v>5</v>
      </c>
    </row>
    <row r="8" spans="1:9" x14ac:dyDescent="0.25">
      <c r="A8" s="219" t="s">
        <v>6</v>
      </c>
      <c r="B8" s="220"/>
      <c r="C8" s="220"/>
      <c r="D8" s="220"/>
      <c r="E8" s="220"/>
      <c r="F8" s="220"/>
      <c r="G8" s="220"/>
      <c r="H8" s="221"/>
      <c r="I8" s="94">
        <v>23990212</v>
      </c>
    </row>
    <row r="9" spans="1:9" x14ac:dyDescent="0.25">
      <c r="A9" s="217"/>
      <c r="B9" s="217"/>
      <c r="C9" s="217"/>
      <c r="D9" s="217"/>
      <c r="E9" s="217"/>
      <c r="F9" s="217"/>
      <c r="G9" s="217"/>
      <c r="H9" s="217"/>
      <c r="I9" s="55"/>
    </row>
    <row r="10" spans="1:9" x14ac:dyDescent="0.25">
      <c r="A10" s="217"/>
      <c r="B10" s="217"/>
      <c r="C10" s="217"/>
      <c r="D10" s="217"/>
      <c r="E10" s="217"/>
      <c r="F10" s="217"/>
      <c r="G10" s="217"/>
      <c r="H10" s="217"/>
      <c r="I10" s="55"/>
    </row>
    <row r="11" spans="1:9" x14ac:dyDescent="0.25">
      <c r="A11" s="217" t="s">
        <v>7</v>
      </c>
      <c r="B11" s="217"/>
      <c r="C11" s="217"/>
      <c r="D11" s="217"/>
      <c r="E11" s="217"/>
      <c r="F11" s="217"/>
      <c r="G11" s="217"/>
      <c r="H11" s="217"/>
      <c r="I11" s="55"/>
    </row>
    <row r="12" spans="1:9" x14ac:dyDescent="0.25">
      <c r="A12" s="217" t="s">
        <v>8</v>
      </c>
      <c r="B12" s="217"/>
      <c r="C12" s="217"/>
      <c r="D12" s="217"/>
      <c r="E12" s="217"/>
      <c r="F12" s="217"/>
      <c r="G12" s="217"/>
      <c r="H12" s="217"/>
      <c r="I12" s="55"/>
    </row>
    <row r="13" spans="1:9" ht="28.5" customHeight="1" x14ac:dyDescent="0.25">
      <c r="A13" s="218" t="s">
        <v>9</v>
      </c>
      <c r="B13" s="218"/>
      <c r="C13" s="218"/>
      <c r="D13" s="218"/>
      <c r="E13" s="218"/>
      <c r="F13" s="218"/>
      <c r="G13" s="218"/>
      <c r="H13" s="218"/>
      <c r="I13" s="55"/>
    </row>
    <row r="14" spans="1:9" x14ac:dyDescent="0.25">
      <c r="A14" s="217" t="s">
        <v>10</v>
      </c>
      <c r="B14" s="217"/>
      <c r="C14" s="217"/>
      <c r="D14" s="217"/>
      <c r="E14" s="217"/>
      <c r="F14" s="217"/>
      <c r="G14" s="217"/>
      <c r="H14" s="217"/>
      <c r="I14" s="55"/>
    </row>
    <row r="15" spans="1:9" x14ac:dyDescent="0.25">
      <c r="A15" s="217" t="s">
        <v>11</v>
      </c>
      <c r="B15" s="217"/>
      <c r="C15" s="217"/>
      <c r="D15" s="217"/>
      <c r="E15" s="217"/>
      <c r="F15" s="217"/>
      <c r="G15" s="217"/>
      <c r="H15" s="217"/>
      <c r="I15" s="55" t="s">
        <v>12</v>
      </c>
    </row>
    <row r="16" spans="1:9" x14ac:dyDescent="0.25">
      <c r="A16" s="217" t="s">
        <v>13</v>
      </c>
      <c r="B16" s="217"/>
      <c r="C16" s="217"/>
      <c r="D16" s="217"/>
      <c r="E16" s="217"/>
      <c r="F16" s="217"/>
      <c r="G16" s="217"/>
      <c r="H16" s="217"/>
      <c r="I16" s="55"/>
    </row>
    <row r="17" spans="1:9" x14ac:dyDescent="0.25">
      <c r="A17" s="217" t="s">
        <v>14</v>
      </c>
      <c r="B17" s="217"/>
      <c r="C17" s="217"/>
      <c r="D17" s="217"/>
      <c r="E17" s="217"/>
      <c r="F17" s="217"/>
      <c r="G17" s="217"/>
      <c r="H17" s="217"/>
      <c r="I17" s="55"/>
    </row>
    <row r="18" spans="1:9" x14ac:dyDescent="0.25">
      <c r="A18" s="217" t="s">
        <v>183</v>
      </c>
      <c r="B18" s="217"/>
      <c r="C18" s="217"/>
      <c r="D18" s="217"/>
      <c r="E18" s="217"/>
      <c r="F18" s="217"/>
      <c r="G18" s="217"/>
      <c r="H18" s="217"/>
      <c r="I18" s="55"/>
    </row>
    <row r="19" spans="1:9" ht="28.5" customHeight="1" x14ac:dyDescent="0.25">
      <c r="A19" s="218" t="s">
        <v>16</v>
      </c>
      <c r="B19" s="217"/>
      <c r="C19" s="217"/>
      <c r="D19" s="217"/>
      <c r="E19" s="217"/>
      <c r="F19" s="217"/>
      <c r="G19" s="217"/>
      <c r="H19" s="217"/>
      <c r="I19" s="55"/>
    </row>
    <row r="20" spans="1:9" x14ac:dyDescent="0.25">
      <c r="A20" s="217" t="s">
        <v>17</v>
      </c>
      <c r="B20" s="217"/>
      <c r="C20" s="217"/>
      <c r="D20" s="217"/>
      <c r="E20" s="217"/>
      <c r="F20" s="217"/>
      <c r="G20" s="217"/>
      <c r="H20" s="217"/>
      <c r="I20" s="55"/>
    </row>
    <row r="21" spans="1:9" ht="27" customHeight="1" x14ac:dyDescent="0.25">
      <c r="A21" s="222" t="s">
        <v>181</v>
      </c>
      <c r="B21" s="222"/>
      <c r="C21" s="222"/>
      <c r="D21" s="222"/>
      <c r="E21" s="222"/>
      <c r="F21" s="222"/>
      <c r="G21" s="222"/>
      <c r="H21" s="222"/>
      <c r="I21" s="222"/>
    </row>
    <row r="22" spans="1:9" ht="15" customHeight="1" x14ac:dyDescent="0.25">
      <c r="A22" s="223" t="s">
        <v>168</v>
      </c>
      <c r="B22" s="224"/>
      <c r="C22" s="224"/>
      <c r="D22" s="224"/>
      <c r="E22" s="224"/>
      <c r="F22" s="224"/>
      <c r="G22" s="224"/>
      <c r="H22" s="224"/>
      <c r="I22" s="225"/>
    </row>
    <row r="23" spans="1:9" ht="18.75" customHeight="1" x14ac:dyDescent="0.25">
      <c r="A23" s="223" t="s">
        <v>18</v>
      </c>
      <c r="B23" s="224"/>
      <c r="C23" s="224"/>
      <c r="D23" s="224"/>
      <c r="E23" s="224"/>
      <c r="F23" s="224"/>
      <c r="G23" s="224"/>
      <c r="H23" s="224"/>
      <c r="I23" s="225"/>
    </row>
    <row r="24" spans="1:9" x14ac:dyDescent="0.25">
      <c r="A24" s="222" t="s">
        <v>19</v>
      </c>
      <c r="B24" s="222"/>
      <c r="C24" s="222"/>
      <c r="D24" s="222"/>
      <c r="E24" s="226"/>
      <c r="F24" s="222"/>
      <c r="G24" s="222"/>
      <c r="H24" s="222"/>
      <c r="I24" s="222"/>
    </row>
    <row r="25" spans="1:9" x14ac:dyDescent="0.25">
      <c r="A25" s="227"/>
      <c r="B25" s="227" t="s">
        <v>20</v>
      </c>
      <c r="C25" s="228" t="s">
        <v>21</v>
      </c>
      <c r="D25" s="229" t="s">
        <v>21</v>
      </c>
      <c r="E25" s="37" t="s">
        <v>22</v>
      </c>
      <c r="F25" s="230" t="s">
        <v>23</v>
      </c>
      <c r="G25" s="231"/>
      <c r="H25" s="231"/>
      <c r="I25" s="231"/>
    </row>
    <row r="26" spans="1:9" x14ac:dyDescent="0.25">
      <c r="A26" s="227"/>
      <c r="B26" s="227"/>
      <c r="C26" s="228"/>
      <c r="D26" s="229"/>
      <c r="E26" s="38" t="s">
        <v>24</v>
      </c>
      <c r="F26" s="230"/>
      <c r="G26" s="231"/>
      <c r="H26" s="231"/>
      <c r="I26" s="231"/>
    </row>
    <row r="27" spans="1:9" ht="51" x14ac:dyDescent="0.25">
      <c r="A27" s="227"/>
      <c r="B27" s="227"/>
      <c r="C27" s="98" t="s">
        <v>192</v>
      </c>
      <c r="D27" s="98" t="s">
        <v>193</v>
      </c>
      <c r="E27" s="38" t="s">
        <v>194</v>
      </c>
      <c r="F27" s="98" t="s">
        <v>25</v>
      </c>
      <c r="G27" s="98" t="s">
        <v>26</v>
      </c>
      <c r="H27" s="98" t="s">
        <v>27</v>
      </c>
      <c r="I27" s="98" t="s">
        <v>28</v>
      </c>
    </row>
    <row r="28" spans="1:9" x14ac:dyDescent="0.25">
      <c r="A28" s="232" t="s">
        <v>29</v>
      </c>
      <c r="B28" s="232"/>
      <c r="C28" s="232"/>
      <c r="D28" s="232"/>
      <c r="E28" s="232"/>
      <c r="F28" s="232"/>
      <c r="G28" s="232"/>
      <c r="H28" s="232"/>
      <c r="I28" s="232"/>
    </row>
    <row r="29" spans="1:9" ht="25.5" x14ac:dyDescent="0.25">
      <c r="A29" s="57" t="s">
        <v>30</v>
      </c>
      <c r="B29" s="233" t="s">
        <v>31</v>
      </c>
      <c r="C29" s="39">
        <f>SUM(C31:C36)</f>
        <v>363.58200000000005</v>
      </c>
      <c r="D29" s="39">
        <f>SUM(D31:D35)</f>
        <v>272.834</v>
      </c>
      <c r="E29" s="39">
        <f>SUM(F29:I29)</f>
        <v>304.2</v>
      </c>
      <c r="F29" s="39">
        <f>SUM(F31:F35)</f>
        <v>88</v>
      </c>
      <c r="G29" s="39">
        <f>SUM(G31:G35)</f>
        <v>110.2</v>
      </c>
      <c r="H29" s="39">
        <f>SUM(H31:H35)</f>
        <v>48</v>
      </c>
      <c r="I29" s="39">
        <f>SUM(I31:I35)</f>
        <v>58</v>
      </c>
    </row>
    <row r="30" spans="1:9" x14ac:dyDescent="0.25">
      <c r="A30" s="99" t="s">
        <v>32</v>
      </c>
      <c r="B30" s="234"/>
      <c r="C30" s="40"/>
      <c r="D30" s="40"/>
      <c r="E30" s="39"/>
      <c r="F30" s="39"/>
      <c r="G30" s="39"/>
      <c r="H30" s="39"/>
      <c r="I30" s="39"/>
    </row>
    <row r="31" spans="1:9" ht="27.75" customHeight="1" x14ac:dyDescent="0.25">
      <c r="A31" s="57" t="s">
        <v>33</v>
      </c>
      <c r="B31" s="234"/>
      <c r="C31" s="40">
        <v>28.111000000000001</v>
      </c>
      <c r="D31" s="40">
        <v>34.834000000000003</v>
      </c>
      <c r="E31" s="39">
        <f>SUM(F31:I31)</f>
        <v>28</v>
      </c>
      <c r="F31" s="40">
        <v>7</v>
      </c>
      <c r="G31" s="40">
        <v>7</v>
      </c>
      <c r="H31" s="40">
        <v>7</v>
      </c>
      <c r="I31" s="40">
        <v>7</v>
      </c>
    </row>
    <row r="32" spans="1:9" ht="16.5" customHeight="1" x14ac:dyDescent="0.25">
      <c r="A32" s="57" t="s">
        <v>34</v>
      </c>
      <c r="B32" s="234"/>
      <c r="C32" s="40">
        <v>4.8499999999999996</v>
      </c>
      <c r="D32" s="40">
        <v>3</v>
      </c>
      <c r="E32" s="39">
        <f>SUM(F32:I32)</f>
        <v>2</v>
      </c>
      <c r="F32" s="40">
        <v>0.5</v>
      </c>
      <c r="G32" s="40">
        <v>0.5</v>
      </c>
      <c r="H32" s="40">
        <v>0.5</v>
      </c>
      <c r="I32" s="40">
        <v>0.5</v>
      </c>
    </row>
    <row r="33" spans="1:9" ht="16.5" customHeight="1" x14ac:dyDescent="0.25">
      <c r="A33" s="57" t="s">
        <v>35</v>
      </c>
      <c r="B33" s="234"/>
      <c r="C33" s="40">
        <v>163.36500000000001</v>
      </c>
      <c r="D33" s="40">
        <v>110</v>
      </c>
      <c r="E33" s="39">
        <f>SUM(F33:I33)</f>
        <v>141.19999999999999</v>
      </c>
      <c r="F33" s="40">
        <v>58.5</v>
      </c>
      <c r="G33" s="40">
        <v>37.700000000000003</v>
      </c>
      <c r="H33" s="40">
        <v>24.5</v>
      </c>
      <c r="I33" s="40">
        <v>20.5</v>
      </c>
    </row>
    <row r="34" spans="1:9" ht="16.5" customHeight="1" x14ac:dyDescent="0.25">
      <c r="A34" s="57" t="s">
        <v>36</v>
      </c>
      <c r="B34" s="234"/>
      <c r="C34" s="40">
        <v>9.5079999999999991</v>
      </c>
      <c r="D34" s="40">
        <v>10</v>
      </c>
      <c r="E34" s="39">
        <f>SUM(F34:I34)</f>
        <v>17</v>
      </c>
      <c r="F34" s="40">
        <v>0</v>
      </c>
      <c r="G34" s="40">
        <v>15</v>
      </c>
      <c r="H34" s="40">
        <v>2</v>
      </c>
      <c r="I34" s="40">
        <v>0</v>
      </c>
    </row>
    <row r="35" spans="1:9" ht="45.75" customHeight="1" x14ac:dyDescent="0.25">
      <c r="A35" s="57" t="s">
        <v>37</v>
      </c>
      <c r="B35" s="235"/>
      <c r="C35" s="40">
        <v>145.999</v>
      </c>
      <c r="D35" s="40">
        <v>115</v>
      </c>
      <c r="E35" s="39">
        <f>SUM(F35:I35)</f>
        <v>116</v>
      </c>
      <c r="F35" s="40">
        <v>22</v>
      </c>
      <c r="G35" s="40">
        <v>50</v>
      </c>
      <c r="H35" s="40">
        <v>14</v>
      </c>
      <c r="I35" s="40">
        <v>30</v>
      </c>
    </row>
    <row r="36" spans="1:9" x14ac:dyDescent="0.25">
      <c r="A36" s="57" t="s">
        <v>38</v>
      </c>
      <c r="B36" s="100"/>
      <c r="C36" s="40">
        <v>11.749000000000001</v>
      </c>
      <c r="D36" s="40"/>
      <c r="E36" s="39"/>
      <c r="F36" s="40"/>
      <c r="G36" s="40"/>
      <c r="H36" s="40"/>
      <c r="I36" s="40"/>
    </row>
    <row r="37" spans="1:9" ht="15.75" customHeight="1" x14ac:dyDescent="0.25">
      <c r="A37" s="57" t="s">
        <v>39</v>
      </c>
      <c r="B37" s="101" t="s">
        <v>40</v>
      </c>
      <c r="C37" s="40">
        <v>0</v>
      </c>
      <c r="D37" s="40">
        <v>0</v>
      </c>
      <c r="E37" s="39">
        <f>SUM(F37:I37)</f>
        <v>0</v>
      </c>
      <c r="F37" s="39">
        <v>0</v>
      </c>
      <c r="G37" s="39">
        <v>0</v>
      </c>
      <c r="H37" s="39">
        <v>0</v>
      </c>
      <c r="I37" s="39">
        <v>0</v>
      </c>
    </row>
    <row r="38" spans="1:9" ht="21.75" customHeight="1" x14ac:dyDescent="0.25">
      <c r="A38" s="57" t="s">
        <v>41</v>
      </c>
      <c r="B38" s="101" t="s">
        <v>42</v>
      </c>
      <c r="C38" s="40">
        <v>0</v>
      </c>
      <c r="D38" s="40">
        <v>0</v>
      </c>
      <c r="E38" s="39">
        <v>0</v>
      </c>
      <c r="F38" s="40">
        <v>0</v>
      </c>
      <c r="G38" s="40">
        <v>0</v>
      </c>
      <c r="H38" s="40">
        <v>0</v>
      </c>
      <c r="I38" s="40">
        <v>0</v>
      </c>
    </row>
    <row r="39" spans="1:9" ht="16.5" customHeight="1" x14ac:dyDescent="0.25">
      <c r="A39" s="236" t="s">
        <v>43</v>
      </c>
      <c r="B39" s="237" t="s">
        <v>44</v>
      </c>
      <c r="C39" s="184">
        <v>0</v>
      </c>
      <c r="D39" s="184">
        <v>0</v>
      </c>
      <c r="E39" s="238">
        <v>0</v>
      </c>
      <c r="F39" s="184">
        <v>0</v>
      </c>
      <c r="G39" s="184">
        <v>0</v>
      </c>
      <c r="H39" s="184">
        <v>0</v>
      </c>
      <c r="I39" s="184">
        <v>0</v>
      </c>
    </row>
    <row r="40" spans="1:9" ht="9.75" customHeight="1" x14ac:dyDescent="0.25">
      <c r="A40" s="236"/>
      <c r="B40" s="237"/>
      <c r="C40" s="184"/>
      <c r="D40" s="184"/>
      <c r="E40" s="239"/>
      <c r="F40" s="184"/>
      <c r="G40" s="184"/>
      <c r="H40" s="184"/>
      <c r="I40" s="184"/>
    </row>
    <row r="41" spans="1:9" ht="21" customHeight="1" x14ac:dyDescent="0.25">
      <c r="A41" s="232" t="s">
        <v>45</v>
      </c>
      <c r="B41" s="237" t="s">
        <v>46</v>
      </c>
      <c r="C41" s="168">
        <f t="shared" ref="C41:I41" si="0">C29</f>
        <v>363.58200000000005</v>
      </c>
      <c r="D41" s="168">
        <f t="shared" si="0"/>
        <v>272.834</v>
      </c>
      <c r="E41" s="238">
        <f>E29</f>
        <v>304.2</v>
      </c>
      <c r="F41" s="168">
        <f t="shared" si="0"/>
        <v>88</v>
      </c>
      <c r="G41" s="168">
        <f t="shared" si="0"/>
        <v>110.2</v>
      </c>
      <c r="H41" s="168">
        <f t="shared" si="0"/>
        <v>48</v>
      </c>
      <c r="I41" s="168">
        <f t="shared" si="0"/>
        <v>58</v>
      </c>
    </row>
    <row r="42" spans="1:9" ht="30.6" customHeight="1" x14ac:dyDescent="0.25">
      <c r="A42" s="232"/>
      <c r="B42" s="237"/>
      <c r="C42" s="168"/>
      <c r="D42" s="168"/>
      <c r="E42" s="239"/>
      <c r="F42" s="168"/>
      <c r="G42" s="168"/>
      <c r="H42" s="168"/>
      <c r="I42" s="168"/>
    </row>
    <row r="43" spans="1:9" ht="14.25" customHeight="1" x14ac:dyDescent="0.25">
      <c r="A43" s="57" t="s">
        <v>47</v>
      </c>
      <c r="B43" s="237" t="s">
        <v>48</v>
      </c>
      <c r="C43" s="184">
        <v>139.78</v>
      </c>
      <c r="D43" s="184">
        <v>194.49700000000001</v>
      </c>
      <c r="E43" s="238">
        <f>SUM(F43:I44)</f>
        <v>204.01599999999999</v>
      </c>
      <c r="F43" s="184">
        <v>51.003999999999998</v>
      </c>
      <c r="G43" s="184">
        <v>51.003999999999998</v>
      </c>
      <c r="H43" s="184">
        <v>51.003999999999998</v>
      </c>
      <c r="I43" s="184">
        <v>51.003999999999998</v>
      </c>
    </row>
    <row r="44" spans="1:9" ht="17.25" customHeight="1" x14ac:dyDescent="0.25">
      <c r="A44" s="57" t="s">
        <v>49</v>
      </c>
      <c r="B44" s="237"/>
      <c r="C44" s="184"/>
      <c r="D44" s="184"/>
      <c r="E44" s="239"/>
      <c r="F44" s="184"/>
      <c r="G44" s="184"/>
      <c r="H44" s="184"/>
      <c r="I44" s="184"/>
    </row>
    <row r="45" spans="1:9" ht="21" customHeight="1" x14ac:dyDescent="0.25">
      <c r="A45" s="57" t="s">
        <v>50</v>
      </c>
      <c r="B45" s="101" t="s">
        <v>51</v>
      </c>
      <c r="C45" s="39">
        <f>C47+C51+C54+C57</f>
        <v>20833.35872</v>
      </c>
      <c r="D45" s="39">
        <f>D47+D51+D54+D57</f>
        <v>30710.774000000001</v>
      </c>
      <c r="E45" s="39">
        <f>SUM(F45:I45)</f>
        <v>31907.590000000004</v>
      </c>
      <c r="F45" s="39">
        <f>F47+F51+F54+F57</f>
        <v>8709.4900000000016</v>
      </c>
      <c r="G45" s="39">
        <f>G47+G51+G54+G57</f>
        <v>8857.8459999999995</v>
      </c>
      <c r="H45" s="39">
        <f>H47+H51+H54+H57</f>
        <v>7461.6750000000002</v>
      </c>
      <c r="I45" s="39">
        <f>I47+I51+I54+I57</f>
        <v>6878.5790000000006</v>
      </c>
    </row>
    <row r="46" spans="1:9" ht="30" customHeight="1" x14ac:dyDescent="0.25">
      <c r="A46" s="57" t="s">
        <v>52</v>
      </c>
      <c r="B46" s="240" t="s">
        <v>53</v>
      </c>
      <c r="C46" s="40"/>
      <c r="D46" s="40"/>
      <c r="E46" s="39"/>
      <c r="F46" s="39"/>
      <c r="G46" s="40"/>
      <c r="H46" s="40"/>
      <c r="I46" s="59"/>
    </row>
    <row r="47" spans="1:9" ht="77.25" customHeight="1" x14ac:dyDescent="0.25">
      <c r="A47" s="99" t="s">
        <v>187</v>
      </c>
      <c r="B47" s="241"/>
      <c r="C47" s="39">
        <f>C48+C50</f>
        <v>20524.100999999999</v>
      </c>
      <c r="D47" s="39">
        <f>D48+D50</f>
        <v>29711.84</v>
      </c>
      <c r="E47" s="39">
        <f>F47+G47+H47+I47</f>
        <v>30706.488000000005</v>
      </c>
      <c r="F47" s="39">
        <f>F48+F50</f>
        <v>8670.1840000000011</v>
      </c>
      <c r="G47" s="39">
        <f>G48+G50</f>
        <v>8550.2579999999998</v>
      </c>
      <c r="H47" s="39">
        <f>H48+H50</f>
        <v>6607.4670000000006</v>
      </c>
      <c r="I47" s="39">
        <f>I48+I50</f>
        <v>6878.5790000000006</v>
      </c>
    </row>
    <row r="48" spans="1:9" ht="19.5" customHeight="1" x14ac:dyDescent="0.25">
      <c r="A48" s="99" t="s">
        <v>55</v>
      </c>
      <c r="B48" s="241"/>
      <c r="C48" s="40">
        <v>20524.100999999999</v>
      </c>
      <c r="D48" s="40">
        <v>24751.84</v>
      </c>
      <c r="E48" s="39">
        <f>F48+G48+H48+I48</f>
        <v>30304.443000000003</v>
      </c>
      <c r="F48" s="40">
        <f>1340.016+3791.772+1751.174+68.005+1317.172</f>
        <v>8268.139000000001</v>
      </c>
      <c r="G48" s="40">
        <f>1430.814+4005.721+9.76+1789.623+45.859+852.749+180.304+110.905+58.999+65.524</f>
        <v>8550.2579999999998</v>
      </c>
      <c r="H48" s="40">
        <f>1342.748+3875.668+72.72+41.666+938.077+176.996+141.87+17.722</f>
        <v>6607.4670000000006</v>
      </c>
      <c r="I48" s="40">
        <f>1163.055+3507.065+250.1+100.492+1857.867</f>
        <v>6878.5790000000006</v>
      </c>
    </row>
    <row r="49" spans="1:13" ht="28.5" customHeight="1" x14ac:dyDescent="0.25">
      <c r="A49" s="57" t="s">
        <v>56</v>
      </c>
      <c r="B49" s="241"/>
      <c r="C49" s="40"/>
      <c r="D49" s="40"/>
      <c r="E49" s="39"/>
      <c r="F49" s="39"/>
      <c r="G49" s="40"/>
      <c r="H49" s="40"/>
      <c r="I49" s="59"/>
    </row>
    <row r="50" spans="1:13" ht="20.25" customHeight="1" x14ac:dyDescent="0.25">
      <c r="A50" s="57" t="s">
        <v>57</v>
      </c>
      <c r="B50" s="241"/>
      <c r="C50" s="40">
        <v>0</v>
      </c>
      <c r="D50" s="40">
        <v>4960</v>
      </c>
      <c r="E50" s="39">
        <f>F50+G50+H50+I50</f>
        <v>402.04500000000002</v>
      </c>
      <c r="F50" s="40">
        <v>402.04500000000002</v>
      </c>
      <c r="G50" s="40">
        <v>0</v>
      </c>
      <c r="H50" s="40">
        <v>0</v>
      </c>
      <c r="I50" s="40">
        <v>0</v>
      </c>
    </row>
    <row r="51" spans="1:13" ht="99.75" customHeight="1" x14ac:dyDescent="0.25">
      <c r="A51" s="99" t="s">
        <v>189</v>
      </c>
      <c r="B51" s="241"/>
      <c r="C51" s="39">
        <f>C52+C53</f>
        <v>179.703</v>
      </c>
      <c r="D51" s="39">
        <f>D52+D53</f>
        <v>249.447</v>
      </c>
      <c r="E51" s="39">
        <f>SUM(F51:I51)</f>
        <v>304.5</v>
      </c>
      <c r="F51" s="39">
        <f>F52+F53</f>
        <v>0</v>
      </c>
      <c r="G51" s="39">
        <f>G52+G53</f>
        <v>210.5</v>
      </c>
      <c r="H51" s="39">
        <f>H52+H53</f>
        <v>94</v>
      </c>
      <c r="I51" s="39">
        <f>I52+I53</f>
        <v>0</v>
      </c>
    </row>
    <row r="52" spans="1:13" ht="26.25" customHeight="1" x14ac:dyDescent="0.25">
      <c r="A52" s="57" t="s">
        <v>59</v>
      </c>
      <c r="B52" s="241"/>
      <c r="C52" s="40">
        <v>179.703</v>
      </c>
      <c r="D52" s="40">
        <v>210.34700000000001</v>
      </c>
      <c r="E52" s="40">
        <f>SUM(F52:I52)</f>
        <v>304.5</v>
      </c>
      <c r="F52" s="40">
        <v>0</v>
      </c>
      <c r="G52" s="40">
        <v>210.5</v>
      </c>
      <c r="H52" s="40">
        <v>94</v>
      </c>
      <c r="I52" s="40">
        <v>0</v>
      </c>
    </row>
    <row r="53" spans="1:13" ht="42" customHeight="1" x14ac:dyDescent="0.25">
      <c r="A53" s="57" t="s">
        <v>60</v>
      </c>
      <c r="B53" s="241"/>
      <c r="C53" s="40">
        <f>[2]ФП2022!F55</f>
        <v>0</v>
      </c>
      <c r="D53" s="40">
        <v>39.1</v>
      </c>
      <c r="E53" s="40">
        <f>SUM(F53:I53)</f>
        <v>0</v>
      </c>
      <c r="F53" s="40">
        <v>0</v>
      </c>
      <c r="G53" s="40">
        <v>0</v>
      </c>
      <c r="H53" s="40"/>
      <c r="I53" s="40">
        <v>0</v>
      </c>
    </row>
    <row r="54" spans="1:13" ht="107.25" customHeight="1" x14ac:dyDescent="0.25">
      <c r="A54" s="99" t="s">
        <v>188</v>
      </c>
      <c r="B54" s="241"/>
      <c r="C54" s="39">
        <f>C55+C56</f>
        <v>129.55472</v>
      </c>
      <c r="D54" s="39">
        <f>D55+D56</f>
        <v>27.986999999999998</v>
      </c>
      <c r="E54" s="39">
        <f>F54+G54+H54+I54</f>
        <v>175.102</v>
      </c>
      <c r="F54" s="39">
        <f>F55+F56</f>
        <v>39.305999999999997</v>
      </c>
      <c r="G54" s="39">
        <f t="shared" ref="G54:I54" si="1">G55+G56</f>
        <v>97.087999999999994</v>
      </c>
      <c r="H54" s="39">
        <f t="shared" si="1"/>
        <v>38.707999999999998</v>
      </c>
      <c r="I54" s="39">
        <f t="shared" si="1"/>
        <v>0</v>
      </c>
    </row>
    <row r="55" spans="1:13" ht="20.25" customHeight="1" x14ac:dyDescent="0.25">
      <c r="A55" s="99" t="s">
        <v>55</v>
      </c>
      <c r="B55" s="241"/>
      <c r="C55" s="40">
        <v>129.55472</v>
      </c>
      <c r="D55" s="40">
        <v>27.986999999999998</v>
      </c>
      <c r="E55" s="39">
        <f t="shared" ref="E55:E59" si="2">F55+G55+H55+I55</f>
        <v>175.102</v>
      </c>
      <c r="F55" s="40">
        <v>39.305999999999997</v>
      </c>
      <c r="G55" s="40">
        <v>97.087999999999994</v>
      </c>
      <c r="H55" s="40">
        <v>38.707999999999998</v>
      </c>
      <c r="I55" s="40">
        <v>0</v>
      </c>
    </row>
    <row r="56" spans="1:13" ht="18" customHeight="1" x14ac:dyDescent="0.25">
      <c r="A56" s="57" t="s">
        <v>62</v>
      </c>
      <c r="B56" s="241"/>
      <c r="C56" s="40">
        <f>[2]ФП2022!F58</f>
        <v>0</v>
      </c>
      <c r="D56" s="40">
        <f>[2]ФП2023!E56</f>
        <v>0</v>
      </c>
      <c r="E56" s="39">
        <f t="shared" si="2"/>
        <v>0</v>
      </c>
      <c r="F56" s="39">
        <v>0</v>
      </c>
      <c r="G56" s="39">
        <v>0</v>
      </c>
      <c r="H56" s="39">
        <v>0</v>
      </c>
      <c r="I56" s="39">
        <v>0</v>
      </c>
    </row>
    <row r="57" spans="1:13" ht="84.6" customHeight="1" x14ac:dyDescent="0.25">
      <c r="A57" s="99" t="s">
        <v>190</v>
      </c>
      <c r="B57" s="241"/>
      <c r="C57" s="39">
        <f>C58+C59</f>
        <v>0</v>
      </c>
      <c r="D57" s="39">
        <f>D58+D59</f>
        <v>721.5</v>
      </c>
      <c r="E57" s="39">
        <f t="shared" si="2"/>
        <v>721.5</v>
      </c>
      <c r="F57" s="39">
        <f>F58+F59</f>
        <v>0</v>
      </c>
      <c r="G57" s="39">
        <f t="shared" ref="G57:I57" si="3">G58+G59</f>
        <v>0</v>
      </c>
      <c r="H57" s="39">
        <f t="shared" si="3"/>
        <v>721.5</v>
      </c>
      <c r="I57" s="39">
        <f t="shared" si="3"/>
        <v>0</v>
      </c>
    </row>
    <row r="58" spans="1:13" ht="18" customHeight="1" x14ac:dyDescent="0.25">
      <c r="A58" s="99" t="s">
        <v>55</v>
      </c>
      <c r="B58" s="241"/>
      <c r="C58" s="40">
        <v>0</v>
      </c>
      <c r="D58" s="40">
        <v>721.5</v>
      </c>
      <c r="E58" s="39">
        <f t="shared" si="2"/>
        <v>721.5</v>
      </c>
      <c r="F58" s="40">
        <v>0</v>
      </c>
      <c r="G58" s="40">
        <v>0</v>
      </c>
      <c r="H58" s="40">
        <v>721.5</v>
      </c>
      <c r="I58" s="39">
        <f>I109</f>
        <v>0</v>
      </c>
    </row>
    <row r="59" spans="1:13" ht="18" customHeight="1" x14ac:dyDescent="0.25">
      <c r="A59" s="57" t="s">
        <v>62</v>
      </c>
      <c r="B59" s="242"/>
      <c r="C59" s="40">
        <v>0</v>
      </c>
      <c r="D59" s="40">
        <v>0</v>
      </c>
      <c r="E59" s="39">
        <f t="shared" si="2"/>
        <v>0</v>
      </c>
      <c r="F59" s="40">
        <v>0</v>
      </c>
      <c r="G59" s="40">
        <v>0</v>
      </c>
      <c r="H59" s="40">
        <v>0</v>
      </c>
      <c r="I59" s="39">
        <f>I110</f>
        <v>0</v>
      </c>
    </row>
    <row r="60" spans="1:13" ht="19.5" customHeight="1" x14ac:dyDescent="0.25">
      <c r="A60" s="102" t="s">
        <v>64</v>
      </c>
      <c r="B60" s="101" t="s">
        <v>65</v>
      </c>
      <c r="C60" s="39">
        <v>12131.344999999999</v>
      </c>
      <c r="D60" s="39">
        <v>12189.516</v>
      </c>
      <c r="E60" s="39">
        <v>12243.69</v>
      </c>
      <c r="F60" s="39">
        <f>E60/4</f>
        <v>3060.9225000000001</v>
      </c>
      <c r="G60" s="39">
        <f>F60</f>
        <v>3060.9225000000001</v>
      </c>
      <c r="H60" s="39">
        <f>F60</f>
        <v>3060.9225000000001</v>
      </c>
      <c r="I60" s="39">
        <f>G60</f>
        <v>3060.9225000000001</v>
      </c>
    </row>
    <row r="61" spans="1:13" ht="29.25" customHeight="1" x14ac:dyDescent="0.25">
      <c r="A61" s="103" t="s">
        <v>66</v>
      </c>
      <c r="B61" s="101" t="s">
        <v>67</v>
      </c>
      <c r="C61" s="39">
        <f>C60+C43+C41+C45</f>
        <v>33468.065719999999</v>
      </c>
      <c r="D61" s="39">
        <f>D60+D45+D43+D41</f>
        <v>43367.621000000006</v>
      </c>
      <c r="E61" s="39">
        <f>F61+G61+H61+I61</f>
        <v>44659.495999999999</v>
      </c>
      <c r="F61" s="39">
        <f>F60+F45+F43+F41</f>
        <v>11909.416500000003</v>
      </c>
      <c r="G61" s="39">
        <f>G43+G45+G60+G41</f>
        <v>12079.972500000002</v>
      </c>
      <c r="H61" s="39">
        <f>H43+H45+H60+H41</f>
        <v>10621.601500000001</v>
      </c>
      <c r="I61" s="39">
        <f>I43+I45+I60+I41</f>
        <v>10048.505500000001</v>
      </c>
    </row>
    <row r="62" spans="1:13" x14ac:dyDescent="0.25">
      <c r="A62" s="232" t="s">
        <v>68</v>
      </c>
      <c r="B62" s="232"/>
      <c r="C62" s="232"/>
      <c r="D62" s="232"/>
      <c r="E62" s="232"/>
      <c r="F62" s="232"/>
      <c r="G62" s="232"/>
      <c r="H62" s="232"/>
      <c r="I62" s="232"/>
    </row>
    <row r="63" spans="1:13" ht="43.5" customHeight="1" x14ac:dyDescent="0.25">
      <c r="A63" s="57" t="s">
        <v>69</v>
      </c>
      <c r="B63" s="101" t="s">
        <v>70</v>
      </c>
      <c r="C63" s="39">
        <f>C64</f>
        <v>470.40100000000001</v>
      </c>
      <c r="D63" s="39">
        <f>D64</f>
        <v>449.23865999999998</v>
      </c>
      <c r="E63" s="39">
        <f>SUM(F63:I63)</f>
        <v>484.464</v>
      </c>
      <c r="F63" s="39">
        <f>F65+F67+F70</f>
        <v>134.57</v>
      </c>
      <c r="G63" s="39">
        <f>G65+G67+G70</f>
        <v>154.9</v>
      </c>
      <c r="H63" s="39">
        <f>H65+H67+H70</f>
        <v>94.039999999999992</v>
      </c>
      <c r="I63" s="39">
        <f>I65+I67+I70</f>
        <v>100.95399999999999</v>
      </c>
    </row>
    <row r="64" spans="1:13" ht="25.5" x14ac:dyDescent="0.25">
      <c r="A64" s="99" t="s">
        <v>71</v>
      </c>
      <c r="B64" s="101" t="s">
        <v>72</v>
      </c>
      <c r="C64" s="40">
        <f>C65+C67+C70</f>
        <v>470.40100000000001</v>
      </c>
      <c r="D64" s="40">
        <f>D65+D67+D70</f>
        <v>449.23865999999998</v>
      </c>
      <c r="E64" s="40">
        <f>F64+G64+H64+I64</f>
        <v>484.464</v>
      </c>
      <c r="F64" s="40">
        <f>F63</f>
        <v>134.57</v>
      </c>
      <c r="G64" s="40">
        <f>G63</f>
        <v>154.9</v>
      </c>
      <c r="H64" s="40">
        <f>H63</f>
        <v>94.039999999999992</v>
      </c>
      <c r="I64" s="40">
        <f>I63</f>
        <v>100.95399999999999</v>
      </c>
      <c r="J64" s="47"/>
      <c r="K64" s="47"/>
      <c r="L64" s="47"/>
      <c r="M64" s="47"/>
    </row>
    <row r="65" spans="1:15" ht="17.25" customHeight="1" x14ac:dyDescent="0.25">
      <c r="A65" s="236" t="s">
        <v>73</v>
      </c>
      <c r="B65" s="237" t="s">
        <v>74</v>
      </c>
      <c r="C65" s="184">
        <v>291.101</v>
      </c>
      <c r="D65" s="184">
        <v>270.62700000000001</v>
      </c>
      <c r="E65" s="168">
        <f>SUM(F65:I66)</f>
        <v>306.10000000000002</v>
      </c>
      <c r="F65" s="184">
        <v>105.9</v>
      </c>
      <c r="G65" s="184">
        <v>100</v>
      </c>
      <c r="H65" s="184">
        <v>30.6</v>
      </c>
      <c r="I65" s="184">
        <v>69.599999999999994</v>
      </c>
    </row>
    <row r="66" spans="1:15" ht="3.75" customHeight="1" x14ac:dyDescent="0.25">
      <c r="A66" s="236"/>
      <c r="B66" s="237"/>
      <c r="C66" s="184"/>
      <c r="D66" s="184"/>
      <c r="E66" s="168"/>
      <c r="F66" s="184"/>
      <c r="G66" s="184"/>
      <c r="H66" s="184"/>
      <c r="I66" s="184"/>
    </row>
    <row r="67" spans="1:15" x14ac:dyDescent="0.25">
      <c r="A67" s="57" t="s">
        <v>75</v>
      </c>
      <c r="B67" s="237" t="s">
        <v>76</v>
      </c>
      <c r="C67" s="39">
        <f>C68+C69</f>
        <v>150.30000000000001</v>
      </c>
      <c r="D67" s="39">
        <f>D68+D69</f>
        <v>146.40299999999999</v>
      </c>
      <c r="E67" s="39">
        <f>E69</f>
        <v>146.19999999999999</v>
      </c>
      <c r="F67" s="39">
        <f t="shared" ref="F67:I67" si="4">F69</f>
        <v>23.5</v>
      </c>
      <c r="G67" s="39">
        <f t="shared" si="4"/>
        <v>45</v>
      </c>
      <c r="H67" s="39">
        <f t="shared" si="4"/>
        <v>52</v>
      </c>
      <c r="I67" s="39">
        <f t="shared" si="4"/>
        <v>25.7</v>
      </c>
    </row>
    <row r="68" spans="1:15" ht="16.5" customHeight="1" x14ac:dyDescent="0.25">
      <c r="A68" s="99" t="s">
        <v>77</v>
      </c>
      <c r="B68" s="237"/>
      <c r="C68" s="59"/>
      <c r="D68" s="40"/>
      <c r="E68" s="39" t="s">
        <v>78</v>
      </c>
      <c r="F68" s="39" t="s">
        <v>78</v>
      </c>
      <c r="G68" s="39" t="s">
        <v>78</v>
      </c>
      <c r="H68" s="39" t="s">
        <v>78</v>
      </c>
      <c r="I68" s="39" t="s">
        <v>78</v>
      </c>
    </row>
    <row r="69" spans="1:15" ht="18" customHeight="1" x14ac:dyDescent="0.25">
      <c r="A69" s="99" t="s">
        <v>79</v>
      </c>
      <c r="B69" s="237"/>
      <c r="C69" s="40">
        <v>150.30000000000001</v>
      </c>
      <c r="D69" s="40">
        <v>146.40299999999999</v>
      </c>
      <c r="E69" s="39">
        <f>SUM(F69:I69)</f>
        <v>146.19999999999999</v>
      </c>
      <c r="F69" s="40">
        <v>23.5</v>
      </c>
      <c r="G69" s="40">
        <v>45</v>
      </c>
      <c r="H69" s="40">
        <v>52</v>
      </c>
      <c r="I69" s="40">
        <v>25.7</v>
      </c>
    </row>
    <row r="70" spans="1:15" ht="14.25" customHeight="1" x14ac:dyDescent="0.25">
      <c r="A70" s="236" t="s">
        <v>80</v>
      </c>
      <c r="B70" s="237" t="s">
        <v>81</v>
      </c>
      <c r="C70" s="168">
        <v>29</v>
      </c>
      <c r="D70" s="168">
        <f>D69*0.22</f>
        <v>32.208660000000002</v>
      </c>
      <c r="E70" s="168">
        <f>F70+G70+H70+I70</f>
        <v>32.164000000000001</v>
      </c>
      <c r="F70" s="168">
        <f>F69*0.22</f>
        <v>5.17</v>
      </c>
      <c r="G70" s="168">
        <f t="shared" ref="G70:I70" si="5">G69*0.22</f>
        <v>9.9</v>
      </c>
      <c r="H70" s="168">
        <f>H69*0.22</f>
        <v>11.44</v>
      </c>
      <c r="I70" s="168">
        <f t="shared" si="5"/>
        <v>5.6539999999999999</v>
      </c>
    </row>
    <row r="71" spans="1:15" ht="7.5" customHeight="1" x14ac:dyDescent="0.25">
      <c r="A71" s="236"/>
      <c r="B71" s="237"/>
      <c r="C71" s="168"/>
      <c r="D71" s="168"/>
      <c r="E71" s="168"/>
      <c r="F71" s="168"/>
      <c r="G71" s="168"/>
      <c r="H71" s="168"/>
      <c r="I71" s="168"/>
    </row>
    <row r="72" spans="1:15" ht="13.5" hidden="1" customHeight="1" x14ac:dyDescent="0.25">
      <c r="A72" s="104"/>
      <c r="C72" s="41"/>
      <c r="D72" s="41"/>
      <c r="E72" s="41"/>
      <c r="F72" s="41"/>
      <c r="G72" s="41"/>
      <c r="H72" s="41"/>
      <c r="I72" s="105"/>
    </row>
    <row r="73" spans="1:15" ht="21" customHeight="1" x14ac:dyDescent="0.25">
      <c r="A73" s="57" t="s">
        <v>82</v>
      </c>
      <c r="B73" s="101" t="s">
        <v>83</v>
      </c>
      <c r="C73" s="40" t="s">
        <v>84</v>
      </c>
      <c r="D73" s="40" t="s">
        <v>84</v>
      </c>
      <c r="E73" s="39" t="s">
        <v>78</v>
      </c>
      <c r="F73" s="40" t="s">
        <v>78</v>
      </c>
      <c r="G73" s="40" t="s">
        <v>78</v>
      </c>
      <c r="H73" s="40"/>
      <c r="I73" s="40" t="s">
        <v>78</v>
      </c>
    </row>
    <row r="74" spans="1:15" ht="33.75" customHeight="1" x14ac:dyDescent="0.25">
      <c r="A74" s="57" t="s">
        <v>85</v>
      </c>
      <c r="B74" s="237" t="s">
        <v>86</v>
      </c>
      <c r="C74" s="39">
        <f>C75+C76</f>
        <v>21.3</v>
      </c>
      <c r="D74" s="39">
        <f>D75+D76</f>
        <v>5.9</v>
      </c>
      <c r="E74" s="39">
        <f t="shared" ref="E74:I74" si="6">E75+E76</f>
        <v>9.6</v>
      </c>
      <c r="F74" s="39">
        <f>F75+F76</f>
        <v>2.4</v>
      </c>
      <c r="G74" s="39">
        <f t="shared" si="6"/>
        <v>2.4</v>
      </c>
      <c r="H74" s="39">
        <f t="shared" si="6"/>
        <v>2.4</v>
      </c>
      <c r="I74" s="39">
        <f t="shared" si="6"/>
        <v>2.4</v>
      </c>
    </row>
    <row r="75" spans="1:15" ht="27" customHeight="1" x14ac:dyDescent="0.25">
      <c r="A75" s="57" t="s">
        <v>87</v>
      </c>
      <c r="B75" s="237"/>
      <c r="C75" s="40">
        <v>21.3</v>
      </c>
      <c r="D75" s="40">
        <v>4.7</v>
      </c>
      <c r="E75" s="39">
        <f>F75+G75+H75+I75</f>
        <v>9.6</v>
      </c>
      <c r="F75" s="40">
        <v>2.4</v>
      </c>
      <c r="G75" s="40">
        <v>2.4</v>
      </c>
      <c r="H75" s="40">
        <v>2.4</v>
      </c>
      <c r="I75" s="40">
        <v>2.4</v>
      </c>
    </row>
    <row r="76" spans="1:15" ht="24" customHeight="1" x14ac:dyDescent="0.25">
      <c r="A76" s="57" t="s">
        <v>88</v>
      </c>
      <c r="B76" s="237"/>
      <c r="C76" s="40">
        <f>[2]ФП2022!F73</f>
        <v>0</v>
      </c>
      <c r="D76" s="40">
        <v>1.2</v>
      </c>
      <c r="E76" s="39">
        <f>F76+G76+H76+I76</f>
        <v>0</v>
      </c>
      <c r="F76" s="40">
        <v>0</v>
      </c>
      <c r="G76" s="40">
        <v>0</v>
      </c>
      <c r="H76" s="40">
        <v>0</v>
      </c>
      <c r="I76" s="40">
        <v>0</v>
      </c>
    </row>
    <row r="77" spans="1:15" ht="24" customHeight="1" x14ac:dyDescent="0.25">
      <c r="A77" s="57" t="s">
        <v>89</v>
      </c>
      <c r="B77" s="101" t="s">
        <v>90</v>
      </c>
      <c r="C77" s="40">
        <v>12131.344999999999</v>
      </c>
      <c r="D77" s="40">
        <v>12189.516</v>
      </c>
      <c r="E77" s="40">
        <f>E60</f>
        <v>12243.69</v>
      </c>
      <c r="F77" s="40">
        <f>F60</f>
        <v>3060.9225000000001</v>
      </c>
      <c r="G77" s="40">
        <f>G60</f>
        <v>3060.9225000000001</v>
      </c>
      <c r="H77" s="40">
        <f>H60</f>
        <v>3060.9225000000001</v>
      </c>
      <c r="I77" s="40">
        <f>I60</f>
        <v>3060.9225000000001</v>
      </c>
    </row>
    <row r="78" spans="1:15" ht="33" customHeight="1" x14ac:dyDescent="0.25">
      <c r="A78" s="57" t="s">
        <v>91</v>
      </c>
      <c r="B78" s="101" t="s">
        <v>92</v>
      </c>
      <c r="C78" s="39">
        <f>C80+C101+C106+C111</f>
        <v>20833.359000000004</v>
      </c>
      <c r="D78" s="39">
        <f>D80+D101+D106+D111</f>
        <v>30710.774000000001</v>
      </c>
      <c r="E78" s="39">
        <f>E80+E103+E106+E111</f>
        <v>31907.589739999996</v>
      </c>
      <c r="F78" s="39">
        <f>F80+F103+F106+F111</f>
        <v>8709.4902600000005</v>
      </c>
      <c r="G78" s="39">
        <f>G80+G103+G106+G111</f>
        <v>8857.8459399999992</v>
      </c>
      <c r="H78" s="39">
        <f>H80+H103+H106+H111</f>
        <v>7461.6748000000007</v>
      </c>
      <c r="I78" s="39">
        <f>I80+I103+I106+I111</f>
        <v>6878.578739999999</v>
      </c>
      <c r="K78" s="47"/>
      <c r="L78" s="47"/>
      <c r="M78" s="47"/>
      <c r="N78" s="47"/>
      <c r="O78" s="47"/>
    </row>
    <row r="79" spans="1:15" ht="51" customHeight="1" x14ac:dyDescent="0.25">
      <c r="A79" s="57" t="s">
        <v>93</v>
      </c>
      <c r="B79" s="106" t="s">
        <v>94</v>
      </c>
      <c r="C79" s="59"/>
      <c r="D79" s="59"/>
      <c r="E79" s="39"/>
      <c r="F79" s="39"/>
      <c r="G79" s="40"/>
      <c r="H79" s="40"/>
      <c r="I79" s="95"/>
    </row>
    <row r="80" spans="1:15" ht="79.5" customHeight="1" x14ac:dyDescent="0.25">
      <c r="A80" s="99" t="s">
        <v>191</v>
      </c>
      <c r="B80" s="58"/>
      <c r="C80" s="95">
        <f>C81</f>
        <v>20524.101000000002</v>
      </c>
      <c r="D80" s="95">
        <f>D81+D100</f>
        <v>29711.84</v>
      </c>
      <c r="E80" s="39">
        <f>F80+G80+H80+I80</f>
        <v>30706.487739999997</v>
      </c>
      <c r="F80" s="39">
        <f>F81+F100</f>
        <v>8670.18426</v>
      </c>
      <c r="G80" s="39">
        <f>G81+G100</f>
        <v>8550.2579399999995</v>
      </c>
      <c r="H80" s="39">
        <f>H81+H100</f>
        <v>6607.4668000000011</v>
      </c>
      <c r="I80" s="39">
        <f>I81+I100</f>
        <v>6878.578739999999</v>
      </c>
      <c r="K80" s="47"/>
      <c r="L80" s="47"/>
      <c r="M80" s="47"/>
      <c r="N80" s="47"/>
      <c r="O80" s="47"/>
    </row>
    <row r="81" spans="1:9" ht="19.5" customHeight="1" x14ac:dyDescent="0.25">
      <c r="A81" s="107" t="s">
        <v>55</v>
      </c>
      <c r="B81" s="58"/>
      <c r="C81" s="95">
        <f>C82+C83+C88+C92</f>
        <v>20524.101000000002</v>
      </c>
      <c r="D81" s="95">
        <f>D82+D83+D88+D92</f>
        <v>24751.84</v>
      </c>
      <c r="E81" s="39">
        <f>F81+G81+H81+I81</f>
        <v>30304.442739999999</v>
      </c>
      <c r="F81" s="39">
        <f>F82+F83+F88+F92</f>
        <v>8268.1392599999999</v>
      </c>
      <c r="G81" s="39">
        <f>G82+G83+G88+G92</f>
        <v>8550.2579399999995</v>
      </c>
      <c r="H81" s="39">
        <f>H82+H83+H88+H92</f>
        <v>6607.4668000000011</v>
      </c>
      <c r="I81" s="39">
        <f>I82+I83+I88+I92</f>
        <v>6878.578739999999</v>
      </c>
    </row>
    <row r="82" spans="1:9" ht="21.75" customHeight="1" x14ac:dyDescent="0.25">
      <c r="A82" s="57" t="s">
        <v>73</v>
      </c>
      <c r="B82" s="58"/>
      <c r="C82" s="95">
        <v>1231.9639999999999</v>
      </c>
      <c r="D82" s="95">
        <v>1357.2629999999999</v>
      </c>
      <c r="E82" s="39">
        <f>SUM(F82:I82)</f>
        <v>3974.5219999999999</v>
      </c>
      <c r="F82" s="39">
        <v>1751.174</v>
      </c>
      <c r="G82" s="39">
        <f>1789.623+110.905</f>
        <v>1900.528</v>
      </c>
      <c r="H82" s="39">
        <v>72.72</v>
      </c>
      <c r="I82" s="39">
        <v>250.1</v>
      </c>
    </row>
    <row r="83" spans="1:9" x14ac:dyDescent="0.25">
      <c r="A83" s="57" t="s">
        <v>95</v>
      </c>
      <c r="B83" s="58"/>
      <c r="C83" s="95">
        <f>C84+C85+C87</f>
        <v>12440.886</v>
      </c>
      <c r="D83" s="95">
        <f>D84+D85+D87</f>
        <v>14332.091</v>
      </c>
      <c r="E83" s="39">
        <f>SUM(E84:E87)</f>
        <v>16775.917000000001</v>
      </c>
      <c r="F83" s="39">
        <f>F84+F85+F86+F87</f>
        <v>4206.3829999999998</v>
      </c>
      <c r="G83" s="39">
        <f>G84+G85+G86+G87</f>
        <v>4464.1769999999997</v>
      </c>
      <c r="H83" s="39">
        <f>H84+H85+H86+H87</f>
        <v>4277.3900000000003</v>
      </c>
      <c r="I83" s="39">
        <f>I84+I85+I86+I87</f>
        <v>3827.9669999999996</v>
      </c>
    </row>
    <row r="84" spans="1:9" x14ac:dyDescent="0.25">
      <c r="A84" s="57" t="s">
        <v>96</v>
      </c>
      <c r="B84" s="58"/>
      <c r="C84" s="59">
        <f>3122.721+215.895+14.914</f>
        <v>3353.53</v>
      </c>
      <c r="D84" s="59">
        <v>4388.6459999999997</v>
      </c>
      <c r="E84" s="40">
        <f>F84+G84+H84+I84</f>
        <v>4325.1099999999997</v>
      </c>
      <c r="F84" s="40">
        <v>1098.373</v>
      </c>
      <c r="G84" s="40">
        <v>1172.799</v>
      </c>
      <c r="H84" s="40">
        <v>1100.6130000000001</v>
      </c>
      <c r="I84" s="40">
        <v>953.32500000000005</v>
      </c>
    </row>
    <row r="85" spans="1:9" ht="12.75" customHeight="1" x14ac:dyDescent="0.25">
      <c r="A85" s="57" t="s">
        <v>97</v>
      </c>
      <c r="B85" s="58"/>
      <c r="C85" s="59">
        <f>9067.258-C86+0.0908+0.8162+19.191</f>
        <v>9081.0489999999991</v>
      </c>
      <c r="D85" s="59">
        <v>9936.4989999999998</v>
      </c>
      <c r="E85" s="40">
        <f>F85+G85+H85+I85</f>
        <v>12442.807000000001</v>
      </c>
      <c r="F85" s="40">
        <v>3108.01</v>
      </c>
      <c r="G85" s="40">
        <v>3283.3780000000002</v>
      </c>
      <c r="H85" s="40">
        <v>3176.777</v>
      </c>
      <c r="I85" s="40">
        <v>2874.6419999999998</v>
      </c>
    </row>
    <row r="86" spans="1:9" ht="18.75" hidden="1" customHeight="1" x14ac:dyDescent="0.25">
      <c r="A86" s="108" t="s">
        <v>98</v>
      </c>
      <c r="B86" s="58"/>
      <c r="C86" s="59">
        <v>6.3070000000000004</v>
      </c>
      <c r="D86" s="59">
        <f>[2]ФП2023!E86</f>
        <v>0</v>
      </c>
      <c r="E86" s="40">
        <f>F86+G86+H86+I86</f>
        <v>0</v>
      </c>
      <c r="F86" s="40"/>
      <c r="G86" s="40"/>
      <c r="H86" s="40"/>
      <c r="I86" s="40"/>
    </row>
    <row r="87" spans="1:9" x14ac:dyDescent="0.25">
      <c r="A87" s="108" t="s">
        <v>99</v>
      </c>
      <c r="B87" s="58"/>
      <c r="C87" s="59">
        <v>6.3070000000000004</v>
      </c>
      <c r="D87" s="59">
        <v>6.9459999999999997</v>
      </c>
      <c r="E87" s="40">
        <f>F87+G87+H87+I87</f>
        <v>8</v>
      </c>
      <c r="F87" s="40">
        <v>0</v>
      </c>
      <c r="G87" s="40">
        <v>8</v>
      </c>
      <c r="H87" s="40">
        <v>0</v>
      </c>
      <c r="I87" s="40">
        <v>0</v>
      </c>
    </row>
    <row r="88" spans="1:9" ht="14.25" customHeight="1" x14ac:dyDescent="0.25">
      <c r="A88" s="57" t="s">
        <v>100</v>
      </c>
      <c r="B88" s="58"/>
      <c r="C88" s="39">
        <v>2626.194</v>
      </c>
      <c r="D88" s="95">
        <v>3153.06</v>
      </c>
      <c r="E88" s="39">
        <f>F88+G88+H88+I88</f>
        <v>3690.70174</v>
      </c>
      <c r="F88" s="39">
        <f>F89+F90+F91</f>
        <v>925.40526</v>
      </c>
      <c r="G88" s="39">
        <f t="shared" ref="G88:I88" si="7">G89+G90+G91</f>
        <v>982.11794000000009</v>
      </c>
      <c r="H88" s="39">
        <f t="shared" si="7"/>
        <v>941.0258</v>
      </c>
      <c r="I88" s="39">
        <f t="shared" si="7"/>
        <v>842.15273999999999</v>
      </c>
    </row>
    <row r="89" spans="1:9" ht="18" customHeight="1" x14ac:dyDescent="0.25">
      <c r="A89" s="57" t="s">
        <v>77</v>
      </c>
      <c r="B89" s="58"/>
      <c r="C89" s="40">
        <v>444.1</v>
      </c>
      <c r="D89" s="59">
        <f>[2]ФП2023!E89</f>
        <v>741.21830639999996</v>
      </c>
      <c r="E89" s="40">
        <f>E84*0.22-0.001</f>
        <v>951.52319999999997</v>
      </c>
      <c r="F89" s="40">
        <f>F84*0.22+0.001</f>
        <v>241.64306000000002</v>
      </c>
      <c r="G89" s="40">
        <f>G84*0.22-0.001</f>
        <v>258.01478000000003</v>
      </c>
      <c r="H89" s="40">
        <f t="shared" ref="F89:H90" si="8">H84*0.22</f>
        <v>242.13486</v>
      </c>
      <c r="I89" s="40">
        <f>I84*0.22-0.002</f>
        <v>209.7295</v>
      </c>
    </row>
    <row r="90" spans="1:9" ht="25.5" customHeight="1" x14ac:dyDescent="0.25">
      <c r="A90" s="57" t="s">
        <v>101</v>
      </c>
      <c r="B90" s="58"/>
      <c r="C90" s="40">
        <v>1506.5</v>
      </c>
      <c r="D90" s="59">
        <f>[2]ФП2023!E90</f>
        <v>2042.8880736000001</v>
      </c>
      <c r="E90" s="40">
        <f>E85*0.22+0.001</f>
        <v>2737.4185400000006</v>
      </c>
      <c r="F90" s="40">
        <f t="shared" si="8"/>
        <v>683.76220000000001</v>
      </c>
      <c r="G90" s="40">
        <f>G85*0.22</f>
        <v>722.34316000000001</v>
      </c>
      <c r="H90" s="40">
        <f t="shared" si="8"/>
        <v>698.89094</v>
      </c>
      <c r="I90" s="40">
        <f>I85*0.22+0.002</f>
        <v>632.42323999999996</v>
      </c>
    </row>
    <row r="91" spans="1:9" ht="25.5" customHeight="1" x14ac:dyDescent="0.25">
      <c r="A91" s="108" t="s">
        <v>99</v>
      </c>
      <c r="B91" s="58"/>
      <c r="C91" s="40"/>
      <c r="D91" s="59"/>
      <c r="E91" s="40">
        <f>E87*0.22</f>
        <v>1.76</v>
      </c>
      <c r="F91" s="40">
        <f t="shared" ref="F91:I91" si="9">F87*0.22</f>
        <v>0</v>
      </c>
      <c r="G91" s="40">
        <f>G87*0.22</f>
        <v>1.76</v>
      </c>
      <c r="H91" s="40">
        <f t="shared" si="9"/>
        <v>0</v>
      </c>
      <c r="I91" s="40">
        <f t="shared" si="9"/>
        <v>0</v>
      </c>
    </row>
    <row r="92" spans="1:9" ht="25.5" x14ac:dyDescent="0.25">
      <c r="A92" s="103" t="s">
        <v>102</v>
      </c>
      <c r="B92" s="58"/>
      <c r="C92" s="39">
        <f>C94+C98</f>
        <v>4225.0570000000007</v>
      </c>
      <c r="D92" s="39">
        <f>D93+D98</f>
        <v>5909.4259999999995</v>
      </c>
      <c r="E92" s="39">
        <f>F92+G92+H92+I92</f>
        <v>5863.3019999999997</v>
      </c>
      <c r="F92" s="39">
        <f>F94+F95+F96+F97+F98</f>
        <v>1385.1770000000001</v>
      </c>
      <c r="G92" s="39">
        <f>G94+G98+G95+G96+G97</f>
        <v>1203.4349999999999</v>
      </c>
      <c r="H92" s="39">
        <f>H94+H98+H95+H96+H97</f>
        <v>1316.3310000000001</v>
      </c>
      <c r="I92" s="39">
        <f>I94+I98+I95+I96+I97</f>
        <v>1958.3589999999999</v>
      </c>
    </row>
    <row r="93" spans="1:9" x14ac:dyDescent="0.25">
      <c r="A93" s="109" t="s">
        <v>103</v>
      </c>
      <c r="B93" s="110"/>
      <c r="C93" s="42">
        <f t="shared" ref="C93:I93" si="10">SUM(C94+C95+C96+C97)</f>
        <v>2474.3870000000002</v>
      </c>
      <c r="D93" s="42">
        <f t="shared" si="10"/>
        <v>1407.3729999999998</v>
      </c>
      <c r="E93" s="42">
        <f t="shared" si="10"/>
        <v>897.43700000000001</v>
      </c>
      <c r="F93" s="42">
        <f>SUM(F94+F95+F96+F97)</f>
        <v>68.004999999999995</v>
      </c>
      <c r="G93" s="42">
        <f>SUM(G94+G95+G96+G97)</f>
        <v>350.68600000000004</v>
      </c>
      <c r="H93" s="42">
        <f>SUM(H94+H95+H96+H97)</f>
        <v>378.25399999999996</v>
      </c>
      <c r="I93" s="42">
        <f t="shared" si="10"/>
        <v>100.492</v>
      </c>
    </row>
    <row r="94" spans="1:9" ht="25.5" x14ac:dyDescent="0.25">
      <c r="A94" s="111" t="s">
        <v>104</v>
      </c>
      <c r="B94" s="58"/>
      <c r="C94" s="59">
        <v>2474.3870000000002</v>
      </c>
      <c r="D94" s="59">
        <v>236.22200000000001</v>
      </c>
      <c r="E94" s="43">
        <f>F94+G94+H94+I94</f>
        <v>339.26800000000003</v>
      </c>
      <c r="F94" s="43">
        <v>68.004999999999995</v>
      </c>
      <c r="G94" s="43">
        <f>45.859+65.524</f>
        <v>111.38300000000001</v>
      </c>
      <c r="H94" s="43">
        <f>41.666+17.722</f>
        <v>59.387999999999998</v>
      </c>
      <c r="I94" s="43">
        <v>100.492</v>
      </c>
    </row>
    <row r="95" spans="1:9" x14ac:dyDescent="0.25">
      <c r="A95" s="99" t="s">
        <v>105</v>
      </c>
      <c r="B95" s="57"/>
      <c r="C95" s="40">
        <v>0</v>
      </c>
      <c r="D95" s="59">
        <v>478.73500000000001</v>
      </c>
      <c r="E95" s="40">
        <f>F95+G95+H95+I95</f>
        <v>0</v>
      </c>
      <c r="F95" s="40">
        <v>0</v>
      </c>
      <c r="G95" s="40"/>
      <c r="H95" s="40">
        <v>0</v>
      </c>
      <c r="I95" s="40">
        <v>0</v>
      </c>
    </row>
    <row r="96" spans="1:9" x14ac:dyDescent="0.25">
      <c r="A96" s="99" t="s">
        <v>106</v>
      </c>
      <c r="B96" s="57"/>
      <c r="C96" s="40">
        <v>0</v>
      </c>
      <c r="D96" s="59">
        <v>322.17399999999998</v>
      </c>
      <c r="E96" s="40">
        <f>F96+G96+H96+I96</f>
        <v>558.16899999999998</v>
      </c>
      <c r="F96" s="40">
        <v>0</v>
      </c>
      <c r="G96" s="40">
        <f>239.303</f>
        <v>239.303</v>
      </c>
      <c r="H96" s="40">
        <f>176.996+141.87</f>
        <v>318.86599999999999</v>
      </c>
      <c r="I96" s="40">
        <v>0</v>
      </c>
    </row>
    <row r="97" spans="1:15" x14ac:dyDescent="0.25">
      <c r="A97" s="99" t="s">
        <v>166</v>
      </c>
      <c r="B97" s="58"/>
      <c r="C97" s="40">
        <v>0</v>
      </c>
      <c r="D97" s="59">
        <v>370.24200000000002</v>
      </c>
      <c r="E97" s="40">
        <f>F97+G97+H97+I97</f>
        <v>0</v>
      </c>
      <c r="F97" s="96"/>
      <c r="G97" s="96"/>
      <c r="H97" s="96"/>
      <c r="I97" s="96"/>
    </row>
    <row r="98" spans="1:15" ht="27" customHeight="1" x14ac:dyDescent="0.25">
      <c r="A98" s="112" t="s">
        <v>107</v>
      </c>
      <c r="B98" s="58"/>
      <c r="C98" s="95">
        <v>1750.67</v>
      </c>
      <c r="D98" s="95">
        <v>4502.0529999999999</v>
      </c>
      <c r="E98" s="44">
        <f>F98+G98+H98+I98</f>
        <v>4965.8650000000007</v>
      </c>
      <c r="F98" s="44">
        <f>1317.172</f>
        <v>1317.172</v>
      </c>
      <c r="G98" s="44">
        <v>852.74900000000002</v>
      </c>
      <c r="H98" s="44">
        <v>938.077</v>
      </c>
      <c r="I98" s="44">
        <v>1857.867</v>
      </c>
    </row>
    <row r="99" spans="1:15" ht="36" customHeight="1" x14ac:dyDescent="0.25">
      <c r="A99" s="57" t="s">
        <v>56</v>
      </c>
      <c r="B99" s="58"/>
      <c r="C99" s="40"/>
      <c r="D99" s="59">
        <v>0</v>
      </c>
      <c r="E99" s="40"/>
      <c r="F99" s="40"/>
      <c r="G99" s="40"/>
      <c r="H99" s="40"/>
      <c r="I99" s="40"/>
    </row>
    <row r="100" spans="1:15" ht="19.5" customHeight="1" x14ac:dyDescent="0.25">
      <c r="A100" s="103" t="s">
        <v>108</v>
      </c>
      <c r="B100" s="58"/>
      <c r="C100" s="39"/>
      <c r="D100" s="95">
        <v>4960</v>
      </c>
      <c r="E100" s="39">
        <f>F100+G100+H100+I100</f>
        <v>402.04500000000002</v>
      </c>
      <c r="F100" s="39">
        <v>402.04500000000002</v>
      </c>
      <c r="G100" s="39">
        <v>0</v>
      </c>
      <c r="H100" s="39"/>
      <c r="I100" s="39">
        <v>0</v>
      </c>
    </row>
    <row r="101" spans="1:15" ht="99.75" customHeight="1" x14ac:dyDescent="0.25">
      <c r="A101" s="99" t="s">
        <v>189</v>
      </c>
      <c r="B101" s="58"/>
      <c r="C101" s="39">
        <f t="shared" ref="C101:I101" si="11">C103</f>
        <v>179.703</v>
      </c>
      <c r="D101" s="39">
        <f t="shared" si="11"/>
        <v>249.447</v>
      </c>
      <c r="E101" s="39">
        <f t="shared" si="11"/>
        <v>304.5</v>
      </c>
      <c r="F101" s="39">
        <f t="shared" si="11"/>
        <v>0</v>
      </c>
      <c r="G101" s="39">
        <f t="shared" si="11"/>
        <v>210.5</v>
      </c>
      <c r="H101" s="39">
        <f t="shared" si="11"/>
        <v>94</v>
      </c>
      <c r="I101" s="39">
        <f t="shared" si="11"/>
        <v>0</v>
      </c>
    </row>
    <row r="102" spans="1:15" x14ac:dyDescent="0.25">
      <c r="A102" s="99" t="s">
        <v>109</v>
      </c>
      <c r="B102" s="58"/>
      <c r="C102" s="40"/>
      <c r="D102" s="59">
        <v>0</v>
      </c>
      <c r="E102" s="40"/>
      <c r="F102" s="40"/>
      <c r="G102" s="40"/>
      <c r="H102" s="40"/>
      <c r="I102" s="40"/>
    </row>
    <row r="103" spans="1:15" ht="15.75" customHeight="1" x14ac:dyDescent="0.25">
      <c r="A103" s="57" t="s">
        <v>57</v>
      </c>
      <c r="B103" s="58"/>
      <c r="C103" s="40">
        <f>C104+C105</f>
        <v>179.703</v>
      </c>
      <c r="D103" s="40">
        <f>D104+D105</f>
        <v>249.447</v>
      </c>
      <c r="E103" s="40">
        <f>SUM(F103:I103)</f>
        <v>304.5</v>
      </c>
      <c r="F103" s="40">
        <f>F104+F105</f>
        <v>0</v>
      </c>
      <c r="G103" s="40">
        <f>G104+G105</f>
        <v>210.5</v>
      </c>
      <c r="H103" s="40">
        <f>H104+H105</f>
        <v>94</v>
      </c>
      <c r="I103" s="40">
        <f>I104+I105</f>
        <v>0</v>
      </c>
      <c r="K103" s="47"/>
      <c r="L103" s="47"/>
      <c r="M103" s="47"/>
      <c r="N103" s="47"/>
      <c r="O103" s="47"/>
    </row>
    <row r="104" spans="1:15" ht="38.25" x14ac:dyDescent="0.25">
      <c r="A104" s="57" t="s">
        <v>110</v>
      </c>
      <c r="B104" s="58"/>
      <c r="C104" s="59">
        <v>179.703</v>
      </c>
      <c r="D104" s="59">
        <v>210.34700000000001</v>
      </c>
      <c r="E104" s="40">
        <f>F104+H104+I104+G104</f>
        <v>304.5</v>
      </c>
      <c r="F104" s="40">
        <v>0</v>
      </c>
      <c r="G104" s="40">
        <v>210.5</v>
      </c>
      <c r="H104" s="40">
        <v>94</v>
      </c>
      <c r="I104" s="40">
        <v>0</v>
      </c>
      <c r="K104" s="47"/>
      <c r="L104" s="47"/>
      <c r="M104" s="47"/>
      <c r="N104" s="47"/>
      <c r="O104" s="47"/>
    </row>
    <row r="105" spans="1:15" ht="33.75" customHeight="1" x14ac:dyDescent="0.25">
      <c r="A105" s="57" t="s">
        <v>111</v>
      </c>
      <c r="B105" s="58"/>
      <c r="C105" s="40">
        <v>0</v>
      </c>
      <c r="D105" s="59">
        <v>39.1</v>
      </c>
      <c r="E105" s="40">
        <f>F105+H105+I105+G105</f>
        <v>0</v>
      </c>
      <c r="F105" s="40">
        <v>0</v>
      </c>
      <c r="G105" s="40">
        <v>0</v>
      </c>
      <c r="H105" s="40"/>
      <c r="I105" s="40">
        <v>0</v>
      </c>
      <c r="K105" s="47"/>
      <c r="L105" s="47"/>
      <c r="M105" s="47"/>
      <c r="N105" s="47"/>
      <c r="O105" s="47"/>
    </row>
    <row r="106" spans="1:15" ht="89.25" customHeight="1" x14ac:dyDescent="0.25">
      <c r="A106" s="113" t="s">
        <v>188</v>
      </c>
      <c r="B106" s="58"/>
      <c r="C106" s="39">
        <f>C107</f>
        <v>129.55500000000001</v>
      </c>
      <c r="D106" s="39">
        <f>D107</f>
        <v>27.987000000000002</v>
      </c>
      <c r="E106" s="39">
        <f>E107+E114</f>
        <v>175.102</v>
      </c>
      <c r="F106" s="39">
        <f>F107+F114</f>
        <v>39.305999999999997</v>
      </c>
      <c r="G106" s="39">
        <f>G107+G114</f>
        <v>97.087999999999994</v>
      </c>
      <c r="H106" s="39">
        <f>H107+H114</f>
        <v>38.707999999999998</v>
      </c>
      <c r="I106" s="39">
        <f>I107+I114</f>
        <v>0</v>
      </c>
    </row>
    <row r="107" spans="1:15" ht="15.75" customHeight="1" x14ac:dyDescent="0.25">
      <c r="A107" s="99" t="s">
        <v>55</v>
      </c>
      <c r="B107" s="58"/>
      <c r="C107" s="39">
        <f>C108+C109+C110</f>
        <v>129.55500000000001</v>
      </c>
      <c r="D107" s="39">
        <f>D108+D109+D110</f>
        <v>27.987000000000002</v>
      </c>
      <c r="E107" s="39">
        <f>F107+G107+H107+I107</f>
        <v>175.102</v>
      </c>
      <c r="F107" s="39">
        <f>F108+F109+F110</f>
        <v>39.305999999999997</v>
      </c>
      <c r="G107" s="39">
        <f>G108+G109+G110</f>
        <v>97.087999999999994</v>
      </c>
      <c r="H107" s="39">
        <f>H108+H109+H110</f>
        <v>38.707999999999998</v>
      </c>
      <c r="I107" s="39">
        <f>I108+I109+I110</f>
        <v>0</v>
      </c>
    </row>
    <row r="108" spans="1:15" x14ac:dyDescent="0.25">
      <c r="A108" s="57" t="s">
        <v>113</v>
      </c>
      <c r="B108" s="58"/>
      <c r="C108" s="59">
        <v>47.874000000000002</v>
      </c>
      <c r="D108" s="59">
        <v>14.276999999999999</v>
      </c>
      <c r="E108" s="40">
        <f>G108+H108+I108</f>
        <v>63.456000000000003</v>
      </c>
      <c r="F108" s="40">
        <v>0</v>
      </c>
      <c r="G108" s="40">
        <v>31.728000000000002</v>
      </c>
      <c r="H108" s="40">
        <v>31.728000000000002</v>
      </c>
      <c r="I108" s="40">
        <v>0</v>
      </c>
    </row>
    <row r="109" spans="1:15" x14ac:dyDescent="0.25">
      <c r="A109" s="57" t="s">
        <v>114</v>
      </c>
      <c r="B109" s="58"/>
      <c r="C109" s="59">
        <v>71.149000000000001</v>
      </c>
      <c r="D109" s="59">
        <v>3.141</v>
      </c>
      <c r="E109" s="40">
        <f>G109+H109+I109</f>
        <v>13.961</v>
      </c>
      <c r="F109" s="40">
        <v>0</v>
      </c>
      <c r="G109" s="40">
        <v>6.9809999999999999</v>
      </c>
      <c r="H109" s="40">
        <v>6.98</v>
      </c>
      <c r="I109" s="40">
        <v>0</v>
      </c>
    </row>
    <row r="110" spans="1:15" x14ac:dyDescent="0.25">
      <c r="A110" s="108" t="s">
        <v>115</v>
      </c>
      <c r="B110" s="58"/>
      <c r="C110" s="59">
        <v>10.532</v>
      </c>
      <c r="D110" s="59">
        <v>10.569000000000001</v>
      </c>
      <c r="E110" s="40">
        <f>G110+H110+I110+F110</f>
        <v>97.685000000000002</v>
      </c>
      <c r="F110" s="40">
        <v>39.305999999999997</v>
      </c>
      <c r="G110" s="40">
        <v>58.378999999999998</v>
      </c>
      <c r="H110" s="40">
        <v>0</v>
      </c>
      <c r="I110" s="40">
        <v>0</v>
      </c>
    </row>
    <row r="111" spans="1:15" ht="76.5" customHeight="1" x14ac:dyDescent="0.25">
      <c r="A111" s="99" t="s">
        <v>190</v>
      </c>
      <c r="B111" s="58"/>
      <c r="C111" s="95"/>
      <c r="D111" s="95">
        <f>D112+D114</f>
        <v>721.5</v>
      </c>
      <c r="E111" s="39">
        <f>SUM(F111:I111)</f>
        <v>721.5</v>
      </c>
      <c r="F111" s="39">
        <f>F112+F113+F114</f>
        <v>0</v>
      </c>
      <c r="G111" s="39">
        <f t="shared" ref="G111:I111" si="12">G112+G113+G114</f>
        <v>0</v>
      </c>
      <c r="H111" s="39">
        <f>H112+H114</f>
        <v>721.5</v>
      </c>
      <c r="I111" s="39">
        <f t="shared" si="12"/>
        <v>0</v>
      </c>
    </row>
    <row r="112" spans="1:15" ht="15" customHeight="1" x14ac:dyDescent="0.25">
      <c r="A112" s="99" t="s">
        <v>55</v>
      </c>
      <c r="B112" s="58"/>
      <c r="C112" s="59"/>
      <c r="D112" s="59">
        <v>721.5</v>
      </c>
      <c r="E112" s="40">
        <f t="shared" ref="E112" si="13">SUM(F112:I112)</f>
        <v>721.5</v>
      </c>
      <c r="F112" s="40">
        <f>F113</f>
        <v>0</v>
      </c>
      <c r="G112" s="40">
        <f t="shared" ref="G112:I112" si="14">G113</f>
        <v>0</v>
      </c>
      <c r="H112" s="40">
        <f t="shared" si="14"/>
        <v>721.5</v>
      </c>
      <c r="I112" s="40">
        <f t="shared" si="14"/>
        <v>0</v>
      </c>
    </row>
    <row r="113" spans="1:9" ht="15" customHeight="1" x14ac:dyDescent="0.25">
      <c r="A113" s="99" t="s">
        <v>167</v>
      </c>
      <c r="B113" s="114"/>
      <c r="C113" s="59"/>
      <c r="D113" s="59">
        <v>721.5</v>
      </c>
      <c r="E113" s="40">
        <v>721.5</v>
      </c>
      <c r="F113" s="40">
        <v>0</v>
      </c>
      <c r="G113" s="40">
        <v>0</v>
      </c>
      <c r="H113" s="40">
        <v>721.5</v>
      </c>
      <c r="I113" s="40">
        <v>0</v>
      </c>
    </row>
    <row r="114" spans="1:9" ht="15" customHeight="1" x14ac:dyDescent="0.25">
      <c r="A114" s="57" t="s">
        <v>116</v>
      </c>
      <c r="B114" s="58"/>
      <c r="C114" s="40">
        <v>0</v>
      </c>
      <c r="D114" s="59">
        <f>[2]ФП2023!E112</f>
        <v>0</v>
      </c>
      <c r="E114" s="40">
        <v>0</v>
      </c>
      <c r="F114" s="40">
        <f>F115</f>
        <v>0</v>
      </c>
      <c r="G114" s="40">
        <f t="shared" ref="G114:I114" si="15">G115</f>
        <v>0</v>
      </c>
      <c r="H114" s="40">
        <f t="shared" si="15"/>
        <v>0</v>
      </c>
      <c r="I114" s="40">
        <f t="shared" si="15"/>
        <v>0</v>
      </c>
    </row>
    <row r="115" spans="1:9" x14ac:dyDescent="0.25">
      <c r="A115" s="57" t="s">
        <v>117</v>
      </c>
      <c r="B115" s="101" t="s">
        <v>118</v>
      </c>
      <c r="C115" s="40"/>
      <c r="D115" s="59">
        <v>0</v>
      </c>
      <c r="E115" s="40"/>
      <c r="F115" s="40">
        <v>0</v>
      </c>
      <c r="G115" s="40">
        <v>0</v>
      </c>
      <c r="H115" s="40">
        <v>0</v>
      </c>
      <c r="I115" s="40">
        <v>0</v>
      </c>
    </row>
    <row r="116" spans="1:9" ht="26.25" customHeight="1" x14ac:dyDescent="0.25">
      <c r="A116" s="103" t="s">
        <v>119</v>
      </c>
      <c r="B116" s="101" t="s">
        <v>120</v>
      </c>
      <c r="C116" s="39">
        <f>C78+C77+C63+C74</f>
        <v>33456.405000000006</v>
      </c>
      <c r="D116" s="39">
        <f>D78+D77+D63+D74</f>
        <v>43355.428660000005</v>
      </c>
      <c r="E116" s="39">
        <f>SUM(F116:I116)</f>
        <v>44645.343739999997</v>
      </c>
      <c r="F116" s="39">
        <f>F63+F77+F78+F74</f>
        <v>11907.38276</v>
      </c>
      <c r="G116" s="39">
        <f>G63+G77+G78+G74</f>
        <v>12076.068439999999</v>
      </c>
      <c r="H116" s="39">
        <f>H63+H77+H78+H74</f>
        <v>10619.0373</v>
      </c>
      <c r="I116" s="39">
        <f>I63+I77+I78+I74</f>
        <v>10042.855239999999</v>
      </c>
    </row>
    <row r="117" spans="1:9" ht="24" customHeight="1" x14ac:dyDescent="0.25">
      <c r="A117" s="115" t="s">
        <v>121</v>
      </c>
      <c r="B117" s="101" t="s">
        <v>122</v>
      </c>
      <c r="C117" s="39">
        <f>C61+C36-C116</f>
        <v>23.409719999996014</v>
      </c>
      <c r="D117" s="116">
        <f>D61-D116</f>
        <v>12.192340000001423</v>
      </c>
      <c r="E117" s="39">
        <f>F117+G117+H117+I117</f>
        <v>14.152260000008027</v>
      </c>
      <c r="F117" s="39">
        <f>F61-F116</f>
        <v>2.0337400000025809</v>
      </c>
      <c r="G117" s="39">
        <f>G61-G116</f>
        <v>3.9040600000025734</v>
      </c>
      <c r="H117" s="39">
        <f>H61-H116</f>
        <v>2.5642000000007101</v>
      </c>
      <c r="I117" s="39">
        <f>I61-I116</f>
        <v>5.650260000002163</v>
      </c>
    </row>
    <row r="118" spans="1:9" ht="12.75" customHeight="1" x14ac:dyDescent="0.25">
      <c r="A118" s="106" t="s">
        <v>123</v>
      </c>
      <c r="B118" s="243" t="s">
        <v>124</v>
      </c>
      <c r="C118" s="244"/>
      <c r="D118" s="245"/>
      <c r="E118" s="172"/>
      <c r="F118" s="248"/>
      <c r="G118" s="248"/>
      <c r="H118" s="248"/>
      <c r="I118" s="248"/>
    </row>
    <row r="119" spans="1:9" ht="17.25" customHeight="1" x14ac:dyDescent="0.25">
      <c r="A119" s="57" t="s">
        <v>125</v>
      </c>
      <c r="B119" s="243"/>
      <c r="C119" s="244"/>
      <c r="D119" s="246"/>
      <c r="E119" s="172"/>
      <c r="F119" s="248"/>
      <c r="G119" s="248"/>
      <c r="H119" s="248"/>
      <c r="I119" s="248"/>
    </row>
    <row r="120" spans="1:9" x14ac:dyDescent="0.25">
      <c r="A120" s="57" t="s">
        <v>126</v>
      </c>
      <c r="B120" s="243"/>
      <c r="C120" s="244"/>
      <c r="D120" s="247"/>
      <c r="E120" s="172"/>
      <c r="F120" s="248"/>
      <c r="G120" s="248"/>
      <c r="H120" s="248"/>
      <c r="I120" s="248"/>
    </row>
    <row r="121" spans="1:9" ht="25.5" x14ac:dyDescent="0.25">
      <c r="A121" s="58" t="s">
        <v>127</v>
      </c>
      <c r="B121" s="243" t="s">
        <v>128</v>
      </c>
      <c r="C121" s="244"/>
      <c r="D121" s="245"/>
      <c r="E121" s="172"/>
      <c r="F121" s="248"/>
      <c r="G121" s="248"/>
      <c r="H121" s="248"/>
      <c r="I121" s="248"/>
    </row>
    <row r="122" spans="1:9" x14ac:dyDescent="0.25">
      <c r="A122" s="57" t="s">
        <v>125</v>
      </c>
      <c r="B122" s="243"/>
      <c r="C122" s="244"/>
      <c r="D122" s="246"/>
      <c r="E122" s="172"/>
      <c r="F122" s="248"/>
      <c r="G122" s="248"/>
      <c r="H122" s="248"/>
      <c r="I122" s="248"/>
    </row>
    <row r="123" spans="1:9" x14ac:dyDescent="0.25">
      <c r="A123" s="57" t="s">
        <v>126</v>
      </c>
      <c r="B123" s="243"/>
      <c r="C123" s="244"/>
      <c r="D123" s="247"/>
      <c r="E123" s="172"/>
      <c r="F123" s="248"/>
      <c r="G123" s="248"/>
      <c r="H123" s="248"/>
      <c r="I123" s="248"/>
    </row>
    <row r="124" spans="1:9" ht="45.75" customHeight="1" x14ac:dyDescent="0.25">
      <c r="A124" s="106" t="s">
        <v>129</v>
      </c>
      <c r="B124" s="243" t="s">
        <v>130</v>
      </c>
      <c r="C124" s="55"/>
      <c r="D124" s="117"/>
      <c r="E124" s="39"/>
      <c r="F124" s="40"/>
      <c r="G124" s="40"/>
      <c r="H124" s="40"/>
      <c r="I124" s="40"/>
    </row>
    <row r="125" spans="1:9" x14ac:dyDescent="0.25">
      <c r="A125" s="57" t="s">
        <v>125</v>
      </c>
      <c r="B125" s="243"/>
      <c r="C125" s="40">
        <f>C117</f>
        <v>23.409719999996014</v>
      </c>
      <c r="D125" s="40">
        <v>12.192</v>
      </c>
      <c r="E125" s="40">
        <f>E117</f>
        <v>14.152260000008027</v>
      </c>
      <c r="F125" s="40">
        <f>F117</f>
        <v>2.0337400000025809</v>
      </c>
      <c r="G125" s="40">
        <f>G117</f>
        <v>3.9040600000025734</v>
      </c>
      <c r="H125" s="40">
        <f>H117</f>
        <v>2.5642000000007101</v>
      </c>
      <c r="I125" s="40">
        <f>I117</f>
        <v>5.650260000002163</v>
      </c>
    </row>
    <row r="126" spans="1:9" x14ac:dyDescent="0.25">
      <c r="A126" s="57" t="s">
        <v>126</v>
      </c>
      <c r="B126" s="243"/>
      <c r="C126" s="40">
        <v>0</v>
      </c>
      <c r="D126" s="117">
        <v>0</v>
      </c>
      <c r="E126" s="39">
        <f>F126+G126+H126+I126</f>
        <v>0</v>
      </c>
      <c r="F126" s="40">
        <v>0</v>
      </c>
      <c r="G126" s="40">
        <v>0</v>
      </c>
      <c r="H126" s="40">
        <v>0</v>
      </c>
      <c r="I126" s="40">
        <v>0</v>
      </c>
    </row>
    <row r="127" spans="1:9" ht="25.5" x14ac:dyDescent="0.25">
      <c r="A127" s="58" t="s">
        <v>131</v>
      </c>
      <c r="B127" s="101" t="s">
        <v>132</v>
      </c>
      <c r="C127" s="39">
        <v>2.1</v>
      </c>
      <c r="D127" s="39">
        <f>D125*18%</f>
        <v>2.1945600000000001</v>
      </c>
      <c r="E127" s="39">
        <f>E125-E128</f>
        <v>2.5474068000014434</v>
      </c>
      <c r="F127" s="39">
        <f>F125*0.18</f>
        <v>0.36607320000046456</v>
      </c>
      <c r="G127" s="39">
        <f>G125*0.18</f>
        <v>0.70273080000046317</v>
      </c>
      <c r="H127" s="39">
        <f>H125*0.18</f>
        <v>0.46155600000012781</v>
      </c>
      <c r="I127" s="39">
        <f>I125*0.18</f>
        <v>1.0170468000003894</v>
      </c>
    </row>
    <row r="128" spans="1:9" x14ac:dyDescent="0.25">
      <c r="A128" s="115" t="s">
        <v>133</v>
      </c>
      <c r="B128" s="243" t="s">
        <v>134</v>
      </c>
      <c r="C128" s="168">
        <f>C130</f>
        <v>9.6</v>
      </c>
      <c r="D128" s="250">
        <v>9.9969999999999999</v>
      </c>
      <c r="E128" s="168">
        <f>SUM(F128:I129)</f>
        <v>11.604853200006584</v>
      </c>
      <c r="F128" s="168">
        <f>F125-F127</f>
        <v>1.6676668000021164</v>
      </c>
      <c r="G128" s="168">
        <f>G125-G127</f>
        <v>3.2013292000021103</v>
      </c>
      <c r="H128" s="168">
        <f>H125-H127</f>
        <v>2.1026440000005824</v>
      </c>
      <c r="I128" s="168">
        <f>I125-I127</f>
        <v>4.6332132000017738</v>
      </c>
    </row>
    <row r="129" spans="1:10" ht="15.75" customHeight="1" x14ac:dyDescent="0.25">
      <c r="A129" s="118" t="s">
        <v>135</v>
      </c>
      <c r="B129" s="243"/>
      <c r="C129" s="168"/>
      <c r="D129" s="251"/>
      <c r="E129" s="168"/>
      <c r="F129" s="168"/>
      <c r="G129" s="168"/>
      <c r="H129" s="168"/>
      <c r="I129" s="168"/>
    </row>
    <row r="130" spans="1:10" x14ac:dyDescent="0.25">
      <c r="A130" s="114" t="s">
        <v>136</v>
      </c>
      <c r="B130" s="101" t="s">
        <v>137</v>
      </c>
      <c r="C130" s="39">
        <v>9.6</v>
      </c>
      <c r="D130" s="116">
        <v>9.9969999999999999</v>
      </c>
      <c r="E130" s="39">
        <f>E128</f>
        <v>11.604853200006584</v>
      </c>
      <c r="F130" s="39">
        <f>F128</f>
        <v>1.6676668000021164</v>
      </c>
      <c r="G130" s="39">
        <f>G128</f>
        <v>3.2013292000021103</v>
      </c>
      <c r="H130" s="39">
        <f>H128</f>
        <v>2.1026440000005824</v>
      </c>
      <c r="I130" s="39">
        <f>I128</f>
        <v>4.6332132000017738</v>
      </c>
    </row>
    <row r="131" spans="1:10" x14ac:dyDescent="0.25">
      <c r="A131" s="57" t="s">
        <v>126</v>
      </c>
      <c r="B131" s="101" t="s">
        <v>138</v>
      </c>
      <c r="C131" s="98"/>
      <c r="D131" s="119"/>
      <c r="E131" s="45"/>
      <c r="F131" s="120"/>
      <c r="G131" s="120"/>
      <c r="H131" s="120"/>
      <c r="I131" s="120"/>
    </row>
    <row r="132" spans="1:10" ht="15" customHeight="1" x14ac:dyDescent="0.25">
      <c r="A132" s="222" t="s">
        <v>139</v>
      </c>
      <c r="B132" s="222"/>
      <c r="C132" s="222"/>
      <c r="D132" s="222"/>
      <c r="E132" s="222"/>
      <c r="F132" s="222"/>
      <c r="G132" s="222"/>
      <c r="H132" s="222"/>
      <c r="I132" s="222"/>
    </row>
    <row r="133" spans="1:10" ht="20.25" customHeight="1" x14ac:dyDescent="0.25">
      <c r="A133" s="57" t="s">
        <v>140</v>
      </c>
      <c r="B133" s="101" t="s">
        <v>141</v>
      </c>
      <c r="C133" s="98"/>
      <c r="D133" s="98"/>
      <c r="E133" s="45"/>
      <c r="F133" s="121"/>
      <c r="G133" s="121"/>
      <c r="H133" s="121"/>
      <c r="I133" s="121"/>
    </row>
    <row r="134" spans="1:10" ht="25.5" x14ac:dyDescent="0.25">
      <c r="A134" s="59" t="s">
        <v>142</v>
      </c>
      <c r="B134" s="40" t="s">
        <v>143</v>
      </c>
      <c r="C134" s="40">
        <f>(C127-C141)*0.2</f>
        <v>0.4</v>
      </c>
      <c r="D134" s="40">
        <v>1.9</v>
      </c>
      <c r="E134" s="40">
        <f>F134+G134+H134+I134</f>
        <v>2.2049221080012509</v>
      </c>
      <c r="F134" s="40">
        <f>(F128-F141)*0.2</f>
        <v>0.31685669200040212</v>
      </c>
      <c r="G134" s="40">
        <f>(G128-G141)*0.2</f>
        <v>0.60825254800040096</v>
      </c>
      <c r="H134" s="40">
        <f>(H128-H141)*0.2</f>
        <v>0.39950236000011063</v>
      </c>
      <c r="I134" s="40">
        <f>(I128-I141)*0.2</f>
        <v>0.88031050800033706</v>
      </c>
    </row>
    <row r="135" spans="1:10" ht="25.5" customHeight="1" x14ac:dyDescent="0.25">
      <c r="A135" s="59" t="s">
        <v>144</v>
      </c>
      <c r="B135" s="40" t="s">
        <v>145</v>
      </c>
      <c r="C135" s="40">
        <v>7.7</v>
      </c>
      <c r="D135" s="40">
        <v>7.5979999999999999</v>
      </c>
      <c r="E135" s="40">
        <f>F135+G135+H135+I135</f>
        <v>8.8196884320050035</v>
      </c>
      <c r="F135" s="40">
        <f>(F128-F141)*0.8</f>
        <v>1.2674267680016085</v>
      </c>
      <c r="G135" s="40">
        <f>(G128-G141)*0.8</f>
        <v>2.4330101920016038</v>
      </c>
      <c r="H135" s="40">
        <f>(H128-H141)*0.8</f>
        <v>1.5980094400004425</v>
      </c>
      <c r="I135" s="40">
        <f>(I128-I141)*0.8</f>
        <v>3.5212420320013482</v>
      </c>
      <c r="J135" s="41"/>
    </row>
    <row r="136" spans="1:10" ht="43.5" customHeight="1" x14ac:dyDescent="0.25">
      <c r="A136" s="95" t="s">
        <v>1</v>
      </c>
      <c r="B136" s="40" t="s">
        <v>146</v>
      </c>
      <c r="C136" s="40"/>
      <c r="D136" s="40"/>
      <c r="E136" s="46"/>
      <c r="F136" s="95"/>
      <c r="G136" s="95"/>
      <c r="H136" s="95"/>
      <c r="I136" s="95"/>
    </row>
    <row r="137" spans="1:10" ht="15.75" customHeight="1" x14ac:dyDescent="0.25">
      <c r="A137" s="168" t="s">
        <v>147</v>
      </c>
      <c r="B137" s="168"/>
      <c r="C137" s="168"/>
      <c r="D137" s="168"/>
      <c r="E137" s="168"/>
      <c r="F137" s="168"/>
      <c r="G137" s="168"/>
      <c r="H137" s="168"/>
      <c r="I137" s="168"/>
    </row>
    <row r="138" spans="1:10" ht="16.5" customHeight="1" x14ac:dyDescent="0.25">
      <c r="A138" s="95" t="s">
        <v>148</v>
      </c>
      <c r="B138" s="40" t="s">
        <v>149</v>
      </c>
      <c r="C138" s="40"/>
      <c r="D138" s="40"/>
      <c r="E138" s="46"/>
      <c r="F138" s="39"/>
      <c r="G138" s="39"/>
      <c r="H138" s="39"/>
      <c r="I138" s="39"/>
    </row>
    <row r="139" spans="1:10" ht="16.5" customHeight="1" x14ac:dyDescent="0.25">
      <c r="A139" s="95" t="s">
        <v>150</v>
      </c>
      <c r="B139" s="40" t="s">
        <v>151</v>
      </c>
      <c r="C139" s="40"/>
      <c r="D139" s="40"/>
      <c r="E139" s="46"/>
      <c r="F139" s="46"/>
      <c r="G139" s="46"/>
      <c r="H139" s="46"/>
      <c r="I139" s="46"/>
    </row>
    <row r="140" spans="1:10" ht="24.75" customHeight="1" x14ac:dyDescent="0.25">
      <c r="A140" s="95" t="s">
        <v>152</v>
      </c>
      <c r="B140" s="40" t="s">
        <v>153</v>
      </c>
      <c r="C140" s="46"/>
      <c r="D140" s="46"/>
      <c r="E140" s="46"/>
      <c r="F140" s="46"/>
      <c r="G140" s="46"/>
      <c r="H140" s="46"/>
      <c r="I140" s="46"/>
    </row>
    <row r="141" spans="1:10" x14ac:dyDescent="0.25">
      <c r="A141" s="59" t="s">
        <v>154</v>
      </c>
      <c r="B141" s="40" t="s">
        <v>155</v>
      </c>
      <c r="C141" s="40">
        <v>0.1</v>
      </c>
      <c r="D141" s="40">
        <f>D128*0.05</f>
        <v>0.49985000000000002</v>
      </c>
      <c r="E141" s="39">
        <f>E130*5%</f>
        <v>0.5802426600003292</v>
      </c>
      <c r="F141" s="39">
        <f>F128*0.05</f>
        <v>8.3383340000105832E-2</v>
      </c>
      <c r="G141" s="39">
        <f>G128*0.05</f>
        <v>0.16006646000010552</v>
      </c>
      <c r="H141" s="39">
        <f>H128*0.05</f>
        <v>0.10513220000002912</v>
      </c>
      <c r="I141" s="39">
        <f>I128*0.05</f>
        <v>0.2316606600000887</v>
      </c>
    </row>
    <row r="142" spans="1:10" ht="14.45" customHeight="1" x14ac:dyDescent="0.25">
      <c r="A142" s="57" t="s">
        <v>156</v>
      </c>
      <c r="B142" s="101" t="s">
        <v>157</v>
      </c>
      <c r="C142" s="98"/>
      <c r="D142" s="98"/>
      <c r="E142" s="45"/>
      <c r="F142" s="120"/>
      <c r="G142" s="120"/>
      <c r="H142" s="120"/>
      <c r="I142" s="120"/>
    </row>
    <row r="143" spans="1:10" ht="12.6" hidden="1" customHeight="1" x14ac:dyDescent="0.25">
      <c r="A143" s="249"/>
      <c r="B143" s="249"/>
      <c r="C143" s="249"/>
      <c r="D143" s="249"/>
      <c r="E143" s="249"/>
      <c r="F143" s="249"/>
      <c r="G143" s="249"/>
      <c r="H143" s="249"/>
      <c r="I143" s="249"/>
    </row>
    <row r="144" spans="1:10" ht="16.149999999999999" hidden="1" customHeight="1" x14ac:dyDescent="0.25">
      <c r="A144" s="249"/>
      <c r="B144" s="249"/>
      <c r="C144" s="249"/>
      <c r="D144" s="249"/>
      <c r="E144" s="249"/>
      <c r="F144" s="249"/>
      <c r="G144" s="249"/>
      <c r="H144" s="249"/>
      <c r="I144" s="249"/>
    </row>
    <row r="145" spans="1:9" ht="15.75" customHeight="1" x14ac:dyDescent="0.25">
      <c r="A145" s="255"/>
      <c r="B145" s="255"/>
      <c r="C145" s="255"/>
      <c r="D145" s="255"/>
      <c r="E145" s="255"/>
      <c r="F145" s="255"/>
      <c r="G145" s="255"/>
      <c r="H145" s="255"/>
      <c r="I145" s="255"/>
    </row>
    <row r="146" spans="1:9" ht="30" x14ac:dyDescent="0.25">
      <c r="A146" s="122" t="s">
        <v>158</v>
      </c>
      <c r="B146" s="123"/>
      <c r="C146" s="254" t="s">
        <v>159</v>
      </c>
      <c r="D146" s="254"/>
      <c r="E146" s="254"/>
      <c r="F146" s="254"/>
      <c r="G146" s="254"/>
      <c r="H146" s="254"/>
      <c r="I146" s="254"/>
    </row>
    <row r="147" spans="1:9" ht="15" customHeight="1" x14ac:dyDescent="0.25">
      <c r="G147" s="252" t="s">
        <v>160</v>
      </c>
      <c r="H147" s="252"/>
      <c r="I147" s="252"/>
    </row>
    <row r="148" spans="1:9" ht="0.6" customHeight="1" x14ac:dyDescent="0.25">
      <c r="G148" s="124"/>
      <c r="H148" s="124"/>
      <c r="I148" s="124"/>
    </row>
    <row r="149" spans="1:9" hidden="1" x14ac:dyDescent="0.25">
      <c r="A149" s="123" t="s">
        <v>161</v>
      </c>
      <c r="B149" s="123"/>
      <c r="C149" s="254" t="s">
        <v>162</v>
      </c>
      <c r="D149" s="254"/>
      <c r="E149" s="254"/>
      <c r="F149" s="254"/>
      <c r="G149" s="254"/>
      <c r="H149" s="254"/>
      <c r="I149" s="254"/>
    </row>
    <row r="150" spans="1:9" hidden="1" x14ac:dyDescent="0.25">
      <c r="G150" s="252" t="s">
        <v>160</v>
      </c>
      <c r="H150" s="252"/>
      <c r="I150" s="252"/>
    </row>
    <row r="151" spans="1:9" hidden="1" x14ac:dyDescent="0.25"/>
    <row r="152" spans="1:9" hidden="1" x14ac:dyDescent="0.25">
      <c r="A152" s="123" t="s">
        <v>163</v>
      </c>
      <c r="B152" s="123"/>
      <c r="C152" s="254" t="s">
        <v>164</v>
      </c>
      <c r="D152" s="254"/>
      <c r="E152" s="254"/>
      <c r="F152" s="254"/>
      <c r="G152" s="254"/>
      <c r="H152" s="254"/>
      <c r="I152" s="254"/>
    </row>
    <row r="153" spans="1:9" hidden="1" x14ac:dyDescent="0.25">
      <c r="G153" s="252" t="s">
        <v>160</v>
      </c>
      <c r="H153" s="252"/>
      <c r="I153" s="252"/>
    </row>
    <row r="154" spans="1:9" hidden="1" x14ac:dyDescent="0.25"/>
    <row r="156" spans="1:9" x14ac:dyDescent="0.25">
      <c r="A156" s="122" t="s">
        <v>184</v>
      </c>
      <c r="D156" s="253" t="s">
        <v>162</v>
      </c>
      <c r="E156" s="253"/>
      <c r="F156" s="253"/>
      <c r="G156" s="253"/>
    </row>
    <row r="157" spans="1:9" x14ac:dyDescent="0.25">
      <c r="G157" s="252" t="s">
        <v>160</v>
      </c>
      <c r="H157" s="252"/>
      <c r="I157" s="252"/>
    </row>
    <row r="158" spans="1:9" ht="30" x14ac:dyDescent="0.25">
      <c r="A158" s="122" t="s">
        <v>185</v>
      </c>
      <c r="D158" s="253" t="s">
        <v>186</v>
      </c>
      <c r="E158" s="253"/>
      <c r="F158" s="253"/>
      <c r="G158" s="253"/>
    </row>
    <row r="159" spans="1:9" x14ac:dyDescent="0.25">
      <c r="G159" s="252" t="s">
        <v>160</v>
      </c>
      <c r="H159" s="252"/>
      <c r="I159" s="252"/>
    </row>
  </sheetData>
  <mergeCells count="126">
    <mergeCell ref="G157:I157"/>
    <mergeCell ref="G159:I159"/>
    <mergeCell ref="D156:G156"/>
    <mergeCell ref="D158:G158"/>
    <mergeCell ref="G150:I150"/>
    <mergeCell ref="C152:F152"/>
    <mergeCell ref="G152:I152"/>
    <mergeCell ref="G153:I153"/>
    <mergeCell ref="A145:I145"/>
    <mergeCell ref="C146:F146"/>
    <mergeCell ref="G146:I146"/>
    <mergeCell ref="G147:I147"/>
    <mergeCell ref="C149:F149"/>
    <mergeCell ref="G149:I149"/>
    <mergeCell ref="A132:I132"/>
    <mergeCell ref="A137:I137"/>
    <mergeCell ref="A143:I144"/>
    <mergeCell ref="B124:B126"/>
    <mergeCell ref="B128:B129"/>
    <mergeCell ref="C128:C129"/>
    <mergeCell ref="D128:D129"/>
    <mergeCell ref="E128:E129"/>
    <mergeCell ref="F128:F129"/>
    <mergeCell ref="B121:B123"/>
    <mergeCell ref="C121:C123"/>
    <mergeCell ref="D121:D123"/>
    <mergeCell ref="E121:E123"/>
    <mergeCell ref="F121:F123"/>
    <mergeCell ref="G121:G123"/>
    <mergeCell ref="H121:H123"/>
    <mergeCell ref="I121:I123"/>
    <mergeCell ref="G128:G129"/>
    <mergeCell ref="H128:H129"/>
    <mergeCell ref="I128:I129"/>
    <mergeCell ref="I70:I71"/>
    <mergeCell ref="B74:B76"/>
    <mergeCell ref="B118:B120"/>
    <mergeCell ref="C118:C120"/>
    <mergeCell ref="D118:D120"/>
    <mergeCell ref="E118:E120"/>
    <mergeCell ref="F118:F120"/>
    <mergeCell ref="G118:G120"/>
    <mergeCell ref="H118:H120"/>
    <mergeCell ref="I118:I120"/>
    <mergeCell ref="B67:B69"/>
    <mergeCell ref="A70:A71"/>
    <mergeCell ref="B70:B71"/>
    <mergeCell ref="C70:C71"/>
    <mergeCell ref="D70:D71"/>
    <mergeCell ref="E70:E71"/>
    <mergeCell ref="F70:F71"/>
    <mergeCell ref="G70:G71"/>
    <mergeCell ref="H70:H71"/>
    <mergeCell ref="H43:H44"/>
    <mergeCell ref="I43:I44"/>
    <mergeCell ref="B46:B59"/>
    <mergeCell ref="A62:I62"/>
    <mergeCell ref="A65:A66"/>
    <mergeCell ref="B65:B66"/>
    <mergeCell ref="C65:C66"/>
    <mergeCell ref="D65:D66"/>
    <mergeCell ref="E65:E66"/>
    <mergeCell ref="F65:F66"/>
    <mergeCell ref="B43:B44"/>
    <mergeCell ref="C43:C44"/>
    <mergeCell ref="D43:D44"/>
    <mergeCell ref="E43:E44"/>
    <mergeCell ref="F43:F44"/>
    <mergeCell ref="G43:G44"/>
    <mergeCell ref="G65:G66"/>
    <mergeCell ref="H65:H66"/>
    <mergeCell ref="I65:I66"/>
    <mergeCell ref="A41:A42"/>
    <mergeCell ref="B41:B42"/>
    <mergeCell ref="C41:C42"/>
    <mergeCell ref="D41:D42"/>
    <mergeCell ref="E41:E42"/>
    <mergeCell ref="F41:F42"/>
    <mergeCell ref="G41:G42"/>
    <mergeCell ref="H41:H42"/>
    <mergeCell ref="I41:I42"/>
    <mergeCell ref="A28:I28"/>
    <mergeCell ref="B29:B35"/>
    <mergeCell ref="A39:A40"/>
    <mergeCell ref="B39:B40"/>
    <mergeCell ref="C39:C40"/>
    <mergeCell ref="D39:D40"/>
    <mergeCell ref="E39:E40"/>
    <mergeCell ref="F39:F40"/>
    <mergeCell ref="G39:G40"/>
    <mergeCell ref="H39:H40"/>
    <mergeCell ref="I39:I40"/>
    <mergeCell ref="A20:H20"/>
    <mergeCell ref="A21:I21"/>
    <mergeCell ref="A22:I22"/>
    <mergeCell ref="A23:I23"/>
    <mergeCell ref="A24:I24"/>
    <mergeCell ref="A25:A27"/>
    <mergeCell ref="B25:B27"/>
    <mergeCell ref="C25:C26"/>
    <mergeCell ref="D25:D26"/>
    <mergeCell ref="F25:I26"/>
    <mergeCell ref="A14:H14"/>
    <mergeCell ref="A15:H15"/>
    <mergeCell ref="A16:H16"/>
    <mergeCell ref="A17:H17"/>
    <mergeCell ref="A18:H18"/>
    <mergeCell ref="A19:H19"/>
    <mergeCell ref="A8:H8"/>
    <mergeCell ref="A9:H9"/>
    <mergeCell ref="A10:H10"/>
    <mergeCell ref="A11:H11"/>
    <mergeCell ref="A12:H12"/>
    <mergeCell ref="A13:H13"/>
    <mergeCell ref="A4:E4"/>
    <mergeCell ref="F4:I4"/>
    <mergeCell ref="A5:D5"/>
    <mergeCell ref="E5:I5"/>
    <mergeCell ref="A6:I6"/>
    <mergeCell ref="A7:H7"/>
    <mergeCell ref="A1:E1"/>
    <mergeCell ref="F1:I1"/>
    <mergeCell ref="A2:E2"/>
    <mergeCell ref="F2:I2"/>
    <mergeCell ref="A3:E3"/>
    <mergeCell ref="F3:I3"/>
  </mergeCells>
  <pageMargins left="0.59055118110236227" right="0.31496062992125984" top="0.39370078740157483" bottom="0.39370078740157483" header="0.31496062992125984" footer="0.31496062992125984"/>
  <pageSetup paperSize="9" scale="8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B3D4A-C8E9-4152-B7C3-7B228EE80DB5}">
  <sheetPr>
    <pageSetUpPr fitToPage="1"/>
  </sheetPr>
  <dimension ref="A1:N173"/>
  <sheetViews>
    <sheetView tabSelected="1" view="pageBreakPreview" topLeftCell="A133" zoomScaleNormal="70" zoomScaleSheetLayoutView="100" workbookViewId="0">
      <selection activeCell="F170" sqref="F170"/>
    </sheetView>
  </sheetViews>
  <sheetFormatPr defaultColWidth="8.85546875" defaultRowHeight="15" x14ac:dyDescent="0.25"/>
  <cols>
    <col min="1" max="1" width="44.28515625" style="97" customWidth="1"/>
    <col min="2" max="2" width="9.140625" style="97" customWidth="1"/>
    <col min="3" max="3" width="14.42578125" style="12" customWidth="1"/>
    <col min="4" max="4" width="13.7109375" style="12" customWidth="1"/>
    <col min="5" max="5" width="15.28515625" style="12" customWidth="1"/>
    <col min="6" max="6" width="11" style="12" customWidth="1"/>
    <col min="7" max="7" width="12.42578125" style="73" customWidth="1"/>
    <col min="8" max="8" width="11.5703125" style="12" customWidth="1"/>
    <col min="9" max="9" width="14.42578125" style="12" customWidth="1"/>
    <col min="10" max="10" width="15" style="97" customWidth="1"/>
    <col min="11" max="16384" width="8.85546875" style="97"/>
  </cols>
  <sheetData>
    <row r="1" spans="1:9" ht="77.25" customHeight="1" x14ac:dyDescent="0.25">
      <c r="A1" s="268"/>
      <c r="B1" s="268"/>
      <c r="C1" s="268"/>
      <c r="D1" s="268"/>
      <c r="E1" s="269"/>
      <c r="F1" s="269"/>
      <c r="G1" s="271" t="s">
        <v>223</v>
      </c>
      <c r="H1" s="256"/>
      <c r="I1" s="256"/>
    </row>
    <row r="2" spans="1:9" x14ac:dyDescent="0.25">
      <c r="A2" s="268"/>
      <c r="B2" s="268"/>
      <c r="C2" s="268"/>
      <c r="D2" s="268"/>
      <c r="E2" s="268"/>
      <c r="F2" s="268"/>
      <c r="G2" s="268"/>
      <c r="H2" s="268"/>
      <c r="I2" s="268"/>
    </row>
    <row r="3" spans="1:9" x14ac:dyDescent="0.25">
      <c r="A3" s="214"/>
      <c r="B3" s="214"/>
      <c r="C3" s="214"/>
      <c r="D3" s="214"/>
      <c r="E3" s="214"/>
      <c r="F3" s="214"/>
      <c r="G3" s="214"/>
      <c r="H3" s="214"/>
      <c r="I3" s="125" t="s">
        <v>5</v>
      </c>
    </row>
    <row r="4" spans="1:9" x14ac:dyDescent="0.25">
      <c r="A4" s="219" t="s">
        <v>6</v>
      </c>
      <c r="B4" s="220"/>
      <c r="C4" s="220"/>
      <c r="D4" s="220"/>
      <c r="E4" s="220"/>
      <c r="F4" s="220"/>
      <c r="G4" s="220"/>
      <c r="H4" s="221"/>
      <c r="I4" s="144">
        <v>23990212</v>
      </c>
    </row>
    <row r="5" spans="1:9" x14ac:dyDescent="0.25">
      <c r="A5" s="217"/>
      <c r="B5" s="217"/>
      <c r="C5" s="217"/>
      <c r="D5" s="217"/>
      <c r="E5" s="217"/>
      <c r="F5" s="217"/>
      <c r="G5" s="217"/>
      <c r="H5" s="217"/>
      <c r="I5" s="125"/>
    </row>
    <row r="6" spans="1:9" x14ac:dyDescent="0.25">
      <c r="A6" s="217"/>
      <c r="B6" s="217"/>
      <c r="C6" s="217"/>
      <c r="D6" s="217"/>
      <c r="E6" s="217"/>
      <c r="F6" s="217"/>
      <c r="G6" s="217"/>
      <c r="H6" s="217"/>
      <c r="I6" s="125"/>
    </row>
    <row r="7" spans="1:9" x14ac:dyDescent="0.25">
      <c r="A7" s="217" t="s">
        <v>7</v>
      </c>
      <c r="B7" s="217"/>
      <c r="C7" s="217"/>
      <c r="D7" s="217"/>
      <c r="E7" s="217"/>
      <c r="F7" s="217"/>
      <c r="G7" s="217"/>
      <c r="H7" s="217"/>
      <c r="I7" s="125"/>
    </row>
    <row r="8" spans="1:9" x14ac:dyDescent="0.25">
      <c r="A8" s="217" t="s">
        <v>195</v>
      </c>
      <c r="B8" s="217"/>
      <c r="C8" s="217"/>
      <c r="D8" s="217"/>
      <c r="E8" s="217"/>
      <c r="F8" s="217"/>
      <c r="G8" s="217"/>
      <c r="H8" s="217"/>
      <c r="I8" s="125"/>
    </row>
    <row r="9" spans="1:9" ht="28.5" customHeight="1" x14ac:dyDescent="0.25">
      <c r="A9" s="218" t="s">
        <v>9</v>
      </c>
      <c r="B9" s="218"/>
      <c r="C9" s="218"/>
      <c r="D9" s="218"/>
      <c r="E9" s="218"/>
      <c r="F9" s="218"/>
      <c r="G9" s="218"/>
      <c r="H9" s="218"/>
      <c r="I9" s="125"/>
    </row>
    <row r="10" spans="1:9" x14ac:dyDescent="0.25">
      <c r="A10" s="217" t="s">
        <v>10</v>
      </c>
      <c r="B10" s="217"/>
      <c r="C10" s="217"/>
      <c r="D10" s="217"/>
      <c r="E10" s="217"/>
      <c r="F10" s="217"/>
      <c r="G10" s="217"/>
      <c r="H10" s="217"/>
      <c r="I10" s="125"/>
    </row>
    <row r="11" spans="1:9" x14ac:dyDescent="0.25">
      <c r="A11" s="217" t="s">
        <v>11</v>
      </c>
      <c r="B11" s="217"/>
      <c r="C11" s="217"/>
      <c r="D11" s="217"/>
      <c r="E11" s="217"/>
      <c r="F11" s="217"/>
      <c r="G11" s="217"/>
      <c r="H11" s="217"/>
      <c r="I11" s="125" t="s">
        <v>222</v>
      </c>
    </row>
    <row r="12" spans="1:9" x14ac:dyDescent="0.25">
      <c r="A12" s="217" t="s">
        <v>13</v>
      </c>
      <c r="B12" s="217"/>
      <c r="C12" s="217"/>
      <c r="D12" s="217"/>
      <c r="E12" s="217"/>
      <c r="F12" s="217"/>
      <c r="G12" s="217"/>
      <c r="H12" s="217"/>
      <c r="I12" s="125"/>
    </row>
    <row r="13" spans="1:9" x14ac:dyDescent="0.25">
      <c r="A13" s="217" t="s">
        <v>14</v>
      </c>
      <c r="B13" s="217"/>
      <c r="C13" s="217"/>
      <c r="D13" s="217"/>
      <c r="E13" s="217"/>
      <c r="F13" s="217"/>
      <c r="G13" s="217"/>
      <c r="H13" s="217"/>
      <c r="I13" s="125"/>
    </row>
    <row r="14" spans="1:9" x14ac:dyDescent="0.25">
      <c r="A14" s="189" t="s">
        <v>183</v>
      </c>
      <c r="B14" s="189"/>
      <c r="C14" s="189"/>
      <c r="D14" s="189"/>
      <c r="E14" s="189"/>
      <c r="F14" s="189"/>
      <c r="G14" s="189"/>
      <c r="H14" s="189"/>
      <c r="I14" s="125"/>
    </row>
    <row r="15" spans="1:9" ht="28.5" customHeight="1" x14ac:dyDescent="0.25">
      <c r="A15" s="200" t="s">
        <v>196</v>
      </c>
      <c r="B15" s="189"/>
      <c r="C15" s="189"/>
      <c r="D15" s="189"/>
      <c r="E15" s="189"/>
      <c r="F15" s="189"/>
      <c r="G15" s="189"/>
      <c r="H15" s="189"/>
      <c r="I15" s="125"/>
    </row>
    <row r="16" spans="1:9" x14ac:dyDescent="0.25">
      <c r="A16" s="189" t="s">
        <v>17</v>
      </c>
      <c r="B16" s="189"/>
      <c r="C16" s="189"/>
      <c r="D16" s="189"/>
      <c r="E16" s="189"/>
      <c r="F16" s="189"/>
      <c r="G16" s="189"/>
      <c r="H16" s="189"/>
      <c r="I16" s="125"/>
    </row>
    <row r="17" spans="1:9" ht="27" customHeight="1" x14ac:dyDescent="0.25">
      <c r="A17" s="161" t="s">
        <v>200</v>
      </c>
      <c r="B17" s="161"/>
      <c r="C17" s="161"/>
      <c r="D17" s="161"/>
      <c r="E17" s="161"/>
      <c r="F17" s="161"/>
      <c r="G17" s="161"/>
      <c r="H17" s="161"/>
      <c r="I17" s="161"/>
    </row>
    <row r="18" spans="1:9" ht="15" customHeight="1" x14ac:dyDescent="0.25">
      <c r="A18" s="190" t="s">
        <v>197</v>
      </c>
      <c r="B18" s="191"/>
      <c r="C18" s="191"/>
      <c r="D18" s="191"/>
      <c r="E18" s="191"/>
      <c r="F18" s="191"/>
      <c r="G18" s="191"/>
      <c r="H18" s="191"/>
      <c r="I18" s="192"/>
    </row>
    <row r="19" spans="1:9" ht="18.75" customHeight="1" x14ac:dyDescent="0.25">
      <c r="A19" s="190" t="s">
        <v>18</v>
      </c>
      <c r="B19" s="191"/>
      <c r="C19" s="191"/>
      <c r="D19" s="191"/>
      <c r="E19" s="191"/>
      <c r="F19" s="191"/>
      <c r="G19" s="191"/>
      <c r="H19" s="191"/>
      <c r="I19" s="192"/>
    </row>
    <row r="20" spans="1:9" x14ac:dyDescent="0.25">
      <c r="A20" s="161" t="s">
        <v>19</v>
      </c>
      <c r="B20" s="161"/>
      <c r="C20" s="161"/>
      <c r="D20" s="161"/>
      <c r="E20" s="193"/>
      <c r="F20" s="161"/>
      <c r="G20" s="161"/>
      <c r="H20" s="161"/>
      <c r="I20" s="161"/>
    </row>
    <row r="21" spans="1:9" x14ac:dyDescent="0.25">
      <c r="A21" s="194"/>
      <c r="B21" s="194" t="s">
        <v>20</v>
      </c>
      <c r="C21" s="195" t="s">
        <v>21</v>
      </c>
      <c r="D21" s="196" t="s">
        <v>21</v>
      </c>
      <c r="E21" s="142" t="s">
        <v>22</v>
      </c>
      <c r="F21" s="266" t="s">
        <v>23</v>
      </c>
      <c r="G21" s="267"/>
      <c r="H21" s="267"/>
      <c r="I21" s="267"/>
    </row>
    <row r="22" spans="1:9" x14ac:dyDescent="0.25">
      <c r="A22" s="194"/>
      <c r="B22" s="194"/>
      <c r="C22" s="195"/>
      <c r="D22" s="196"/>
      <c r="E22" s="143" t="s">
        <v>24</v>
      </c>
      <c r="F22" s="266"/>
      <c r="G22" s="267"/>
      <c r="H22" s="267"/>
      <c r="I22" s="267"/>
    </row>
    <row r="23" spans="1:9" ht="38.25" x14ac:dyDescent="0.25">
      <c r="A23" s="194"/>
      <c r="B23" s="194"/>
      <c r="C23" s="2" t="s">
        <v>198</v>
      </c>
      <c r="D23" s="2" t="s">
        <v>193</v>
      </c>
      <c r="E23" s="143" t="s">
        <v>194</v>
      </c>
      <c r="F23" s="2" t="s">
        <v>25</v>
      </c>
      <c r="G23" s="2" t="s">
        <v>26</v>
      </c>
      <c r="H23" s="2" t="s">
        <v>27</v>
      </c>
      <c r="I23" s="2" t="s">
        <v>28</v>
      </c>
    </row>
    <row r="24" spans="1:9" x14ac:dyDescent="0.25">
      <c r="A24" s="183" t="s">
        <v>29</v>
      </c>
      <c r="B24" s="183"/>
      <c r="C24" s="183"/>
      <c r="D24" s="183"/>
      <c r="E24" s="183"/>
      <c r="F24" s="183"/>
      <c r="G24" s="183"/>
      <c r="H24" s="183"/>
      <c r="I24" s="183"/>
    </row>
    <row r="25" spans="1:9" ht="25.5" x14ac:dyDescent="0.25">
      <c r="A25" s="3" t="s">
        <v>30</v>
      </c>
      <c r="B25" s="186" t="s">
        <v>31</v>
      </c>
      <c r="C25" s="148">
        <f>SUM(C27:C31)</f>
        <v>496.40600000000001</v>
      </c>
      <c r="D25" s="148">
        <f>SUM(D27:D31)</f>
        <v>304.2</v>
      </c>
      <c r="E25" s="148">
        <f>SUM(F25:I25)</f>
        <v>486.42199999999997</v>
      </c>
      <c r="F25" s="148">
        <f>SUM(F27:F31)</f>
        <v>91</v>
      </c>
      <c r="G25" s="148">
        <f>SUM(G27:G31)</f>
        <v>109.64099999999999</v>
      </c>
      <c r="H25" s="148">
        <f>SUM(H27:H31)</f>
        <v>105.14099999999999</v>
      </c>
      <c r="I25" s="148">
        <f>SUM(I27:I31)</f>
        <v>180.64</v>
      </c>
    </row>
    <row r="26" spans="1:9" x14ac:dyDescent="0.25">
      <c r="A26" s="7" t="s">
        <v>32</v>
      </c>
      <c r="B26" s="187"/>
      <c r="C26" s="147"/>
      <c r="D26" s="147"/>
      <c r="E26" s="148"/>
      <c r="F26" s="148"/>
      <c r="G26" s="148"/>
      <c r="H26" s="148"/>
      <c r="I26" s="148"/>
    </row>
    <row r="27" spans="1:9" ht="18" customHeight="1" x14ac:dyDescent="0.25">
      <c r="A27" s="3" t="s">
        <v>33</v>
      </c>
      <c r="B27" s="187"/>
      <c r="C27" s="147">
        <v>9.3699999999999992</v>
      </c>
      <c r="D27" s="147">
        <v>28</v>
      </c>
      <c r="E27" s="148">
        <f t="shared" ref="E27:E32" si="0">SUM(F27:I27)</f>
        <v>32</v>
      </c>
      <c r="F27" s="147">
        <v>8</v>
      </c>
      <c r="G27" s="147">
        <v>8</v>
      </c>
      <c r="H27" s="147">
        <v>8</v>
      </c>
      <c r="I27" s="147">
        <v>8</v>
      </c>
    </row>
    <row r="28" spans="1:9" ht="16.5" customHeight="1" x14ac:dyDescent="0.25">
      <c r="A28" s="3" t="s">
        <v>34</v>
      </c>
      <c r="B28" s="187"/>
      <c r="C28" s="147">
        <v>2.5350000000000001</v>
      </c>
      <c r="D28" s="147">
        <v>2</v>
      </c>
      <c r="E28" s="148">
        <f t="shared" si="0"/>
        <v>2</v>
      </c>
      <c r="F28" s="147">
        <v>0.5</v>
      </c>
      <c r="G28" s="147">
        <v>0.5</v>
      </c>
      <c r="H28" s="147">
        <v>0.5</v>
      </c>
      <c r="I28" s="147">
        <v>0.5</v>
      </c>
    </row>
    <row r="29" spans="1:9" ht="16.5" customHeight="1" x14ac:dyDescent="0.25">
      <c r="A29" s="3" t="s">
        <v>35</v>
      </c>
      <c r="B29" s="187"/>
      <c r="C29" s="147">
        <v>202.863</v>
      </c>
      <c r="D29" s="147">
        <v>141.19999999999999</v>
      </c>
      <c r="E29" s="148">
        <f t="shared" si="0"/>
        <v>231.42199999999997</v>
      </c>
      <c r="F29" s="147">
        <v>58.5</v>
      </c>
      <c r="G29" s="147">
        <f>27.5+7.641</f>
        <v>35.140999999999998</v>
      </c>
      <c r="H29" s="147">
        <f>35+7.641</f>
        <v>42.640999999999998</v>
      </c>
      <c r="I29" s="147">
        <f>87.5+7.64</f>
        <v>95.14</v>
      </c>
    </row>
    <row r="30" spans="1:9" ht="16.5" customHeight="1" x14ac:dyDescent="0.25">
      <c r="A30" s="3" t="s">
        <v>36</v>
      </c>
      <c r="B30" s="187"/>
      <c r="C30" s="147">
        <v>30.309000000000001</v>
      </c>
      <c r="D30" s="147">
        <v>17</v>
      </c>
      <c r="E30" s="148">
        <f t="shared" si="0"/>
        <v>15</v>
      </c>
      <c r="F30" s="147">
        <v>0</v>
      </c>
      <c r="G30" s="147">
        <v>13</v>
      </c>
      <c r="H30" s="147">
        <v>2</v>
      </c>
      <c r="I30" s="147">
        <v>0</v>
      </c>
    </row>
    <row r="31" spans="1:9" ht="36" customHeight="1" x14ac:dyDescent="0.25">
      <c r="A31" s="3" t="s">
        <v>37</v>
      </c>
      <c r="B31" s="188"/>
      <c r="C31" s="147">
        <v>251.32900000000001</v>
      </c>
      <c r="D31" s="147">
        <v>116</v>
      </c>
      <c r="E31" s="148">
        <f t="shared" si="0"/>
        <v>206</v>
      </c>
      <c r="F31" s="147">
        <v>24</v>
      </c>
      <c r="G31" s="147">
        <f>46+7</f>
        <v>53</v>
      </c>
      <c r="H31" s="147">
        <f>45+7</f>
        <v>52</v>
      </c>
      <c r="I31" s="147">
        <f>70+7</f>
        <v>77</v>
      </c>
    </row>
    <row r="32" spans="1:9" ht="15.75" customHeight="1" x14ac:dyDescent="0.25">
      <c r="A32" s="3" t="s">
        <v>39</v>
      </c>
      <c r="B32" s="10" t="s">
        <v>40</v>
      </c>
      <c r="C32" s="147">
        <v>0</v>
      </c>
      <c r="D32" s="147">
        <v>0</v>
      </c>
      <c r="E32" s="148">
        <f t="shared" si="0"/>
        <v>0</v>
      </c>
      <c r="F32" s="148">
        <v>0</v>
      </c>
      <c r="G32" s="148">
        <v>0</v>
      </c>
      <c r="H32" s="148">
        <v>0</v>
      </c>
      <c r="I32" s="148">
        <v>0</v>
      </c>
    </row>
    <row r="33" spans="1:9" ht="21.75" customHeight="1" x14ac:dyDescent="0.25">
      <c r="A33" s="3" t="s">
        <v>41</v>
      </c>
      <c r="B33" s="10" t="s">
        <v>42</v>
      </c>
      <c r="C33" s="147">
        <v>0</v>
      </c>
      <c r="D33" s="147">
        <v>0</v>
      </c>
      <c r="E33" s="148">
        <v>0</v>
      </c>
      <c r="F33" s="147">
        <v>0</v>
      </c>
      <c r="G33" s="147">
        <v>0</v>
      </c>
      <c r="H33" s="147">
        <v>0</v>
      </c>
      <c r="I33" s="147">
        <v>0</v>
      </c>
    </row>
    <row r="34" spans="1:9" ht="16.5" customHeight="1" x14ac:dyDescent="0.25">
      <c r="A34" s="176" t="s">
        <v>43</v>
      </c>
      <c r="B34" s="175" t="s">
        <v>44</v>
      </c>
      <c r="C34" s="259">
        <v>0</v>
      </c>
      <c r="D34" s="259">
        <v>0</v>
      </c>
      <c r="E34" s="264">
        <v>0</v>
      </c>
      <c r="F34" s="259">
        <v>0</v>
      </c>
      <c r="G34" s="259">
        <v>0</v>
      </c>
      <c r="H34" s="259">
        <v>0</v>
      </c>
      <c r="I34" s="259">
        <v>0</v>
      </c>
    </row>
    <row r="35" spans="1:9" ht="2.25" customHeight="1" x14ac:dyDescent="0.25">
      <c r="A35" s="176"/>
      <c r="B35" s="175"/>
      <c r="C35" s="259"/>
      <c r="D35" s="259"/>
      <c r="E35" s="265"/>
      <c r="F35" s="259"/>
      <c r="G35" s="259"/>
      <c r="H35" s="259"/>
      <c r="I35" s="259"/>
    </row>
    <row r="36" spans="1:9" ht="21" customHeight="1" x14ac:dyDescent="0.25">
      <c r="A36" s="183" t="s">
        <v>45</v>
      </c>
      <c r="B36" s="175" t="s">
        <v>46</v>
      </c>
      <c r="C36" s="258">
        <f t="shared" ref="C36:I36" si="1">C25</f>
        <v>496.40600000000001</v>
      </c>
      <c r="D36" s="258">
        <f t="shared" si="1"/>
        <v>304.2</v>
      </c>
      <c r="E36" s="264">
        <f t="shared" si="1"/>
        <v>486.42199999999997</v>
      </c>
      <c r="F36" s="258">
        <f t="shared" si="1"/>
        <v>91</v>
      </c>
      <c r="G36" s="258">
        <f t="shared" si="1"/>
        <v>109.64099999999999</v>
      </c>
      <c r="H36" s="258">
        <f t="shared" si="1"/>
        <v>105.14099999999999</v>
      </c>
      <c r="I36" s="258">
        <f t="shared" si="1"/>
        <v>180.64</v>
      </c>
    </row>
    <row r="37" spans="1:9" ht="16.5" customHeight="1" x14ac:dyDescent="0.25">
      <c r="A37" s="183"/>
      <c r="B37" s="175"/>
      <c r="C37" s="258"/>
      <c r="D37" s="258"/>
      <c r="E37" s="265"/>
      <c r="F37" s="258"/>
      <c r="G37" s="258"/>
      <c r="H37" s="258"/>
      <c r="I37" s="258"/>
    </row>
    <row r="38" spans="1:9" ht="14.25" customHeight="1" x14ac:dyDescent="0.25">
      <c r="A38" s="3" t="s">
        <v>47</v>
      </c>
      <c r="B38" s="175" t="s">
        <v>48</v>
      </c>
      <c r="C38" s="259">
        <v>208.77199999999999</v>
      </c>
      <c r="D38" s="259">
        <v>204.01599999999999</v>
      </c>
      <c r="E38" s="264">
        <f>SUM(F38:I39)</f>
        <v>317.76</v>
      </c>
      <c r="F38" s="259">
        <v>79.44</v>
      </c>
      <c r="G38" s="259">
        <v>79.44</v>
      </c>
      <c r="H38" s="259">
        <v>79.44</v>
      </c>
      <c r="I38" s="259">
        <v>79.44</v>
      </c>
    </row>
    <row r="39" spans="1:9" ht="17.25" customHeight="1" x14ac:dyDescent="0.25">
      <c r="A39" s="3" t="s">
        <v>49</v>
      </c>
      <c r="B39" s="175"/>
      <c r="C39" s="259"/>
      <c r="D39" s="259"/>
      <c r="E39" s="265"/>
      <c r="F39" s="259"/>
      <c r="G39" s="259"/>
      <c r="H39" s="259"/>
      <c r="I39" s="259"/>
    </row>
    <row r="40" spans="1:9" ht="17.25" customHeight="1" x14ac:dyDescent="0.25">
      <c r="A40" s="3" t="s">
        <v>199</v>
      </c>
      <c r="B40" s="9"/>
      <c r="C40" s="147"/>
      <c r="D40" s="147">
        <v>0.20599999999999999</v>
      </c>
      <c r="E40" s="148">
        <f>SUM(F40:I40)</f>
        <v>0</v>
      </c>
      <c r="F40" s="147"/>
      <c r="G40" s="147"/>
      <c r="H40" s="147"/>
      <c r="I40" s="147"/>
    </row>
    <row r="41" spans="1:9" ht="21" customHeight="1" x14ac:dyDescent="0.25">
      <c r="A41" s="3" t="s">
        <v>50</v>
      </c>
      <c r="B41" s="146" t="s">
        <v>51</v>
      </c>
      <c r="C41" s="148">
        <f>C43+C49+C52+C55+C58</f>
        <v>25387.775999999998</v>
      </c>
      <c r="D41" s="148">
        <f t="shared" ref="D41:I41" si="2">D43+D49+D52+D55+D58</f>
        <v>29860.377999999997</v>
      </c>
      <c r="E41" s="148">
        <f>E43+E49+E52+E55+E58</f>
        <v>37815.869999999988</v>
      </c>
      <c r="F41" s="148">
        <f>F43+F49+F52+F55+F58</f>
        <v>8209.2430000000004</v>
      </c>
      <c r="G41" s="148">
        <f t="shared" si="2"/>
        <v>9933.3029999999999</v>
      </c>
      <c r="H41" s="148">
        <f t="shared" si="2"/>
        <v>10232.946</v>
      </c>
      <c r="I41" s="148">
        <f t="shared" si="2"/>
        <v>9440.3780000000006</v>
      </c>
    </row>
    <row r="42" spans="1:9" ht="23.25" customHeight="1" x14ac:dyDescent="0.25">
      <c r="A42" s="153" t="s">
        <v>52</v>
      </c>
      <c r="B42" s="178"/>
      <c r="C42" s="155"/>
      <c r="D42" s="147"/>
      <c r="E42" s="148"/>
      <c r="F42" s="148"/>
      <c r="G42" s="147"/>
      <c r="H42" s="147"/>
      <c r="I42" s="147"/>
    </row>
    <row r="43" spans="1:9" ht="48.75" customHeight="1" x14ac:dyDescent="0.25">
      <c r="A43" s="152" t="s">
        <v>212</v>
      </c>
      <c r="B43" s="179"/>
      <c r="C43" s="154">
        <f>C44+C47</f>
        <v>24433.688999999998</v>
      </c>
      <c r="D43" s="148">
        <f>D44+D47</f>
        <v>28871.175999999999</v>
      </c>
      <c r="E43" s="148">
        <f t="shared" ref="E43:E48" si="3">F43+G43+H43+I43</f>
        <v>36214.634999999995</v>
      </c>
      <c r="F43" s="148">
        <f>F44+F47</f>
        <v>8114.9250000000011</v>
      </c>
      <c r="G43" s="148">
        <f>G44+G47</f>
        <v>9635.244999999999</v>
      </c>
      <c r="H43" s="148">
        <f>H44+H47</f>
        <v>10042.035</v>
      </c>
      <c r="I43" s="148">
        <f>I44+I47</f>
        <v>8422.43</v>
      </c>
    </row>
    <row r="44" spans="1:9" ht="19.5" customHeight="1" x14ac:dyDescent="0.25">
      <c r="A44" s="152" t="s">
        <v>55</v>
      </c>
      <c r="B44" s="179"/>
      <c r="C44" s="155">
        <v>24433.688999999998</v>
      </c>
      <c r="D44" s="147">
        <v>28409.786</v>
      </c>
      <c r="E44" s="148">
        <f t="shared" si="3"/>
        <v>36214.634999999995</v>
      </c>
      <c r="F44" s="147">
        <f>F82</f>
        <v>8114.9250000000011</v>
      </c>
      <c r="G44" s="147">
        <f>G82</f>
        <v>9635.244999999999</v>
      </c>
      <c r="H44" s="147">
        <f t="shared" ref="H44:I44" si="4">H82</f>
        <v>10042.035</v>
      </c>
      <c r="I44" s="147">
        <f t="shared" si="4"/>
        <v>8422.43</v>
      </c>
    </row>
    <row r="45" spans="1:9" ht="28.5" customHeight="1" x14ac:dyDescent="0.25">
      <c r="A45" s="153" t="s">
        <v>56</v>
      </c>
      <c r="B45" s="179"/>
      <c r="C45" s="155"/>
      <c r="D45" s="147"/>
      <c r="E45" s="148">
        <f t="shared" si="3"/>
        <v>416.24900000000002</v>
      </c>
      <c r="F45" s="148">
        <v>0</v>
      </c>
      <c r="G45" s="147">
        <v>416.24900000000002</v>
      </c>
      <c r="H45" s="147">
        <v>0</v>
      </c>
      <c r="I45" s="147">
        <v>0</v>
      </c>
    </row>
    <row r="46" spans="1:9" ht="28.5" customHeight="1" x14ac:dyDescent="0.25">
      <c r="A46" s="153" t="s">
        <v>209</v>
      </c>
      <c r="B46" s="179"/>
      <c r="C46" s="155"/>
      <c r="D46" s="147"/>
      <c r="E46" s="148">
        <f t="shared" si="3"/>
        <v>416.24900000000002</v>
      </c>
      <c r="F46" s="148"/>
      <c r="G46" s="147">
        <v>416.24900000000002</v>
      </c>
      <c r="H46" s="147"/>
      <c r="I46" s="147"/>
    </row>
    <row r="47" spans="1:9" ht="20.25" customHeight="1" x14ac:dyDescent="0.25">
      <c r="A47" s="153" t="s">
        <v>57</v>
      </c>
      <c r="B47" s="179"/>
      <c r="C47" s="155"/>
      <c r="D47" s="147">
        <v>461.39</v>
      </c>
      <c r="E47" s="148">
        <f t="shared" si="3"/>
        <v>0</v>
      </c>
      <c r="F47" s="147"/>
      <c r="G47" s="147"/>
      <c r="H47" s="147"/>
      <c r="I47" s="147"/>
    </row>
    <row r="48" spans="1:9" ht="25.5" customHeight="1" x14ac:dyDescent="0.25">
      <c r="A48" s="153" t="s">
        <v>210</v>
      </c>
      <c r="B48" s="179"/>
      <c r="C48" s="155">
        <v>4959.6000000000004</v>
      </c>
      <c r="D48" s="147">
        <v>461.39</v>
      </c>
      <c r="E48" s="148">
        <f t="shared" si="3"/>
        <v>0</v>
      </c>
      <c r="F48" s="147"/>
      <c r="G48" s="147"/>
      <c r="H48" s="147"/>
      <c r="I48" s="147"/>
    </row>
    <row r="49" spans="1:12" ht="75" customHeight="1" x14ac:dyDescent="0.25">
      <c r="A49" s="152" t="s">
        <v>213</v>
      </c>
      <c r="B49" s="179"/>
      <c r="C49" s="154">
        <f>C50+C51</f>
        <v>204.6</v>
      </c>
      <c r="D49" s="148">
        <f>D50+D51</f>
        <v>259.10000000000002</v>
      </c>
      <c r="E49" s="148">
        <f>SUM(F49:I49)</f>
        <v>330.01800000000003</v>
      </c>
      <c r="F49" s="148">
        <f>F50+F51</f>
        <v>94.317999999999998</v>
      </c>
      <c r="G49" s="148">
        <f>G50+G51</f>
        <v>0</v>
      </c>
      <c r="H49" s="148">
        <f>H50+H51</f>
        <v>111.1</v>
      </c>
      <c r="I49" s="148">
        <f>I50+I51</f>
        <v>124.6</v>
      </c>
    </row>
    <row r="50" spans="1:12" ht="26.25" customHeight="1" x14ac:dyDescent="0.25">
      <c r="A50" s="153" t="s">
        <v>203</v>
      </c>
      <c r="B50" s="179"/>
      <c r="C50" s="155">
        <v>204.6</v>
      </c>
      <c r="D50" s="147">
        <v>259.10000000000002</v>
      </c>
      <c r="E50" s="147">
        <f>SUM(F50:I50)</f>
        <v>330.01800000000003</v>
      </c>
      <c r="F50" s="147">
        <f>F112</f>
        <v>94.317999999999998</v>
      </c>
      <c r="G50" s="147">
        <f t="shared" ref="G50:I50" si="5">G112</f>
        <v>0</v>
      </c>
      <c r="H50" s="147">
        <f t="shared" si="5"/>
        <v>111.1</v>
      </c>
      <c r="I50" s="147">
        <f t="shared" si="5"/>
        <v>124.6</v>
      </c>
    </row>
    <row r="51" spans="1:12" ht="33" customHeight="1" x14ac:dyDescent="0.25">
      <c r="A51" s="153" t="s">
        <v>60</v>
      </c>
      <c r="B51" s="179"/>
      <c r="C51" s="155">
        <f>[2]ФП2022!F55</f>
        <v>0</v>
      </c>
      <c r="D51" s="147">
        <v>0</v>
      </c>
      <c r="E51" s="147">
        <f>SUM(F51:I51)</f>
        <v>0</v>
      </c>
      <c r="F51" s="147">
        <v>0</v>
      </c>
      <c r="G51" s="147">
        <v>0</v>
      </c>
      <c r="H51" s="147"/>
      <c r="I51" s="147">
        <v>0</v>
      </c>
    </row>
    <row r="52" spans="1:12" ht="80.25" customHeight="1" x14ac:dyDescent="0.25">
      <c r="A52" s="152" t="s">
        <v>214</v>
      </c>
      <c r="B52" s="179"/>
      <c r="C52" s="154">
        <f>C53+C54</f>
        <v>27.986999999999998</v>
      </c>
      <c r="D52" s="148">
        <f>D53+D54</f>
        <v>175.102</v>
      </c>
      <c r="E52" s="148">
        <f>F52+G52+H52+I52</f>
        <v>259.40100000000001</v>
      </c>
      <c r="F52" s="148">
        <f>F53+F54</f>
        <v>0</v>
      </c>
      <c r="G52" s="148">
        <f t="shared" ref="G52:I52" si="6">G53+G54</f>
        <v>179.59</v>
      </c>
      <c r="H52" s="148">
        <f t="shared" si="6"/>
        <v>79.811000000000007</v>
      </c>
      <c r="I52" s="148">
        <f t="shared" si="6"/>
        <v>0</v>
      </c>
    </row>
    <row r="53" spans="1:12" ht="20.25" customHeight="1" x14ac:dyDescent="0.25">
      <c r="A53" s="152" t="s">
        <v>55</v>
      </c>
      <c r="B53" s="179"/>
      <c r="C53" s="155">
        <v>27.986999999999998</v>
      </c>
      <c r="D53" s="147">
        <v>175.102</v>
      </c>
      <c r="E53" s="148">
        <f t="shared" ref="E53:E57" si="7">F53+G53+H53+I53</f>
        <v>259.40100000000001</v>
      </c>
      <c r="F53" s="147">
        <f>F115</f>
        <v>0</v>
      </c>
      <c r="G53" s="147">
        <f t="shared" ref="G53:I53" si="8">G115</f>
        <v>179.59</v>
      </c>
      <c r="H53" s="147">
        <f t="shared" si="8"/>
        <v>79.811000000000007</v>
      </c>
      <c r="I53" s="147">
        <f t="shared" si="8"/>
        <v>0</v>
      </c>
    </row>
    <row r="54" spans="1:12" ht="18" customHeight="1" x14ac:dyDescent="0.25">
      <c r="A54" s="153" t="s">
        <v>62</v>
      </c>
      <c r="B54" s="179"/>
      <c r="C54" s="155">
        <f>[2]ФП2022!F58</f>
        <v>0</v>
      </c>
      <c r="D54" s="147">
        <f>[2]ФП2023!E56</f>
        <v>0</v>
      </c>
      <c r="E54" s="148">
        <f t="shared" si="7"/>
        <v>0</v>
      </c>
      <c r="F54" s="148">
        <v>0</v>
      </c>
      <c r="G54" s="148">
        <v>0</v>
      </c>
      <c r="H54" s="148">
        <v>0</v>
      </c>
      <c r="I54" s="148">
        <v>0</v>
      </c>
    </row>
    <row r="55" spans="1:12" ht="68.25" customHeight="1" x14ac:dyDescent="0.25">
      <c r="A55" s="152" t="s">
        <v>215</v>
      </c>
      <c r="B55" s="179"/>
      <c r="C55" s="154">
        <f>C56+C57</f>
        <v>721.5</v>
      </c>
      <c r="D55" s="148">
        <f>D56+D57</f>
        <v>555</v>
      </c>
      <c r="E55" s="148">
        <f t="shared" si="7"/>
        <v>893.34799999999996</v>
      </c>
      <c r="F55" s="148">
        <f>F56+F57</f>
        <v>0</v>
      </c>
      <c r="G55" s="148">
        <f t="shared" ref="G55:I55" si="9">G56+G57</f>
        <v>0</v>
      </c>
      <c r="H55" s="148">
        <f t="shared" si="9"/>
        <v>0</v>
      </c>
      <c r="I55" s="148">
        <f t="shared" si="9"/>
        <v>893.34799999999996</v>
      </c>
    </row>
    <row r="56" spans="1:12" ht="18" customHeight="1" x14ac:dyDescent="0.25">
      <c r="A56" s="152" t="s">
        <v>55</v>
      </c>
      <c r="B56" s="179"/>
      <c r="C56" s="155">
        <v>721.5</v>
      </c>
      <c r="D56" s="147">
        <v>555</v>
      </c>
      <c r="E56" s="148">
        <f t="shared" si="7"/>
        <v>893.34799999999996</v>
      </c>
      <c r="F56" s="147">
        <v>0</v>
      </c>
      <c r="G56" s="147">
        <v>0</v>
      </c>
      <c r="H56" s="147">
        <v>0</v>
      </c>
      <c r="I56" s="147">
        <v>893.34799999999996</v>
      </c>
    </row>
    <row r="57" spans="1:12" ht="18" customHeight="1" x14ac:dyDescent="0.25">
      <c r="A57" s="153" t="s">
        <v>62</v>
      </c>
      <c r="B57" s="179"/>
      <c r="C57" s="155">
        <v>0</v>
      </c>
      <c r="D57" s="147">
        <v>0</v>
      </c>
      <c r="E57" s="148">
        <f t="shared" si="7"/>
        <v>0</v>
      </c>
      <c r="F57" s="147">
        <v>0</v>
      </c>
      <c r="G57" s="147">
        <v>0</v>
      </c>
      <c r="H57" s="147">
        <v>0</v>
      </c>
      <c r="I57" s="148">
        <f>I118</f>
        <v>0</v>
      </c>
    </row>
    <row r="58" spans="1:12" ht="81.75" customHeight="1" x14ac:dyDescent="0.25">
      <c r="A58" s="153" t="s">
        <v>218</v>
      </c>
      <c r="B58" s="149"/>
      <c r="C58" s="155">
        <f>C59</f>
        <v>0</v>
      </c>
      <c r="D58" s="155">
        <f t="shared" ref="D58:I58" si="10">D59</f>
        <v>0</v>
      </c>
      <c r="E58" s="155">
        <f t="shared" si="10"/>
        <v>118.468</v>
      </c>
      <c r="F58" s="155">
        <f t="shared" si="10"/>
        <v>0</v>
      </c>
      <c r="G58" s="155">
        <f t="shared" si="10"/>
        <v>118.468</v>
      </c>
      <c r="H58" s="155">
        <f t="shared" si="10"/>
        <v>0</v>
      </c>
      <c r="I58" s="155">
        <f t="shared" si="10"/>
        <v>0</v>
      </c>
    </row>
    <row r="59" spans="1:12" ht="18" customHeight="1" x14ac:dyDescent="0.25">
      <c r="A59" s="7" t="s">
        <v>55</v>
      </c>
      <c r="B59" s="150"/>
      <c r="C59" s="155">
        <v>0</v>
      </c>
      <c r="D59" s="147">
        <v>0</v>
      </c>
      <c r="E59" s="148">
        <f>F59+G59+H59+I59</f>
        <v>118.468</v>
      </c>
      <c r="F59" s="147">
        <f>F124</f>
        <v>0</v>
      </c>
      <c r="G59" s="147">
        <f t="shared" ref="G59:H59" si="11">G124</f>
        <v>118.468</v>
      </c>
      <c r="H59" s="147">
        <f t="shared" si="11"/>
        <v>0</v>
      </c>
      <c r="I59" s="147">
        <f>I124</f>
        <v>0</v>
      </c>
    </row>
    <row r="60" spans="1:12" ht="19.5" customHeight="1" x14ac:dyDescent="0.25">
      <c r="A60" s="14" t="s">
        <v>64</v>
      </c>
      <c r="B60" s="9" t="s">
        <v>65</v>
      </c>
      <c r="C60" s="148">
        <v>12594.334999999999</v>
      </c>
      <c r="D60" s="148">
        <v>12243.69</v>
      </c>
      <c r="E60" s="148">
        <v>14561.1</v>
      </c>
      <c r="F60" s="148">
        <f>E60/4</f>
        <v>3640.2750000000001</v>
      </c>
      <c r="G60" s="148">
        <f>F60</f>
        <v>3640.2750000000001</v>
      </c>
      <c r="H60" s="148">
        <f>F60</f>
        <v>3640.2750000000001</v>
      </c>
      <c r="I60" s="148">
        <f>G60</f>
        <v>3640.2750000000001</v>
      </c>
    </row>
    <row r="61" spans="1:12" ht="21.75" customHeight="1" x14ac:dyDescent="0.25">
      <c r="A61" s="15" t="s">
        <v>66</v>
      </c>
      <c r="B61" s="10" t="s">
        <v>67</v>
      </c>
      <c r="C61" s="148">
        <f>C60+C38+C36+C41</f>
        <v>38687.288999999997</v>
      </c>
      <c r="D61" s="148">
        <f>D60+D41+D40+D38+D36</f>
        <v>42612.49</v>
      </c>
      <c r="E61" s="148">
        <f>F61+G61+H61+I61</f>
        <v>53181.151999999995</v>
      </c>
      <c r="F61" s="148">
        <f>F60+F41+F38+F36</f>
        <v>12019.958000000001</v>
      </c>
      <c r="G61" s="148">
        <f t="shared" ref="G61:I61" si="12">G60+G41+G38+G36</f>
        <v>13762.659</v>
      </c>
      <c r="H61" s="148">
        <f t="shared" si="12"/>
        <v>14057.802</v>
      </c>
      <c r="I61" s="148">
        <f t="shared" si="12"/>
        <v>13340.733</v>
      </c>
    </row>
    <row r="62" spans="1:12" ht="18" customHeight="1" x14ac:dyDescent="0.25">
      <c r="A62" s="183" t="s">
        <v>68</v>
      </c>
      <c r="B62" s="183"/>
      <c r="C62" s="183"/>
      <c r="D62" s="183"/>
      <c r="E62" s="183"/>
      <c r="F62" s="183"/>
      <c r="G62" s="183"/>
      <c r="H62" s="183"/>
      <c r="I62" s="183"/>
    </row>
    <row r="63" spans="1:12" ht="36.75" customHeight="1" x14ac:dyDescent="0.25">
      <c r="A63" s="3" t="s">
        <v>69</v>
      </c>
      <c r="B63" s="10" t="s">
        <v>70</v>
      </c>
      <c r="C63" s="148">
        <f>C65+C67+C70+C74</f>
        <v>647.43299999999999</v>
      </c>
      <c r="D63" s="148">
        <f>D65+D67+D70+D74</f>
        <v>494.26499999999999</v>
      </c>
      <c r="E63" s="148">
        <f>F63+G63+H63+I63</f>
        <v>791.37200000000007</v>
      </c>
      <c r="F63" s="148">
        <f>F65+F67+F70+F74</f>
        <v>166.05600000000001</v>
      </c>
      <c r="G63" s="148">
        <f t="shared" ref="G63:H63" si="13">G65+G67+G70+G74</f>
        <v>185.79700000000003</v>
      </c>
      <c r="H63" s="148">
        <f t="shared" si="13"/>
        <v>180.392</v>
      </c>
      <c r="I63" s="148">
        <f>I65+I67+I70+I74</f>
        <v>259.12700000000001</v>
      </c>
    </row>
    <row r="64" spans="1:12" x14ac:dyDescent="0.25">
      <c r="A64" s="7" t="s">
        <v>71</v>
      </c>
      <c r="B64" s="10" t="s">
        <v>72</v>
      </c>
      <c r="C64" s="147">
        <f>C65+C67+C70</f>
        <v>571.42499999999995</v>
      </c>
      <c r="D64" s="147">
        <f>D65+D67+D70</f>
        <v>484.464</v>
      </c>
      <c r="E64" s="147">
        <f>F64+G64+H64+I64</f>
        <v>791.37200000000007</v>
      </c>
      <c r="F64" s="147">
        <f>F63</f>
        <v>166.05600000000001</v>
      </c>
      <c r="G64" s="147">
        <f>G63</f>
        <v>185.79700000000003</v>
      </c>
      <c r="H64" s="147">
        <f>H63</f>
        <v>180.392</v>
      </c>
      <c r="I64" s="147">
        <f>I63</f>
        <v>259.12700000000001</v>
      </c>
      <c r="J64" s="47"/>
      <c r="K64" s="47"/>
      <c r="L64" s="47"/>
    </row>
    <row r="65" spans="1:14" ht="17.25" customHeight="1" x14ac:dyDescent="0.25">
      <c r="A65" s="176" t="s">
        <v>73</v>
      </c>
      <c r="B65" s="175" t="s">
        <v>74</v>
      </c>
      <c r="C65" s="259">
        <v>401.834</v>
      </c>
      <c r="D65" s="259">
        <v>306.10000000000002</v>
      </c>
      <c r="E65" s="258">
        <f>SUM(F65:I66)</f>
        <v>483.447</v>
      </c>
      <c r="F65" s="259">
        <v>104.9</v>
      </c>
      <c r="G65" s="259">
        <v>108</v>
      </c>
      <c r="H65" s="259">
        <v>102.6</v>
      </c>
      <c r="I65" s="259">
        <v>167.947</v>
      </c>
    </row>
    <row r="66" spans="1:14" ht="3.75" customHeight="1" x14ac:dyDescent="0.25">
      <c r="A66" s="176"/>
      <c r="B66" s="175"/>
      <c r="C66" s="259"/>
      <c r="D66" s="259"/>
      <c r="E66" s="258"/>
      <c r="F66" s="259"/>
      <c r="G66" s="259"/>
      <c r="H66" s="259"/>
      <c r="I66" s="259"/>
    </row>
    <row r="67" spans="1:14" x14ac:dyDescent="0.25">
      <c r="A67" s="3" t="s">
        <v>75</v>
      </c>
      <c r="B67" s="175" t="s">
        <v>76</v>
      </c>
      <c r="C67" s="148">
        <f>C68+C69</f>
        <v>140.56100000000001</v>
      </c>
      <c r="D67" s="148">
        <f>D68+D69</f>
        <v>146.19999999999999</v>
      </c>
      <c r="E67" s="148">
        <f>E69</f>
        <v>220.95599999999999</v>
      </c>
      <c r="F67" s="148">
        <f t="shared" ref="F67:I67" si="14">F69</f>
        <v>43.494</v>
      </c>
      <c r="G67" s="148">
        <f t="shared" si="14"/>
        <v>55.494999999999997</v>
      </c>
      <c r="H67" s="148">
        <f t="shared" si="14"/>
        <v>55.492999999999995</v>
      </c>
      <c r="I67" s="148">
        <f t="shared" si="14"/>
        <v>66.47399999999999</v>
      </c>
    </row>
    <row r="68" spans="1:14" ht="16.5" customHeight="1" x14ac:dyDescent="0.25">
      <c r="A68" s="7" t="s">
        <v>77</v>
      </c>
      <c r="B68" s="175"/>
      <c r="C68" s="147"/>
      <c r="D68" s="147"/>
      <c r="E68" s="148" t="s">
        <v>78</v>
      </c>
      <c r="F68" s="148" t="s">
        <v>78</v>
      </c>
      <c r="G68" s="148" t="s">
        <v>78</v>
      </c>
      <c r="H68" s="148" t="s">
        <v>78</v>
      </c>
      <c r="I68" s="148" t="s">
        <v>78</v>
      </c>
    </row>
    <row r="69" spans="1:14" ht="18" customHeight="1" x14ac:dyDescent="0.25">
      <c r="A69" s="7" t="s">
        <v>79</v>
      </c>
      <c r="B69" s="175"/>
      <c r="C69" s="147">
        <v>140.56100000000001</v>
      </c>
      <c r="D69" s="147">
        <v>146.19999999999999</v>
      </c>
      <c r="E69" s="148">
        <f>SUM(F69:I69)</f>
        <v>220.95599999999999</v>
      </c>
      <c r="F69" s="147">
        <v>43.494</v>
      </c>
      <c r="G69" s="147">
        <f>43.494+12.001</f>
        <v>55.494999999999997</v>
      </c>
      <c r="H69" s="147">
        <f>43.492+12.001</f>
        <v>55.492999999999995</v>
      </c>
      <c r="I69" s="147">
        <f>54.474+12</f>
        <v>66.47399999999999</v>
      </c>
    </row>
    <row r="70" spans="1:14" ht="14.25" customHeight="1" x14ac:dyDescent="0.25">
      <c r="A70" s="176" t="s">
        <v>80</v>
      </c>
      <c r="B70" s="175" t="s">
        <v>81</v>
      </c>
      <c r="C70" s="258">
        <v>29.03</v>
      </c>
      <c r="D70" s="258">
        <f>D69*0.22</f>
        <v>32.163999999999994</v>
      </c>
      <c r="E70" s="258">
        <f>F70+G70+H70+I70</f>
        <v>48.600999999999999</v>
      </c>
      <c r="F70" s="258">
        <v>9.57</v>
      </c>
      <c r="G70" s="258">
        <f>9.57+2.64</f>
        <v>12.21</v>
      </c>
      <c r="H70" s="258">
        <f>9.567+2.64</f>
        <v>12.207000000000001</v>
      </c>
      <c r="I70" s="258">
        <f>11.974+2.64</f>
        <v>14.614000000000001</v>
      </c>
    </row>
    <row r="71" spans="1:14" ht="7.5" customHeight="1" x14ac:dyDescent="0.25">
      <c r="A71" s="176"/>
      <c r="B71" s="175"/>
      <c r="C71" s="258"/>
      <c r="D71" s="258"/>
      <c r="E71" s="258"/>
      <c r="F71" s="258"/>
      <c r="G71" s="258"/>
      <c r="H71" s="258"/>
      <c r="I71" s="258"/>
    </row>
    <row r="72" spans="1:14" ht="13.5" hidden="1" customHeight="1" x14ac:dyDescent="0.25">
      <c r="A72" s="18"/>
      <c r="B72"/>
      <c r="C72" s="126"/>
      <c r="D72" s="126"/>
      <c r="E72" s="126"/>
      <c r="F72" s="126"/>
      <c r="G72" s="126"/>
      <c r="H72" s="126"/>
      <c r="I72" s="127"/>
    </row>
    <row r="73" spans="1:14" ht="21" customHeight="1" x14ac:dyDescent="0.25">
      <c r="A73" s="3" t="s">
        <v>82</v>
      </c>
      <c r="B73" s="10" t="s">
        <v>83</v>
      </c>
      <c r="C73" s="147" t="s">
        <v>84</v>
      </c>
      <c r="D73" s="147" t="s">
        <v>84</v>
      </c>
      <c r="E73" s="148" t="s">
        <v>78</v>
      </c>
      <c r="F73" s="147" t="s">
        <v>78</v>
      </c>
      <c r="G73" s="147" t="s">
        <v>78</v>
      </c>
      <c r="H73" s="147"/>
      <c r="I73" s="147" t="s">
        <v>78</v>
      </c>
    </row>
    <row r="74" spans="1:14" ht="27" customHeight="1" x14ac:dyDescent="0.25">
      <c r="A74" s="3" t="s">
        <v>85</v>
      </c>
      <c r="B74" s="186" t="s">
        <v>86</v>
      </c>
      <c r="C74" s="148">
        <f>C75+C76</f>
        <v>76.007999999999996</v>
      </c>
      <c r="D74" s="148">
        <f>D75+D76+D77</f>
        <v>9.8010000000000002</v>
      </c>
      <c r="E74" s="148">
        <f>E75+E76+E77</f>
        <v>38.368000000000002</v>
      </c>
      <c r="F74" s="148">
        <f>F75+F76+F77</f>
        <v>8.0920000000000005</v>
      </c>
      <c r="G74" s="148">
        <f>G75+G76+G77</f>
        <v>10.092000000000001</v>
      </c>
      <c r="H74" s="148">
        <f t="shared" ref="H74:I74" si="15">H75+H76+H77</f>
        <v>10.092000000000001</v>
      </c>
      <c r="I74" s="148">
        <f t="shared" si="15"/>
        <v>10.092000000000001</v>
      </c>
    </row>
    <row r="75" spans="1:14" ht="23.25" customHeight="1" x14ac:dyDescent="0.25">
      <c r="A75" s="3" t="s">
        <v>87</v>
      </c>
      <c r="B75" s="187"/>
      <c r="C75" s="147">
        <v>76.007999999999996</v>
      </c>
      <c r="D75" s="147">
        <v>9.6</v>
      </c>
      <c r="E75" s="148">
        <f>F75+G75+H75+I75</f>
        <v>38</v>
      </c>
      <c r="F75" s="147">
        <v>8</v>
      </c>
      <c r="G75" s="147">
        <v>10</v>
      </c>
      <c r="H75" s="147">
        <v>10</v>
      </c>
      <c r="I75" s="147">
        <v>10</v>
      </c>
    </row>
    <row r="76" spans="1:14" ht="21" customHeight="1" x14ac:dyDescent="0.25">
      <c r="A76" s="3" t="s">
        <v>88</v>
      </c>
      <c r="B76" s="187"/>
      <c r="C76" s="147">
        <v>0</v>
      </c>
      <c r="D76" s="147">
        <v>0</v>
      </c>
      <c r="E76" s="148">
        <f>F76+G76+H76+I76</f>
        <v>0</v>
      </c>
      <c r="F76" s="147">
        <v>0</v>
      </c>
      <c r="G76" s="147">
        <v>0</v>
      </c>
      <c r="H76" s="147">
        <v>0</v>
      </c>
      <c r="I76" s="147">
        <v>0</v>
      </c>
    </row>
    <row r="77" spans="1:14" ht="21" customHeight="1" x14ac:dyDescent="0.25">
      <c r="A77" s="3" t="s">
        <v>201</v>
      </c>
      <c r="B77" s="263"/>
      <c r="C77" s="147"/>
      <c r="D77" s="147">
        <v>0.20100000000000001</v>
      </c>
      <c r="E77" s="148">
        <f>F77+G77+H77+I77</f>
        <v>0.36799999999999999</v>
      </c>
      <c r="F77" s="147">
        <v>9.1999999999999998E-2</v>
      </c>
      <c r="G77" s="147">
        <v>9.1999999999999998E-2</v>
      </c>
      <c r="H77" s="147">
        <v>9.1999999999999998E-2</v>
      </c>
      <c r="I77" s="147">
        <v>9.1999999999999998E-2</v>
      </c>
    </row>
    <row r="78" spans="1:14" ht="17.25" customHeight="1" x14ac:dyDescent="0.25">
      <c r="A78" s="3" t="s">
        <v>89</v>
      </c>
      <c r="B78" s="10" t="s">
        <v>90</v>
      </c>
      <c r="C78" s="147">
        <v>12649.421</v>
      </c>
      <c r="D78" s="147">
        <v>12243.69</v>
      </c>
      <c r="E78" s="147">
        <f>E60</f>
        <v>14561.1</v>
      </c>
      <c r="F78" s="147">
        <f>F60</f>
        <v>3640.2750000000001</v>
      </c>
      <c r="G78" s="147">
        <f>G60</f>
        <v>3640.2750000000001</v>
      </c>
      <c r="H78" s="147">
        <f>H60</f>
        <v>3640.2750000000001</v>
      </c>
      <c r="I78" s="147">
        <f>I60</f>
        <v>3640.2750000000001</v>
      </c>
    </row>
    <row r="79" spans="1:14" ht="24.75" customHeight="1" x14ac:dyDescent="0.25">
      <c r="A79" s="3" t="s">
        <v>91</v>
      </c>
      <c r="B79" s="10" t="s">
        <v>92</v>
      </c>
      <c r="C79" s="148">
        <f>C81+C109+C114+C119+C123</f>
        <v>25386.860999999997</v>
      </c>
      <c r="D79" s="148">
        <f t="shared" ref="D79:I79" si="16">D81+D109+D114+D119+D123</f>
        <v>29860.378000000001</v>
      </c>
      <c r="E79" s="148">
        <f t="shared" si="16"/>
        <v>37815.869999999988</v>
      </c>
      <c r="F79" s="148">
        <f t="shared" si="16"/>
        <v>8209.2430000000004</v>
      </c>
      <c r="G79" s="148">
        <f t="shared" si="16"/>
        <v>9933.3029999999999</v>
      </c>
      <c r="H79" s="148">
        <f t="shared" si="16"/>
        <v>10232.946</v>
      </c>
      <c r="I79" s="148">
        <f t="shared" si="16"/>
        <v>9440.3780000000006</v>
      </c>
      <c r="J79" s="47"/>
      <c r="K79" s="47"/>
      <c r="L79" s="47"/>
      <c r="M79" s="47"/>
      <c r="N79" s="47"/>
    </row>
    <row r="80" spans="1:14" ht="38.25" customHeight="1" x14ac:dyDescent="0.25">
      <c r="A80" s="3" t="s">
        <v>93</v>
      </c>
      <c r="B80" s="19" t="s">
        <v>94</v>
      </c>
      <c r="C80" s="147"/>
      <c r="D80" s="147"/>
      <c r="E80" s="148"/>
      <c r="F80" s="148"/>
      <c r="G80" s="147"/>
      <c r="H80" s="147"/>
      <c r="I80" s="148"/>
    </row>
    <row r="81" spans="1:14" ht="54" customHeight="1" x14ac:dyDescent="0.25">
      <c r="A81" s="7" t="s">
        <v>216</v>
      </c>
      <c r="B81" s="21"/>
      <c r="C81" s="148">
        <f>C82</f>
        <v>24432.773999999998</v>
      </c>
      <c r="D81" s="148">
        <f>D82+D107</f>
        <v>28871.176000000003</v>
      </c>
      <c r="E81" s="148">
        <f>F81+G81+H81+I81</f>
        <v>36214.634999999995</v>
      </c>
      <c r="F81" s="148">
        <f>F82+F107</f>
        <v>8114.9250000000011</v>
      </c>
      <c r="G81" s="148">
        <f>G82+G107</f>
        <v>9635.244999999999</v>
      </c>
      <c r="H81" s="148">
        <f>H82+H107</f>
        <v>10042.035</v>
      </c>
      <c r="I81" s="148">
        <f>I82+I107</f>
        <v>8422.43</v>
      </c>
      <c r="J81" s="145"/>
      <c r="K81" s="47"/>
      <c r="L81" s="47"/>
      <c r="M81" s="47"/>
      <c r="N81" s="47"/>
    </row>
    <row r="82" spans="1:14" ht="19.5" customHeight="1" x14ac:dyDescent="0.25">
      <c r="A82" s="22" t="s">
        <v>55</v>
      </c>
      <c r="B82" s="21"/>
      <c r="C82" s="148">
        <f>C83+C84+C89+C93</f>
        <v>24432.773999999998</v>
      </c>
      <c r="D82" s="148">
        <f>D83+D84+D89+D93</f>
        <v>28409.786000000004</v>
      </c>
      <c r="E82" s="148">
        <f>F82+G82+H82+I82</f>
        <v>36214.634999999995</v>
      </c>
      <c r="F82" s="148">
        <f>F83+F84+F89+F93+F105</f>
        <v>8114.9250000000011</v>
      </c>
      <c r="G82" s="148">
        <f t="shared" ref="G82:I82" si="17">G83+G84+G89+G93+G105</f>
        <v>9635.244999999999</v>
      </c>
      <c r="H82" s="148">
        <f t="shared" si="17"/>
        <v>10042.035</v>
      </c>
      <c r="I82" s="148">
        <f t="shared" si="17"/>
        <v>8422.43</v>
      </c>
    </row>
    <row r="83" spans="1:14" ht="21.75" customHeight="1" x14ac:dyDescent="0.25">
      <c r="A83" s="3" t="s">
        <v>73</v>
      </c>
      <c r="B83" s="21"/>
      <c r="C83" s="148">
        <v>2310.5479999999998</v>
      </c>
      <c r="D83" s="148">
        <v>2936.5059999999999</v>
      </c>
      <c r="E83" s="148">
        <f>SUM(F83:I83)</f>
        <v>4037.9009999999998</v>
      </c>
      <c r="F83" s="148">
        <v>863.44299999999998</v>
      </c>
      <c r="G83" s="148">
        <v>1119.0920000000001</v>
      </c>
      <c r="H83" s="148">
        <v>1853.8019999999999</v>
      </c>
      <c r="I83" s="148">
        <v>201.56399999999999</v>
      </c>
    </row>
    <row r="84" spans="1:14" x14ac:dyDescent="0.25">
      <c r="A84" s="3" t="s">
        <v>95</v>
      </c>
      <c r="B84" s="21"/>
      <c r="C84" s="148">
        <f>C85+C86+C88</f>
        <v>14031.379000000001</v>
      </c>
      <c r="D84" s="148">
        <f>D85+D86+D88</f>
        <v>16301.589</v>
      </c>
      <c r="E84" s="148">
        <f>SUM(E85:E88)</f>
        <v>21726.413</v>
      </c>
      <c r="F84" s="148">
        <f>F85+F86+F87+F88</f>
        <v>4559.8090000000002</v>
      </c>
      <c r="G84" s="148">
        <f>G85+G86+G87+G88</f>
        <v>5748.9749999999995</v>
      </c>
      <c r="H84" s="148">
        <f>H85+H86+H87+H88</f>
        <v>5823.9840000000004</v>
      </c>
      <c r="I84" s="148">
        <f>I85+I86+I87+I88</f>
        <v>5593.6450000000004</v>
      </c>
    </row>
    <row r="85" spans="1:14" s="84" customFormat="1" x14ac:dyDescent="0.25">
      <c r="A85" s="3" t="s">
        <v>96</v>
      </c>
      <c r="B85" s="21"/>
      <c r="C85" s="147">
        <v>3800.384</v>
      </c>
      <c r="D85" s="147">
        <v>4160.134</v>
      </c>
      <c r="E85" s="147">
        <f>F85+G85+H85+I85</f>
        <v>5796.8230000000003</v>
      </c>
      <c r="F85" s="147">
        <f>1236.164</f>
        <v>1236.164</v>
      </c>
      <c r="G85" s="147">
        <f>1253.776+329.643-2.055</f>
        <v>1581.364</v>
      </c>
      <c r="H85" s="147">
        <f>1151.816+316.044-2.055+6.164</f>
        <v>1471.9690000000001</v>
      </c>
      <c r="I85" s="147">
        <f>1150.053+359.327+-2.054</f>
        <v>1507.326</v>
      </c>
    </row>
    <row r="86" spans="1:14" s="84" customFormat="1" ht="12.75" customHeight="1" x14ac:dyDescent="0.25">
      <c r="A86" s="3" t="s">
        <v>97</v>
      </c>
      <c r="B86" s="21"/>
      <c r="C86" s="147">
        <v>10224.182000000001</v>
      </c>
      <c r="D86" s="147">
        <v>12133.455</v>
      </c>
      <c r="E86" s="147">
        <f t="shared" ref="E86:E88" si="18">F86+G86+H86+I86</f>
        <v>15920.942999999999</v>
      </c>
      <c r="F86" s="147">
        <v>3323.645</v>
      </c>
      <c r="G86" s="147">
        <f>3424.335+645.368+58.996+30.265</f>
        <v>4158.9639999999999</v>
      </c>
      <c r="H86" s="147">
        <f>3576.546+690.079+57.979+27.411</f>
        <v>4352.0150000000003</v>
      </c>
      <c r="I86" s="147">
        <f>3369.707+639.143+50.055+27.414</f>
        <v>4086.319</v>
      </c>
    </row>
    <row r="87" spans="1:14" ht="18.75" hidden="1" customHeight="1" x14ac:dyDescent="0.25">
      <c r="A87" s="23" t="s">
        <v>98</v>
      </c>
      <c r="B87" s="21"/>
      <c r="C87" s="147">
        <v>6.3070000000000004</v>
      </c>
      <c r="D87" s="147">
        <f>[2]ФП2023!E86</f>
        <v>0</v>
      </c>
      <c r="E87" s="147">
        <f t="shared" si="18"/>
        <v>0</v>
      </c>
      <c r="F87" s="147"/>
      <c r="G87" s="147"/>
      <c r="H87" s="147"/>
      <c r="I87" s="147"/>
    </row>
    <row r="88" spans="1:14" x14ac:dyDescent="0.25">
      <c r="A88" s="23" t="s">
        <v>99</v>
      </c>
      <c r="B88" s="21"/>
      <c r="C88" s="147">
        <v>6.8129999999999997</v>
      </c>
      <c r="D88" s="147">
        <v>8</v>
      </c>
      <c r="E88" s="147">
        <f t="shared" si="18"/>
        <v>8.6470000000000002</v>
      </c>
      <c r="F88" s="147">
        <v>0</v>
      </c>
      <c r="G88" s="147">
        <v>8.6470000000000002</v>
      </c>
      <c r="H88" s="147">
        <v>0</v>
      </c>
      <c r="I88" s="147">
        <v>0</v>
      </c>
    </row>
    <row r="89" spans="1:14" customFormat="1" ht="14.25" customHeight="1" x14ac:dyDescent="0.25">
      <c r="A89" s="3" t="s">
        <v>100</v>
      </c>
      <c r="B89" s="21"/>
      <c r="C89" s="148">
        <f>C90+C91+C92</f>
        <v>2980.3159999999998</v>
      </c>
      <c r="D89" s="148">
        <f>D90+D91+D92</f>
        <v>3499.3280000000004</v>
      </c>
      <c r="E89" s="148">
        <f>F89+G89+H89+I89</f>
        <v>4779.8150000000005</v>
      </c>
      <c r="F89" s="148">
        <f>F90+F91+F92</f>
        <v>1003.162</v>
      </c>
      <c r="G89" s="148">
        <f>G90+G91+G92</f>
        <v>1264.78</v>
      </c>
      <c r="H89" s="148">
        <f>H90+H91+H92</f>
        <v>1281.2750000000001</v>
      </c>
      <c r="I89" s="148">
        <f>I90+I91+I92</f>
        <v>1230.598</v>
      </c>
    </row>
    <row r="90" spans="1:14" s="84" customFormat="1" ht="18" customHeight="1" x14ac:dyDescent="0.25">
      <c r="A90" s="3" t="s">
        <v>77</v>
      </c>
      <c r="B90" s="21"/>
      <c r="C90" s="147">
        <v>774.46400000000006</v>
      </c>
      <c r="D90" s="147">
        <v>879.55899999999997</v>
      </c>
      <c r="E90" s="148">
        <f>F90+G90+H90+I90</f>
        <v>1275.3000000000002</v>
      </c>
      <c r="F90" s="147">
        <f>ROUND(F85*0.22,3)</f>
        <v>271.95600000000002</v>
      </c>
      <c r="G90" s="147">
        <f>ROUND(G85*0.22,3)</f>
        <v>347.9</v>
      </c>
      <c r="H90" s="147">
        <f>ROUND(H85*0.22,3)</f>
        <v>323.83300000000003</v>
      </c>
      <c r="I90" s="147">
        <f>ROUND(I85*0.22,3)-0.001</f>
        <v>331.61100000000005</v>
      </c>
    </row>
    <row r="91" spans="1:14" s="84" customFormat="1" ht="19.5" customHeight="1" x14ac:dyDescent="0.25">
      <c r="A91" s="3" t="s">
        <v>101</v>
      </c>
      <c r="B91" s="21"/>
      <c r="C91" s="147">
        <v>2204.3530000000001</v>
      </c>
      <c r="D91" s="147">
        <v>2618.009</v>
      </c>
      <c r="E91" s="148">
        <f>F91+G91+H91+I91</f>
        <v>3502.6120000000001</v>
      </c>
      <c r="F91" s="147">
        <f>ROUND(F86*0.22,3)+0.004</f>
        <v>731.20600000000002</v>
      </c>
      <c r="G91" s="147">
        <f>ROUND(G86*0.22,3)+0.005</f>
        <v>914.97699999999998</v>
      </c>
      <c r="H91" s="147">
        <f>ROUND(H86*0.22,3)-0.001</f>
        <v>957.44200000000001</v>
      </c>
      <c r="I91" s="147">
        <f>ROUND(I86*0.22,3)-0.003</f>
        <v>898.98699999999997</v>
      </c>
    </row>
    <row r="92" spans="1:14" ht="24" customHeight="1" x14ac:dyDescent="0.25">
      <c r="A92" s="23" t="s">
        <v>99</v>
      </c>
      <c r="B92" s="21"/>
      <c r="C92" s="147">
        <v>1.4990000000000001</v>
      </c>
      <c r="D92" s="147">
        <v>1.76</v>
      </c>
      <c r="E92" s="148">
        <f>F92+G92+H92+I92</f>
        <v>1.903</v>
      </c>
      <c r="F92" s="147">
        <f t="shared" ref="F92:I92" si="19">F88*0.22</f>
        <v>0</v>
      </c>
      <c r="G92" s="147">
        <v>1.903</v>
      </c>
      <c r="H92" s="147">
        <f t="shared" si="19"/>
        <v>0</v>
      </c>
      <c r="I92" s="147">
        <f t="shared" si="19"/>
        <v>0</v>
      </c>
    </row>
    <row r="93" spans="1:14" ht="31.5" customHeight="1" x14ac:dyDescent="0.25">
      <c r="A93" s="15" t="s">
        <v>102</v>
      </c>
      <c r="B93" s="21"/>
      <c r="C93" s="148">
        <f>C95+C96+C97+C98+C104</f>
        <v>5110.5309999999999</v>
      </c>
      <c r="D93" s="148">
        <f>D94+D104</f>
        <v>5672.3630000000003</v>
      </c>
      <c r="E93" s="148">
        <f>F93+G93+H93+I93</f>
        <v>5254.2569999999996</v>
      </c>
      <c r="F93" s="148">
        <f>F95+F96+F97+F98+F104</f>
        <v>1688.511</v>
      </c>
      <c r="G93" s="148">
        <f>G95+G104+G96+G97+G98</f>
        <v>1086.1489999999999</v>
      </c>
      <c r="H93" s="148">
        <f>H95+H104+H96+H97+H98</f>
        <v>1082.9739999999999</v>
      </c>
      <c r="I93" s="148">
        <f>I95+I104+I96+I97+I98</f>
        <v>1396.623</v>
      </c>
    </row>
    <row r="94" spans="1:14" x14ac:dyDescent="0.25">
      <c r="A94" s="24" t="s">
        <v>103</v>
      </c>
      <c r="B94" s="25"/>
      <c r="C94" s="128">
        <f t="shared" ref="C94" si="20">SUM(C95+C96+C97+C98)</f>
        <v>1456.8579999999999</v>
      </c>
      <c r="D94" s="128">
        <f>SUM(D95+D96+D97+D98+D99+D100+D101+D102+D103)</f>
        <v>1110.8039999999999</v>
      </c>
      <c r="E94" s="128">
        <f>SUM(E95+E96+E97+E98)</f>
        <v>452.47899999999998</v>
      </c>
      <c r="F94" s="128">
        <f>SUM(F95+F96+F97+F98+F99+F100+F101+F102+F103)</f>
        <v>68.991</v>
      </c>
      <c r="G94" s="128">
        <f t="shared" ref="G94:I94" si="21">SUM(G95+G96+G97+G98+G99+G100+G101+G102+G103)</f>
        <v>116.505</v>
      </c>
      <c r="H94" s="128">
        <f t="shared" si="21"/>
        <v>97.424999999999997</v>
      </c>
      <c r="I94" s="128">
        <f t="shared" si="21"/>
        <v>169.55799999999999</v>
      </c>
    </row>
    <row r="95" spans="1:14" x14ac:dyDescent="0.25">
      <c r="A95" s="27" t="s">
        <v>104</v>
      </c>
      <c r="B95" s="21"/>
      <c r="C95" s="147">
        <v>286.86799999999999</v>
      </c>
      <c r="D95" s="147">
        <v>382.88400000000001</v>
      </c>
      <c r="E95" s="129">
        <f>F95+G95+H95+I95</f>
        <v>452.47899999999998</v>
      </c>
      <c r="F95" s="129">
        <v>68.991</v>
      </c>
      <c r="G95" s="129">
        <v>116.505</v>
      </c>
      <c r="H95" s="129">
        <v>97.424999999999997</v>
      </c>
      <c r="I95" s="129">
        <v>169.55799999999999</v>
      </c>
    </row>
    <row r="96" spans="1:14" x14ac:dyDescent="0.25">
      <c r="A96" s="7" t="s">
        <v>105</v>
      </c>
      <c r="B96" s="3"/>
      <c r="C96" s="147">
        <v>477.58</v>
      </c>
      <c r="D96" s="147">
        <v>639.02</v>
      </c>
      <c r="E96" s="147">
        <f>F96+G96+H96+I96</f>
        <v>0</v>
      </c>
      <c r="F96" s="147">
        <v>0</v>
      </c>
      <c r="G96" s="147">
        <v>0</v>
      </c>
      <c r="H96" s="147">
        <v>0</v>
      </c>
      <c r="I96" s="147">
        <v>0</v>
      </c>
    </row>
    <row r="97" spans="1:14" x14ac:dyDescent="0.25">
      <c r="A97" s="7" t="s">
        <v>106</v>
      </c>
      <c r="B97" s="3"/>
      <c r="C97" s="147">
        <v>322.16800000000001</v>
      </c>
      <c r="D97" s="147">
        <v>0</v>
      </c>
      <c r="E97" s="147">
        <f>F97+G97+H97+I97</f>
        <v>0</v>
      </c>
      <c r="F97" s="147">
        <v>0</v>
      </c>
      <c r="G97" s="147">
        <v>0</v>
      </c>
      <c r="H97" s="147">
        <v>0</v>
      </c>
      <c r="I97" s="147">
        <v>0</v>
      </c>
    </row>
    <row r="98" spans="1:14" x14ac:dyDescent="0.25">
      <c r="A98" s="7" t="s">
        <v>166</v>
      </c>
      <c r="B98" s="21"/>
      <c r="C98" s="147">
        <v>370.24200000000002</v>
      </c>
      <c r="D98" s="147">
        <v>0</v>
      </c>
      <c r="E98" s="147">
        <f>F98+G98+H98+I98</f>
        <v>0</v>
      </c>
      <c r="F98" s="147">
        <v>0</v>
      </c>
      <c r="G98" s="147">
        <v>0</v>
      </c>
      <c r="H98" s="147">
        <v>0</v>
      </c>
      <c r="I98" s="147">
        <v>0</v>
      </c>
    </row>
    <row r="99" spans="1:14" ht="51" x14ac:dyDescent="0.25">
      <c r="A99" s="130" t="s">
        <v>204</v>
      </c>
      <c r="B99" s="21"/>
      <c r="C99" s="147"/>
      <c r="D99" s="147">
        <v>17.78</v>
      </c>
      <c r="E99" s="131"/>
      <c r="F99" s="131"/>
      <c r="G99" s="131"/>
      <c r="H99" s="131"/>
      <c r="I99" s="131"/>
    </row>
    <row r="100" spans="1:14" ht="51" x14ac:dyDescent="0.25">
      <c r="A100" s="130" t="s">
        <v>205</v>
      </c>
      <c r="B100" s="21"/>
      <c r="C100" s="147"/>
      <c r="D100" s="147">
        <v>17.78</v>
      </c>
      <c r="E100" s="131"/>
      <c r="F100" s="131"/>
      <c r="G100" s="131"/>
      <c r="H100" s="131"/>
      <c r="I100" s="131"/>
    </row>
    <row r="101" spans="1:14" ht="38.25" x14ac:dyDescent="0.25">
      <c r="A101" s="130" t="s">
        <v>206</v>
      </c>
      <c r="B101" s="21"/>
      <c r="C101" s="147"/>
      <c r="D101" s="147">
        <v>17.78</v>
      </c>
      <c r="E101" s="131"/>
      <c r="F101" s="131"/>
      <c r="G101" s="131"/>
      <c r="H101" s="131"/>
      <c r="I101" s="131"/>
    </row>
    <row r="102" spans="1:14" ht="38.25" x14ac:dyDescent="0.25">
      <c r="A102" s="130" t="s">
        <v>208</v>
      </c>
      <c r="B102" s="21"/>
      <c r="C102" s="147"/>
      <c r="D102" s="147">
        <v>17.78</v>
      </c>
      <c r="E102" s="131"/>
      <c r="F102" s="131"/>
      <c r="G102" s="131"/>
      <c r="H102" s="131"/>
      <c r="I102" s="131"/>
    </row>
    <row r="103" spans="1:14" ht="38.25" x14ac:dyDescent="0.25">
      <c r="A103" s="130" t="s">
        <v>207</v>
      </c>
      <c r="B103" s="21"/>
      <c r="C103" s="147"/>
      <c r="D103" s="147">
        <v>17.78</v>
      </c>
      <c r="E103" s="131"/>
      <c r="F103" s="131"/>
      <c r="G103" s="131"/>
      <c r="H103" s="131"/>
      <c r="I103" s="131"/>
    </row>
    <row r="104" spans="1:14" ht="15.75" customHeight="1" x14ac:dyDescent="0.25">
      <c r="A104" s="28" t="s">
        <v>107</v>
      </c>
      <c r="B104" s="21"/>
      <c r="C104" s="148">
        <v>3653.6729999999998</v>
      </c>
      <c r="D104" s="148">
        <v>4561.5590000000002</v>
      </c>
      <c r="E104" s="132">
        <f>F104+G104+H104+I104</f>
        <v>4801.7780000000002</v>
      </c>
      <c r="F104" s="132">
        <v>1619.52</v>
      </c>
      <c r="G104" s="132">
        <v>969.64400000000001</v>
      </c>
      <c r="H104" s="132">
        <v>985.54899999999998</v>
      </c>
      <c r="I104" s="132">
        <v>1227.0650000000001</v>
      </c>
    </row>
    <row r="105" spans="1:14" ht="32.25" customHeight="1" x14ac:dyDescent="0.25">
      <c r="A105" s="3" t="s">
        <v>56</v>
      </c>
      <c r="B105" s="21"/>
      <c r="C105" s="147"/>
      <c r="D105" s="147">
        <v>0</v>
      </c>
      <c r="E105" s="132">
        <f t="shared" ref="E105:E106" si="22">F105+G105+H105+I105</f>
        <v>416.24900000000002</v>
      </c>
      <c r="F105" s="147">
        <v>0</v>
      </c>
      <c r="G105" s="147">
        <v>416.24900000000002</v>
      </c>
      <c r="H105" s="147">
        <v>0</v>
      </c>
      <c r="I105" s="147">
        <v>0</v>
      </c>
    </row>
    <row r="106" spans="1:14" ht="32.25" customHeight="1" x14ac:dyDescent="0.25">
      <c r="A106" s="3" t="s">
        <v>211</v>
      </c>
      <c r="B106" s="21"/>
      <c r="C106" s="147"/>
      <c r="D106" s="147"/>
      <c r="E106" s="132">
        <f t="shared" si="22"/>
        <v>416.24900000000002</v>
      </c>
      <c r="F106" s="147"/>
      <c r="G106" s="147">
        <v>416.24900000000002</v>
      </c>
      <c r="H106" s="147"/>
      <c r="I106" s="147"/>
    </row>
    <row r="107" spans="1:14" ht="19.5" customHeight="1" x14ac:dyDescent="0.25">
      <c r="A107" s="15" t="s">
        <v>108</v>
      </c>
      <c r="B107" s="21"/>
      <c r="C107" s="148"/>
      <c r="D107" s="148">
        <v>461.39</v>
      </c>
      <c r="E107" s="148">
        <f>F107+G107+H107+I107</f>
        <v>0</v>
      </c>
      <c r="F107" s="148"/>
      <c r="G107" s="148"/>
      <c r="H107" s="148"/>
      <c r="I107" s="148"/>
    </row>
    <row r="108" spans="1:14" ht="20.25" customHeight="1" x14ac:dyDescent="0.25">
      <c r="A108" s="3" t="s">
        <v>210</v>
      </c>
      <c r="B108" s="21"/>
      <c r="C108" s="148">
        <v>4959.6000000000004</v>
      </c>
      <c r="D108" s="148">
        <v>461.39</v>
      </c>
      <c r="E108" s="148">
        <f>F108+G108+H108+I108</f>
        <v>0</v>
      </c>
      <c r="F108" s="148"/>
      <c r="G108" s="148"/>
      <c r="H108" s="148"/>
      <c r="I108" s="148"/>
    </row>
    <row r="109" spans="1:14" ht="71.25" customHeight="1" x14ac:dyDescent="0.25">
      <c r="A109" s="7" t="s">
        <v>217</v>
      </c>
      <c r="B109" s="21"/>
      <c r="C109" s="148">
        <f t="shared" ref="C109:I109" si="23">C111</f>
        <v>204.6</v>
      </c>
      <c r="D109" s="148">
        <f t="shared" si="23"/>
        <v>259.10000000000002</v>
      </c>
      <c r="E109" s="148">
        <f t="shared" si="23"/>
        <v>330.01800000000003</v>
      </c>
      <c r="F109" s="148">
        <f t="shared" si="23"/>
        <v>94.317999999999998</v>
      </c>
      <c r="G109" s="148">
        <f t="shared" si="23"/>
        <v>0</v>
      </c>
      <c r="H109" s="148">
        <f t="shared" si="23"/>
        <v>111.1</v>
      </c>
      <c r="I109" s="148">
        <f t="shared" si="23"/>
        <v>124.6</v>
      </c>
    </row>
    <row r="110" spans="1:14" x14ac:dyDescent="0.25">
      <c r="A110" s="7" t="s">
        <v>109</v>
      </c>
      <c r="B110" s="21"/>
      <c r="C110" s="147"/>
      <c r="D110" s="147">
        <v>0</v>
      </c>
      <c r="E110" s="147"/>
      <c r="F110" s="147"/>
      <c r="G110" s="147"/>
      <c r="H110" s="147"/>
      <c r="I110" s="147"/>
    </row>
    <row r="111" spans="1:14" ht="15.75" customHeight="1" x14ac:dyDescent="0.25">
      <c r="A111" s="3" t="s">
        <v>57</v>
      </c>
      <c r="B111" s="21"/>
      <c r="C111" s="147">
        <f>C112+C113</f>
        <v>204.6</v>
      </c>
      <c r="D111" s="147">
        <f>D112+D113</f>
        <v>259.10000000000002</v>
      </c>
      <c r="E111" s="147">
        <f>SUM(F111:I111)</f>
        <v>330.01800000000003</v>
      </c>
      <c r="F111" s="147">
        <f>F112+F113</f>
        <v>94.317999999999998</v>
      </c>
      <c r="G111" s="147">
        <f>G112+G113</f>
        <v>0</v>
      </c>
      <c r="H111" s="147">
        <f>H112+H113</f>
        <v>111.1</v>
      </c>
      <c r="I111" s="147">
        <f>I112+I113</f>
        <v>124.6</v>
      </c>
      <c r="J111" s="47"/>
      <c r="K111" s="47"/>
      <c r="L111" s="47"/>
      <c r="M111" s="47"/>
      <c r="N111" s="47"/>
    </row>
    <row r="112" spans="1:14" x14ac:dyDescent="0.25">
      <c r="A112" s="3" t="s">
        <v>202</v>
      </c>
      <c r="B112" s="21"/>
      <c r="C112" s="147">
        <v>204.6</v>
      </c>
      <c r="D112" s="147">
        <v>259.10000000000002</v>
      </c>
      <c r="E112" s="147">
        <f>F112+H112+I112+G112</f>
        <v>330.01800000000003</v>
      </c>
      <c r="F112" s="147">
        <v>94.317999999999998</v>
      </c>
      <c r="G112" s="147">
        <v>0</v>
      </c>
      <c r="H112" s="147">
        <v>111.1</v>
      </c>
      <c r="I112" s="147">
        <v>124.6</v>
      </c>
      <c r="J112" s="47"/>
      <c r="K112" s="47"/>
      <c r="L112" s="47"/>
      <c r="M112" s="47"/>
      <c r="N112" s="47"/>
    </row>
    <row r="113" spans="1:14" ht="33.75" customHeight="1" x14ac:dyDescent="0.25">
      <c r="A113" s="3" t="s">
        <v>111</v>
      </c>
      <c r="B113" s="21"/>
      <c r="C113" s="147">
        <v>0</v>
      </c>
      <c r="D113" s="147">
        <v>0</v>
      </c>
      <c r="E113" s="147">
        <f>F113+H113+I113+G113</f>
        <v>0</v>
      </c>
      <c r="F113" s="147">
        <v>0</v>
      </c>
      <c r="G113" s="147">
        <v>0</v>
      </c>
      <c r="H113" s="147">
        <v>0</v>
      </c>
      <c r="I113" s="147">
        <v>0</v>
      </c>
      <c r="J113" s="47"/>
      <c r="K113" s="47"/>
      <c r="L113" s="47"/>
      <c r="M113" s="47"/>
      <c r="N113" s="47"/>
    </row>
    <row r="114" spans="1:14" ht="67.5" customHeight="1" x14ac:dyDescent="0.25">
      <c r="A114" s="133" t="s">
        <v>214</v>
      </c>
      <c r="B114" s="21"/>
      <c r="C114" s="148">
        <f>C115</f>
        <v>27.987000000000002</v>
      </c>
      <c r="D114" s="148">
        <f>D115</f>
        <v>175.102</v>
      </c>
      <c r="E114" s="148">
        <f>E115+E122</f>
        <v>259.40100000000001</v>
      </c>
      <c r="F114" s="148">
        <f>F115+F122</f>
        <v>0</v>
      </c>
      <c r="G114" s="148">
        <f>G115+G122</f>
        <v>179.59</v>
      </c>
      <c r="H114" s="148">
        <f>H115+H122</f>
        <v>79.811000000000007</v>
      </c>
      <c r="I114" s="148">
        <f>I115+I122</f>
        <v>0</v>
      </c>
    </row>
    <row r="115" spans="1:14" ht="15.75" customHeight="1" x14ac:dyDescent="0.25">
      <c r="A115" s="7" t="s">
        <v>55</v>
      </c>
      <c r="B115" s="21"/>
      <c r="C115" s="148">
        <f>C116+C117+C118</f>
        <v>27.987000000000002</v>
      </c>
      <c r="D115" s="148">
        <f>D116+D117+D118</f>
        <v>175.102</v>
      </c>
      <c r="E115" s="148">
        <f>F115+G115+H115+I115</f>
        <v>259.40100000000001</v>
      </c>
      <c r="F115" s="148">
        <f>F116+F117+F118</f>
        <v>0</v>
      </c>
      <c r="G115" s="148">
        <f>G116+G117+G118</f>
        <v>179.59</v>
      </c>
      <c r="H115" s="148">
        <f>H116+H117+H118</f>
        <v>79.811000000000007</v>
      </c>
      <c r="I115" s="148">
        <f>I116+I117+I118</f>
        <v>0</v>
      </c>
    </row>
    <row r="116" spans="1:14" x14ac:dyDescent="0.25">
      <c r="A116" s="3" t="s">
        <v>113</v>
      </c>
      <c r="B116" s="21"/>
      <c r="C116" s="147">
        <v>14.276999999999999</v>
      </c>
      <c r="D116" s="147">
        <v>63.456000000000003</v>
      </c>
      <c r="E116" s="147">
        <f>G116+H116+I116</f>
        <v>109.036</v>
      </c>
      <c r="F116" s="147">
        <v>0</v>
      </c>
      <c r="G116" s="147">
        <f>34.873+8.743</f>
        <v>43.616</v>
      </c>
      <c r="H116" s="147">
        <f>52.307+13.113</f>
        <v>65.42</v>
      </c>
      <c r="I116" s="147">
        <v>0</v>
      </c>
    </row>
    <row r="117" spans="1:14" x14ac:dyDescent="0.25">
      <c r="A117" s="3" t="s">
        <v>114</v>
      </c>
      <c r="B117" s="21"/>
      <c r="C117" s="147">
        <v>3.141</v>
      </c>
      <c r="D117" s="147">
        <v>13.961</v>
      </c>
      <c r="E117" s="147">
        <f>G117+H117+I117</f>
        <v>23.988</v>
      </c>
      <c r="F117" s="147">
        <v>0</v>
      </c>
      <c r="G117" s="147">
        <f>7.673+1.924</f>
        <v>9.5969999999999995</v>
      </c>
      <c r="H117" s="147">
        <f>11.507+2.884</f>
        <v>14.391</v>
      </c>
      <c r="I117" s="147">
        <v>0</v>
      </c>
    </row>
    <row r="118" spans="1:14" x14ac:dyDescent="0.25">
      <c r="A118" s="156" t="s">
        <v>115</v>
      </c>
      <c r="B118" s="21"/>
      <c r="C118" s="155">
        <v>10.569000000000001</v>
      </c>
      <c r="D118" s="147">
        <v>97.685000000000002</v>
      </c>
      <c r="E118" s="147">
        <f>G118+H118+I118+F118</f>
        <v>126.377</v>
      </c>
      <c r="F118" s="147">
        <v>0</v>
      </c>
      <c r="G118" s="147">
        <v>126.377</v>
      </c>
      <c r="H118" s="147">
        <v>0</v>
      </c>
      <c r="I118" s="147">
        <v>0</v>
      </c>
    </row>
    <row r="119" spans="1:14" ht="61.5" customHeight="1" x14ac:dyDescent="0.25">
      <c r="A119" s="152" t="s">
        <v>215</v>
      </c>
      <c r="B119" s="21"/>
      <c r="C119" s="154">
        <f>C120</f>
        <v>721.5</v>
      </c>
      <c r="D119" s="148">
        <f>D120</f>
        <v>555</v>
      </c>
      <c r="E119" s="148">
        <f>SUM(F119:I119)</f>
        <v>893.34799999999996</v>
      </c>
      <c r="F119" s="148">
        <f>F120+F122</f>
        <v>0</v>
      </c>
      <c r="G119" s="148">
        <f t="shared" ref="G119:I119" si="24">G120+G122</f>
        <v>0</v>
      </c>
      <c r="H119" s="148">
        <f t="shared" si="24"/>
        <v>0</v>
      </c>
      <c r="I119" s="148">
        <f t="shared" si="24"/>
        <v>893.34799999999996</v>
      </c>
    </row>
    <row r="120" spans="1:14" ht="15" customHeight="1" x14ac:dyDescent="0.25">
      <c r="A120" s="152" t="s">
        <v>55</v>
      </c>
      <c r="B120" s="21"/>
      <c r="C120" s="155">
        <f>C121</f>
        <v>721.5</v>
      </c>
      <c r="D120" s="147">
        <f>D121</f>
        <v>555</v>
      </c>
      <c r="E120" s="147">
        <f>SUM(F120:I120)</f>
        <v>893.34799999999996</v>
      </c>
      <c r="F120" s="147">
        <f>F121</f>
        <v>0</v>
      </c>
      <c r="G120" s="147">
        <f t="shared" ref="G120:H120" si="25">G121</f>
        <v>0</v>
      </c>
      <c r="H120" s="147">
        <f t="shared" si="25"/>
        <v>0</v>
      </c>
      <c r="I120" s="147">
        <f>I121</f>
        <v>893.34799999999996</v>
      </c>
    </row>
    <row r="121" spans="1:14" ht="15" customHeight="1" x14ac:dyDescent="0.25">
      <c r="A121" s="152" t="s">
        <v>167</v>
      </c>
      <c r="B121" s="21"/>
      <c r="C121" s="155">
        <v>721.5</v>
      </c>
      <c r="D121" s="147">
        <v>555</v>
      </c>
      <c r="E121" s="147">
        <f>SUM(F121:I121)</f>
        <v>893.34799999999996</v>
      </c>
      <c r="F121" s="147">
        <v>0</v>
      </c>
      <c r="G121" s="147">
        <v>0</v>
      </c>
      <c r="H121" s="147">
        <v>0</v>
      </c>
      <c r="I121" s="147">
        <v>893.34799999999996</v>
      </c>
    </row>
    <row r="122" spans="1:14" ht="15" customHeight="1" x14ac:dyDescent="0.25">
      <c r="A122" s="153" t="s">
        <v>116</v>
      </c>
      <c r="B122" s="21"/>
      <c r="C122" s="155">
        <v>0</v>
      </c>
      <c r="D122" s="147">
        <f>[2]ФП2023!E112</f>
        <v>0</v>
      </c>
      <c r="E122" s="147">
        <f t="shared" ref="E122:E128" si="26">SUM(F122:I122)</f>
        <v>0</v>
      </c>
      <c r="F122" s="147">
        <f>F128</f>
        <v>0</v>
      </c>
      <c r="G122" s="147">
        <f t="shared" ref="G122:I122" si="27">G128</f>
        <v>0</v>
      </c>
      <c r="H122" s="147">
        <f t="shared" si="27"/>
        <v>0</v>
      </c>
      <c r="I122" s="147">
        <f t="shared" si="27"/>
        <v>0</v>
      </c>
    </row>
    <row r="123" spans="1:14" ht="79.5" customHeight="1" x14ac:dyDescent="0.25">
      <c r="A123" s="153" t="s">
        <v>218</v>
      </c>
      <c r="B123" s="21"/>
      <c r="C123" s="155">
        <f>C124</f>
        <v>0</v>
      </c>
      <c r="D123" s="155">
        <f t="shared" ref="D123:I123" si="28">D124</f>
        <v>0</v>
      </c>
      <c r="E123" s="155">
        <f>E124</f>
        <v>118.468</v>
      </c>
      <c r="F123" s="155">
        <f t="shared" si="28"/>
        <v>0</v>
      </c>
      <c r="G123" s="155">
        <f t="shared" si="28"/>
        <v>118.468</v>
      </c>
      <c r="H123" s="155">
        <f t="shared" si="28"/>
        <v>0</v>
      </c>
      <c r="I123" s="155">
        <f t="shared" si="28"/>
        <v>0</v>
      </c>
    </row>
    <row r="124" spans="1:14" ht="15" customHeight="1" x14ac:dyDescent="0.25">
      <c r="A124" s="7" t="s">
        <v>55</v>
      </c>
      <c r="B124" s="21"/>
      <c r="C124" s="147">
        <f>C125+C126+C127</f>
        <v>0</v>
      </c>
      <c r="D124" s="147">
        <f t="shared" ref="D124:I124" si="29">D125+D126+D127</f>
        <v>0</v>
      </c>
      <c r="E124" s="147">
        <f t="shared" si="29"/>
        <v>118.468</v>
      </c>
      <c r="F124" s="147">
        <f t="shared" si="29"/>
        <v>0</v>
      </c>
      <c r="G124" s="147">
        <f t="shared" si="29"/>
        <v>118.468</v>
      </c>
      <c r="H124" s="147">
        <f t="shared" si="29"/>
        <v>0</v>
      </c>
      <c r="I124" s="147">
        <f t="shared" si="29"/>
        <v>0</v>
      </c>
    </row>
    <row r="125" spans="1:14" ht="58.5" customHeight="1" x14ac:dyDescent="0.25">
      <c r="A125" s="7" t="s">
        <v>219</v>
      </c>
      <c r="B125" s="21"/>
      <c r="C125" s="147">
        <v>0</v>
      </c>
      <c r="D125" s="147">
        <v>0</v>
      </c>
      <c r="E125" s="147">
        <f>F125+G125+H125+I125</f>
        <v>5.694</v>
      </c>
      <c r="F125" s="147">
        <v>0</v>
      </c>
      <c r="G125" s="147">
        <v>5.694</v>
      </c>
      <c r="H125" s="147">
        <v>0</v>
      </c>
      <c r="I125" s="147">
        <v>0</v>
      </c>
    </row>
    <row r="126" spans="1:14" ht="51.75" customHeight="1" x14ac:dyDescent="0.25">
      <c r="A126" s="7" t="s">
        <v>220</v>
      </c>
      <c r="B126" s="21"/>
      <c r="C126" s="147">
        <v>0</v>
      </c>
      <c r="D126" s="147">
        <v>0</v>
      </c>
      <c r="E126" s="147">
        <f t="shared" ref="E126:E127" si="30">F126+G126+H126+I126</f>
        <v>5.694</v>
      </c>
      <c r="F126" s="147">
        <v>0</v>
      </c>
      <c r="G126" s="147">
        <v>5.694</v>
      </c>
      <c r="H126" s="147">
        <v>0</v>
      </c>
      <c r="I126" s="147">
        <v>0</v>
      </c>
    </row>
    <row r="127" spans="1:14" ht="25.5" customHeight="1" x14ac:dyDescent="0.25">
      <c r="A127" s="7" t="s">
        <v>221</v>
      </c>
      <c r="B127" s="21"/>
      <c r="C127" s="147">
        <v>0</v>
      </c>
      <c r="D127" s="147">
        <v>0</v>
      </c>
      <c r="E127" s="147">
        <f t="shared" si="30"/>
        <v>107.08</v>
      </c>
      <c r="F127" s="147">
        <v>0</v>
      </c>
      <c r="G127" s="147">
        <v>107.08</v>
      </c>
      <c r="H127" s="147">
        <v>0</v>
      </c>
      <c r="I127" s="147">
        <v>0</v>
      </c>
    </row>
    <row r="128" spans="1:14" x14ac:dyDescent="0.25">
      <c r="A128" s="3" t="s">
        <v>117</v>
      </c>
      <c r="B128" s="10" t="s">
        <v>118</v>
      </c>
      <c r="C128" s="147"/>
      <c r="D128" s="147">
        <v>0</v>
      </c>
      <c r="E128" s="147">
        <f t="shared" si="26"/>
        <v>0</v>
      </c>
      <c r="F128" s="147">
        <v>0</v>
      </c>
      <c r="G128" s="147">
        <v>0</v>
      </c>
      <c r="H128" s="147">
        <v>0</v>
      </c>
      <c r="I128" s="147">
        <v>0</v>
      </c>
    </row>
    <row r="129" spans="1:9" ht="20.25" customHeight="1" x14ac:dyDescent="0.25">
      <c r="A129" s="15" t="s">
        <v>119</v>
      </c>
      <c r="B129" s="10" t="s">
        <v>120</v>
      </c>
      <c r="C129" s="148">
        <f t="shared" ref="C129:I129" si="31">C79+C78+C63</f>
        <v>38683.714999999997</v>
      </c>
      <c r="D129" s="148">
        <f t="shared" si="31"/>
        <v>42598.332999999999</v>
      </c>
      <c r="E129" s="148">
        <f t="shared" si="31"/>
        <v>53168.34199999999</v>
      </c>
      <c r="F129" s="148">
        <f t="shared" si="31"/>
        <v>12015.574000000001</v>
      </c>
      <c r="G129" s="148">
        <f t="shared" si="31"/>
        <v>13759.375</v>
      </c>
      <c r="H129" s="148">
        <f t="shared" si="31"/>
        <v>14053.612999999999</v>
      </c>
      <c r="I129" s="148">
        <f t="shared" si="31"/>
        <v>13339.78</v>
      </c>
    </row>
    <row r="130" spans="1:9" ht="18.75" customHeight="1" x14ac:dyDescent="0.25">
      <c r="A130" s="30" t="s">
        <v>121</v>
      </c>
      <c r="B130" s="10" t="s">
        <v>122</v>
      </c>
      <c r="C130" s="148">
        <f>C61-C129</f>
        <v>3.5740000000005239</v>
      </c>
      <c r="D130" s="134">
        <f>D61-D129</f>
        <v>14.156999999999243</v>
      </c>
      <c r="E130" s="148">
        <f>F130+G130+H130+I130</f>
        <v>12.809999999999491</v>
      </c>
      <c r="F130" s="148">
        <f>F61-F129</f>
        <v>4.3840000000000146</v>
      </c>
      <c r="G130" s="148">
        <f>G61-G129</f>
        <v>3.2839999999996508</v>
      </c>
      <c r="H130" s="148">
        <f>H61-H129</f>
        <v>4.1890000000003056</v>
      </c>
      <c r="I130" s="148">
        <f>I61-I129</f>
        <v>0.95299999999951979</v>
      </c>
    </row>
    <row r="131" spans="1:9" ht="12.75" customHeight="1" x14ac:dyDescent="0.25">
      <c r="A131" s="19" t="s">
        <v>123</v>
      </c>
      <c r="B131" s="164" t="s">
        <v>124</v>
      </c>
      <c r="C131" s="259"/>
      <c r="D131" s="260"/>
      <c r="E131" s="258"/>
      <c r="F131" s="258"/>
      <c r="G131" s="258"/>
      <c r="H131" s="258"/>
      <c r="I131" s="258"/>
    </row>
    <row r="132" spans="1:9" ht="17.25" customHeight="1" x14ac:dyDescent="0.25">
      <c r="A132" s="3" t="s">
        <v>125</v>
      </c>
      <c r="B132" s="164"/>
      <c r="C132" s="259"/>
      <c r="D132" s="261"/>
      <c r="E132" s="258"/>
      <c r="F132" s="258"/>
      <c r="G132" s="258"/>
      <c r="H132" s="258"/>
      <c r="I132" s="258"/>
    </row>
    <row r="133" spans="1:9" x14ac:dyDescent="0.25">
      <c r="A133" s="3" t="s">
        <v>126</v>
      </c>
      <c r="B133" s="164"/>
      <c r="C133" s="259"/>
      <c r="D133" s="262"/>
      <c r="E133" s="258"/>
      <c r="F133" s="258"/>
      <c r="G133" s="258"/>
      <c r="H133" s="258"/>
      <c r="I133" s="258"/>
    </row>
    <row r="134" spans="1:9" x14ac:dyDescent="0.25">
      <c r="A134" s="21" t="s">
        <v>127</v>
      </c>
      <c r="B134" s="164" t="s">
        <v>128</v>
      </c>
      <c r="C134" s="259"/>
      <c r="D134" s="260"/>
      <c r="E134" s="258"/>
      <c r="F134" s="258"/>
      <c r="G134" s="258"/>
      <c r="H134" s="258"/>
      <c r="I134" s="258"/>
    </row>
    <row r="135" spans="1:9" x14ac:dyDescent="0.25">
      <c r="A135" s="3" t="s">
        <v>125</v>
      </c>
      <c r="B135" s="164"/>
      <c r="C135" s="259"/>
      <c r="D135" s="261"/>
      <c r="E135" s="258"/>
      <c r="F135" s="258"/>
      <c r="G135" s="258"/>
      <c r="H135" s="258"/>
      <c r="I135" s="258"/>
    </row>
    <row r="136" spans="1:9" x14ac:dyDescent="0.25">
      <c r="A136" s="3" t="s">
        <v>126</v>
      </c>
      <c r="B136" s="164"/>
      <c r="C136" s="259"/>
      <c r="D136" s="262"/>
      <c r="E136" s="258"/>
      <c r="F136" s="258"/>
      <c r="G136" s="258"/>
      <c r="H136" s="258"/>
      <c r="I136" s="258"/>
    </row>
    <row r="137" spans="1:9" ht="35.25" customHeight="1" x14ac:dyDescent="0.25">
      <c r="A137" s="19" t="s">
        <v>129</v>
      </c>
      <c r="B137" s="164" t="s">
        <v>130</v>
      </c>
      <c r="C137" s="135"/>
      <c r="D137" s="136"/>
      <c r="E137" s="148"/>
      <c r="F137" s="147"/>
      <c r="G137" s="147"/>
      <c r="H137" s="147"/>
      <c r="I137" s="147"/>
    </row>
    <row r="138" spans="1:9" x14ac:dyDescent="0.25">
      <c r="A138" s="3" t="s">
        <v>125</v>
      </c>
      <c r="B138" s="164"/>
      <c r="C138" s="147">
        <f t="shared" ref="C138:I138" si="32">C130</f>
        <v>3.5740000000005239</v>
      </c>
      <c r="D138" s="147">
        <f t="shared" si="32"/>
        <v>14.156999999999243</v>
      </c>
      <c r="E138" s="147">
        <f t="shared" si="32"/>
        <v>12.809999999999491</v>
      </c>
      <c r="F138" s="147">
        <f t="shared" si="32"/>
        <v>4.3840000000000146</v>
      </c>
      <c r="G138" s="147">
        <f t="shared" si="32"/>
        <v>3.2839999999996508</v>
      </c>
      <c r="H138" s="147">
        <f t="shared" si="32"/>
        <v>4.1890000000003056</v>
      </c>
      <c r="I138" s="147">
        <f t="shared" si="32"/>
        <v>0.95299999999951979</v>
      </c>
    </row>
    <row r="139" spans="1:9" x14ac:dyDescent="0.25">
      <c r="A139" s="3" t="s">
        <v>126</v>
      </c>
      <c r="B139" s="164"/>
      <c r="C139" s="147">
        <v>0</v>
      </c>
      <c r="D139" s="136">
        <v>0</v>
      </c>
      <c r="E139" s="148">
        <f>F139+G139+H139+I139</f>
        <v>0</v>
      </c>
      <c r="F139" s="147">
        <v>0</v>
      </c>
      <c r="G139" s="147">
        <v>0</v>
      </c>
      <c r="H139" s="147">
        <v>0</v>
      </c>
      <c r="I139" s="147">
        <v>0</v>
      </c>
    </row>
    <row r="140" spans="1:9" x14ac:dyDescent="0.25">
      <c r="A140" s="21" t="s">
        <v>131</v>
      </c>
      <c r="B140" s="10" t="s">
        <v>132</v>
      </c>
      <c r="C140" s="148">
        <f>C138*18%</f>
        <v>0.64332000000009426</v>
      </c>
      <c r="D140" s="148">
        <f>D138*18%</f>
        <v>2.5482599999998636</v>
      </c>
      <c r="E140" s="148">
        <f t="shared" ref="E140:I140" si="33">E138*18%</f>
        <v>2.3057999999999081</v>
      </c>
      <c r="F140" s="148">
        <f t="shared" si="33"/>
        <v>0.7891200000000026</v>
      </c>
      <c r="G140" s="148">
        <f t="shared" si="33"/>
        <v>0.59111999999993714</v>
      </c>
      <c r="H140" s="148">
        <f t="shared" si="33"/>
        <v>0.75402000000005498</v>
      </c>
      <c r="I140" s="148">
        <f t="shared" si="33"/>
        <v>0.17153999999991357</v>
      </c>
    </row>
    <row r="141" spans="1:9" x14ac:dyDescent="0.25">
      <c r="A141" s="30" t="s">
        <v>133</v>
      </c>
      <c r="B141" s="164" t="s">
        <v>134</v>
      </c>
      <c r="C141" s="258">
        <f>C138-C140</f>
        <v>2.9306800000004296</v>
      </c>
      <c r="D141" s="258">
        <f>D138-D140</f>
        <v>11.608739999999379</v>
      </c>
      <c r="E141" s="258">
        <f>SUM(F141:I142)</f>
        <v>10.504199999999583</v>
      </c>
      <c r="F141" s="258">
        <f>F138-F140</f>
        <v>3.5948800000000118</v>
      </c>
      <c r="G141" s="258">
        <f t="shared" ref="G141:I141" si="34">G138-G140</f>
        <v>2.6928799999997137</v>
      </c>
      <c r="H141" s="258">
        <f t="shared" si="34"/>
        <v>3.4349800000002508</v>
      </c>
      <c r="I141" s="258">
        <f t="shared" si="34"/>
        <v>0.78145999999960625</v>
      </c>
    </row>
    <row r="142" spans="1:9" ht="15.75" customHeight="1" x14ac:dyDescent="0.25">
      <c r="A142" s="32" t="s">
        <v>135</v>
      </c>
      <c r="B142" s="164"/>
      <c r="C142" s="258"/>
      <c r="D142" s="258"/>
      <c r="E142" s="258"/>
      <c r="F142" s="258"/>
      <c r="G142" s="258"/>
      <c r="H142" s="258"/>
      <c r="I142" s="258"/>
    </row>
    <row r="143" spans="1:9" x14ac:dyDescent="0.25">
      <c r="A143" s="29" t="s">
        <v>136</v>
      </c>
      <c r="B143" s="10" t="s">
        <v>137</v>
      </c>
      <c r="C143" s="148">
        <f>C141</f>
        <v>2.9306800000004296</v>
      </c>
      <c r="D143" s="148">
        <f>D141</f>
        <v>11.608739999999379</v>
      </c>
      <c r="E143" s="148">
        <f>E141</f>
        <v>10.504199999999583</v>
      </c>
      <c r="F143" s="148">
        <f>F141</f>
        <v>3.5948800000000118</v>
      </c>
      <c r="G143" s="148">
        <f t="shared" ref="G143:I143" si="35">G141</f>
        <v>2.6928799999997137</v>
      </c>
      <c r="H143" s="148">
        <f t="shared" si="35"/>
        <v>3.4349800000002508</v>
      </c>
      <c r="I143" s="148">
        <f t="shared" si="35"/>
        <v>0.78145999999960625</v>
      </c>
    </row>
    <row r="144" spans="1:9" x14ac:dyDescent="0.25">
      <c r="A144" s="3" t="s">
        <v>126</v>
      </c>
      <c r="B144" s="10" t="s">
        <v>138</v>
      </c>
      <c r="C144" s="147"/>
      <c r="D144" s="136"/>
      <c r="E144" s="148"/>
      <c r="F144" s="137"/>
      <c r="G144" s="137"/>
      <c r="H144" s="137"/>
      <c r="I144" s="137"/>
    </row>
    <row r="145" spans="1:9" ht="15" customHeight="1" x14ac:dyDescent="0.25">
      <c r="A145" s="161" t="s">
        <v>139</v>
      </c>
      <c r="B145" s="161"/>
      <c r="C145" s="161"/>
      <c r="D145" s="161"/>
      <c r="E145" s="161"/>
      <c r="F145" s="161"/>
      <c r="G145" s="161"/>
      <c r="H145" s="161"/>
      <c r="I145" s="161"/>
    </row>
    <row r="146" spans="1:9" ht="20.25" customHeight="1" x14ac:dyDescent="0.25">
      <c r="A146" s="3" t="s">
        <v>140</v>
      </c>
      <c r="B146" s="10" t="s">
        <v>141</v>
      </c>
      <c r="C146" s="138"/>
      <c r="D146" s="138"/>
      <c r="E146" s="139"/>
      <c r="F146" s="139"/>
      <c r="G146" s="139"/>
      <c r="H146" s="139"/>
      <c r="I146" s="139"/>
    </row>
    <row r="147" spans="1:9" x14ac:dyDescent="0.25">
      <c r="A147" s="11" t="s">
        <v>142</v>
      </c>
      <c r="B147" s="4" t="s">
        <v>143</v>
      </c>
      <c r="C147" s="140">
        <f t="shared" ref="C147:D147" si="36">(C141-C154)*0.2</f>
        <v>0.55682920000008174</v>
      </c>
      <c r="D147" s="140">
        <f t="shared" si="36"/>
        <v>2.2056605999998822</v>
      </c>
      <c r="E147" s="140">
        <f>F147+G147+H147+I147</f>
        <v>1.9957979999999207</v>
      </c>
      <c r="F147" s="140">
        <f>(F141-F154)*0.2</f>
        <v>0.68302720000000228</v>
      </c>
      <c r="G147" s="140">
        <f t="shared" ref="G147:I147" si="37">(G141-G154)*0.2</f>
        <v>0.51164719999994568</v>
      </c>
      <c r="H147" s="140">
        <f t="shared" si="37"/>
        <v>0.65264620000004769</v>
      </c>
      <c r="I147" s="140">
        <f t="shared" si="37"/>
        <v>0.14847739999992521</v>
      </c>
    </row>
    <row r="148" spans="1:9" ht="25.5" customHeight="1" x14ac:dyDescent="0.25">
      <c r="A148" s="11" t="s">
        <v>144</v>
      </c>
      <c r="B148" s="4" t="s">
        <v>145</v>
      </c>
      <c r="C148" s="140">
        <f>(C141-C154)*0.8-0.001</f>
        <v>2.2263168000003271</v>
      </c>
      <c r="D148" s="140">
        <f t="shared" ref="D148" si="38">(D141-D154)*0.8</f>
        <v>8.8226423999995287</v>
      </c>
      <c r="E148" s="140">
        <f>F148+G148+H148+I148</f>
        <v>7.9831919999996828</v>
      </c>
      <c r="F148" s="140">
        <f>(F141-F154)*0.8</f>
        <v>2.7321088000000091</v>
      </c>
      <c r="G148" s="140">
        <f t="shared" ref="G148:I148" si="39">(G141-G154)*0.8</f>
        <v>2.0465887999997827</v>
      </c>
      <c r="H148" s="140">
        <f t="shared" si="39"/>
        <v>2.6105848000001908</v>
      </c>
      <c r="I148" s="140">
        <f t="shared" si="39"/>
        <v>0.59390959999970083</v>
      </c>
    </row>
    <row r="149" spans="1:9" ht="16.5" customHeight="1" x14ac:dyDescent="0.25">
      <c r="A149" s="20" t="s">
        <v>1</v>
      </c>
      <c r="B149" s="4" t="s">
        <v>146</v>
      </c>
      <c r="C149" s="140"/>
      <c r="D149" s="140"/>
      <c r="E149" s="34"/>
      <c r="F149" s="34"/>
      <c r="G149" s="34"/>
      <c r="H149" s="34"/>
      <c r="I149" s="34"/>
    </row>
    <row r="150" spans="1:9" ht="15.75" customHeight="1" x14ac:dyDescent="0.25">
      <c r="A150" s="162" t="s">
        <v>147</v>
      </c>
      <c r="B150" s="162"/>
      <c r="C150" s="162"/>
      <c r="D150" s="162"/>
      <c r="E150" s="162"/>
      <c r="F150" s="162"/>
      <c r="G150" s="162"/>
      <c r="H150" s="162"/>
      <c r="I150" s="162"/>
    </row>
    <row r="151" spans="1:9" ht="16.5" customHeight="1" x14ac:dyDescent="0.25">
      <c r="A151" s="20" t="s">
        <v>148</v>
      </c>
      <c r="B151" s="4" t="s">
        <v>149</v>
      </c>
      <c r="C151" s="140"/>
      <c r="D151" s="140"/>
      <c r="E151" s="34"/>
      <c r="F151" s="34"/>
      <c r="G151" s="34"/>
      <c r="H151" s="34"/>
      <c r="I151" s="34"/>
    </row>
    <row r="152" spans="1:9" ht="16.5" customHeight="1" x14ac:dyDescent="0.25">
      <c r="A152" s="20" t="s">
        <v>150</v>
      </c>
      <c r="B152" s="4" t="s">
        <v>151</v>
      </c>
      <c r="C152" s="140"/>
      <c r="D152" s="140"/>
      <c r="E152" s="34"/>
      <c r="F152" s="34"/>
      <c r="G152" s="34"/>
      <c r="H152" s="34"/>
      <c r="I152" s="34"/>
    </row>
    <row r="153" spans="1:9" ht="12.75" customHeight="1" x14ac:dyDescent="0.25">
      <c r="A153" s="20" t="s">
        <v>152</v>
      </c>
      <c r="B153" s="4" t="s">
        <v>153</v>
      </c>
      <c r="C153" s="34"/>
      <c r="D153" s="34"/>
      <c r="E153" s="34"/>
      <c r="F153" s="34"/>
      <c r="G153" s="34"/>
      <c r="H153" s="34"/>
      <c r="I153" s="34"/>
    </row>
    <row r="154" spans="1:9" x14ac:dyDescent="0.25">
      <c r="A154" s="11" t="s">
        <v>154</v>
      </c>
      <c r="B154" s="4" t="s">
        <v>155</v>
      </c>
      <c r="C154" s="140">
        <f>C141*0.05</f>
        <v>0.14653400000002148</v>
      </c>
      <c r="D154" s="140">
        <f>D141*0.05</f>
        <v>0.58043699999996901</v>
      </c>
      <c r="E154" s="34">
        <f>E143*5%</f>
        <v>0.52520999999997919</v>
      </c>
      <c r="F154" s="34">
        <f>F141*0.05</f>
        <v>0.1797440000000006</v>
      </c>
      <c r="G154" s="34">
        <f t="shared" ref="G154:I154" si="40">G141*0.05</f>
        <v>0.13464399999998569</v>
      </c>
      <c r="H154" s="34">
        <f t="shared" si="40"/>
        <v>0.17174900000001256</v>
      </c>
      <c r="I154" s="34">
        <f t="shared" si="40"/>
        <v>3.9072999999980318E-2</v>
      </c>
    </row>
    <row r="155" spans="1:9" ht="14.45" customHeight="1" x14ac:dyDescent="0.25">
      <c r="A155" s="3" t="s">
        <v>156</v>
      </c>
      <c r="B155" s="10" t="s">
        <v>157</v>
      </c>
      <c r="C155" s="138"/>
      <c r="D155" s="138"/>
      <c r="E155" s="139"/>
      <c r="F155" s="141"/>
      <c r="G155" s="141"/>
      <c r="H155" s="141"/>
      <c r="I155" s="141"/>
    </row>
    <row r="156" spans="1:9" ht="12.6" hidden="1" customHeight="1" x14ac:dyDescent="0.25">
      <c r="A156" s="163"/>
      <c r="B156" s="163"/>
      <c r="C156" s="163"/>
      <c r="D156" s="163"/>
      <c r="E156" s="163"/>
      <c r="F156" s="163"/>
      <c r="G156" s="163"/>
      <c r="H156" s="163"/>
      <c r="I156" s="163"/>
    </row>
    <row r="157" spans="1:9" ht="16.149999999999999" hidden="1" customHeight="1" x14ac:dyDescent="0.25">
      <c r="A157" s="163"/>
      <c r="B157" s="163"/>
      <c r="C157" s="163"/>
      <c r="D157" s="163"/>
      <c r="E157" s="163"/>
      <c r="F157" s="163"/>
      <c r="G157" s="163"/>
      <c r="H157" s="163"/>
      <c r="I157" s="163"/>
    </row>
    <row r="158" spans="1:9" ht="15.75" customHeight="1" x14ac:dyDescent="0.25">
      <c r="A158" s="160"/>
      <c r="B158" s="160"/>
      <c r="C158" s="160"/>
      <c r="D158" s="160"/>
      <c r="E158" s="160"/>
      <c r="F158" s="160"/>
      <c r="G158" s="160"/>
      <c r="H158" s="160"/>
      <c r="I158" s="160"/>
    </row>
    <row r="159" spans="1:9" x14ac:dyDescent="0.25">
      <c r="A159" s="35"/>
      <c r="B159" s="36"/>
      <c r="C159" s="158"/>
      <c r="D159" s="158"/>
      <c r="E159" s="158"/>
      <c r="F159" s="158"/>
      <c r="G159" s="158"/>
      <c r="H159" s="158"/>
      <c r="I159" s="158"/>
    </row>
    <row r="160" spans="1:9" ht="15" customHeight="1" x14ac:dyDescent="0.25">
      <c r="A160"/>
      <c r="B160"/>
      <c r="G160" s="257"/>
      <c r="H160" s="257"/>
      <c r="I160" s="257"/>
    </row>
    <row r="161" spans="1:9" ht="0.6" customHeight="1" x14ac:dyDescent="0.25">
      <c r="A161"/>
      <c r="B161"/>
      <c r="G161" s="151"/>
      <c r="H161" s="151"/>
      <c r="I161" s="151"/>
    </row>
    <row r="162" spans="1:9" hidden="1" x14ac:dyDescent="0.25">
      <c r="A162" s="36" t="s">
        <v>161</v>
      </c>
      <c r="B162" s="36"/>
      <c r="C162" s="158" t="s">
        <v>162</v>
      </c>
      <c r="D162" s="158"/>
      <c r="E162" s="158"/>
      <c r="F162" s="158"/>
      <c r="G162" s="158"/>
      <c r="H162" s="158"/>
      <c r="I162" s="158"/>
    </row>
    <row r="163" spans="1:9" hidden="1" x14ac:dyDescent="0.25">
      <c r="A163"/>
      <c r="B163"/>
      <c r="G163" s="257" t="s">
        <v>160</v>
      </c>
      <c r="H163" s="257"/>
      <c r="I163" s="257"/>
    </row>
    <row r="164" spans="1:9" hidden="1" x14ac:dyDescent="0.25">
      <c r="A164"/>
      <c r="B164"/>
      <c r="G164" s="12"/>
    </row>
    <row r="165" spans="1:9" hidden="1" x14ac:dyDescent="0.25">
      <c r="A165" s="36" t="s">
        <v>163</v>
      </c>
      <c r="B165" s="36"/>
      <c r="C165" s="158" t="s">
        <v>164</v>
      </c>
      <c r="D165" s="158"/>
      <c r="E165" s="158"/>
      <c r="F165" s="158"/>
      <c r="G165" s="158"/>
      <c r="H165" s="158"/>
      <c r="I165" s="158"/>
    </row>
    <row r="166" spans="1:9" hidden="1" x14ac:dyDescent="0.25">
      <c r="A166"/>
      <c r="B166"/>
      <c r="G166" s="257" t="s">
        <v>160</v>
      </c>
      <c r="H166" s="257"/>
      <c r="I166" s="257"/>
    </row>
    <row r="167" spans="1:9" hidden="1" x14ac:dyDescent="0.25">
      <c r="A167"/>
      <c r="B167"/>
      <c r="G167" s="12"/>
    </row>
    <row r="168" spans="1:9" x14ac:dyDescent="0.25">
      <c r="A168"/>
      <c r="B168"/>
      <c r="G168" s="12"/>
    </row>
    <row r="169" spans="1:9" x14ac:dyDescent="0.25">
      <c r="A169" s="35"/>
      <c r="B169"/>
      <c r="D169" s="256"/>
      <c r="E169" s="256"/>
      <c r="F169" s="256"/>
      <c r="G169" s="256"/>
    </row>
    <row r="170" spans="1:9" ht="15.75" x14ac:dyDescent="0.25">
      <c r="A170" s="270" t="s">
        <v>158</v>
      </c>
      <c r="B170"/>
      <c r="G170" s="272" t="s">
        <v>159</v>
      </c>
      <c r="H170" s="257"/>
      <c r="I170" s="257"/>
    </row>
    <row r="171" spans="1:9" x14ac:dyDescent="0.25">
      <c r="A171" s="35"/>
      <c r="B171"/>
      <c r="D171" s="256"/>
      <c r="E171" s="256"/>
      <c r="F171" s="256"/>
      <c r="G171" s="256"/>
    </row>
    <row r="172" spans="1:9" x14ac:dyDescent="0.25">
      <c r="A172"/>
      <c r="B172"/>
      <c r="G172" s="257"/>
      <c r="H172" s="257"/>
      <c r="I172" s="257"/>
    </row>
    <row r="173" spans="1:9" x14ac:dyDescent="0.25">
      <c r="A173"/>
      <c r="B173"/>
    </row>
  </sheetData>
  <mergeCells count="116">
    <mergeCell ref="A3:H3"/>
    <mergeCell ref="G1:I1"/>
    <mergeCell ref="A10:H10"/>
    <mergeCell ref="A11:H11"/>
    <mergeCell ref="A12:H12"/>
    <mergeCell ref="A13:H13"/>
    <mergeCell ref="A14:H14"/>
    <mergeCell ref="A15:H15"/>
    <mergeCell ref="A4:H4"/>
    <mergeCell ref="A5:H5"/>
    <mergeCell ref="A6:H6"/>
    <mergeCell ref="A7:H7"/>
    <mergeCell ref="A8:H8"/>
    <mergeCell ref="A9:H9"/>
    <mergeCell ref="A16:H16"/>
    <mergeCell ref="A17:I17"/>
    <mergeCell ref="A18:I18"/>
    <mergeCell ref="A19:I19"/>
    <mergeCell ref="A20:I20"/>
    <mergeCell ref="A21:A23"/>
    <mergeCell ref="B21:B23"/>
    <mergeCell ref="C21:C22"/>
    <mergeCell ref="D21:D22"/>
    <mergeCell ref="F21:I22"/>
    <mergeCell ref="A24:I24"/>
    <mergeCell ref="B25:B31"/>
    <mergeCell ref="A34:A35"/>
    <mergeCell ref="B34:B35"/>
    <mergeCell ref="C34:C35"/>
    <mergeCell ref="D34:D35"/>
    <mergeCell ref="E34:E35"/>
    <mergeCell ref="F34:F35"/>
    <mergeCell ref="G34:G35"/>
    <mergeCell ref="H34:H35"/>
    <mergeCell ref="I34:I35"/>
    <mergeCell ref="A36:A37"/>
    <mergeCell ref="B36:B37"/>
    <mergeCell ref="C36:C37"/>
    <mergeCell ref="D36:D37"/>
    <mergeCell ref="E36:E37"/>
    <mergeCell ref="F36:F37"/>
    <mergeCell ref="G36:G37"/>
    <mergeCell ref="H36:H37"/>
    <mergeCell ref="I36:I37"/>
    <mergeCell ref="H38:H39"/>
    <mergeCell ref="I38:I39"/>
    <mergeCell ref="B42:B57"/>
    <mergeCell ref="A62:I62"/>
    <mergeCell ref="A65:A66"/>
    <mergeCell ref="B65:B66"/>
    <mergeCell ref="C65:C66"/>
    <mergeCell ref="D65:D66"/>
    <mergeCell ref="E65:E66"/>
    <mergeCell ref="F65:F66"/>
    <mergeCell ref="B38:B39"/>
    <mergeCell ref="C38:C39"/>
    <mergeCell ref="D38:D39"/>
    <mergeCell ref="E38:E39"/>
    <mergeCell ref="F38:F39"/>
    <mergeCell ref="G38:G39"/>
    <mergeCell ref="G65:G66"/>
    <mergeCell ref="H65:H66"/>
    <mergeCell ref="I65:I66"/>
    <mergeCell ref="B67:B69"/>
    <mergeCell ref="A70:A71"/>
    <mergeCell ref="B70:B71"/>
    <mergeCell ref="C70:C71"/>
    <mergeCell ref="D70:D71"/>
    <mergeCell ref="E70:E71"/>
    <mergeCell ref="F70:F71"/>
    <mergeCell ref="G70:G71"/>
    <mergeCell ref="H70:H71"/>
    <mergeCell ref="I70:I71"/>
    <mergeCell ref="B131:B133"/>
    <mergeCell ref="C131:C133"/>
    <mergeCell ref="D131:D133"/>
    <mergeCell ref="E131:E133"/>
    <mergeCell ref="F131:F133"/>
    <mergeCell ref="G131:G133"/>
    <mergeCell ref="H131:H133"/>
    <mergeCell ref="I131:I133"/>
    <mergeCell ref="B74:B77"/>
    <mergeCell ref="B134:B136"/>
    <mergeCell ref="C134:C136"/>
    <mergeCell ref="D134:D136"/>
    <mergeCell ref="E134:E136"/>
    <mergeCell ref="F134:F136"/>
    <mergeCell ref="G134:G136"/>
    <mergeCell ref="H134:H136"/>
    <mergeCell ref="I134:I136"/>
    <mergeCell ref="G141:G142"/>
    <mergeCell ref="H141:H142"/>
    <mergeCell ref="I141:I142"/>
    <mergeCell ref="A145:I145"/>
    <mergeCell ref="A150:I150"/>
    <mergeCell ref="A156:I157"/>
    <mergeCell ref="B137:B139"/>
    <mergeCell ref="B141:B142"/>
    <mergeCell ref="C141:C142"/>
    <mergeCell ref="D141:D142"/>
    <mergeCell ref="E141:E142"/>
    <mergeCell ref="F141:F142"/>
    <mergeCell ref="D171:G171"/>
    <mergeCell ref="G172:I172"/>
    <mergeCell ref="G163:I163"/>
    <mergeCell ref="C165:F165"/>
    <mergeCell ref="G165:I165"/>
    <mergeCell ref="G166:I166"/>
    <mergeCell ref="D169:G169"/>
    <mergeCell ref="G170:I170"/>
    <mergeCell ref="A158:I158"/>
    <mergeCell ref="C159:F159"/>
    <mergeCell ref="G159:I159"/>
    <mergeCell ref="G160:I160"/>
    <mergeCell ref="C162:F162"/>
    <mergeCell ref="G162:I162"/>
  </mergeCells>
  <pageMargins left="0.59055118110236227" right="0.31496062992125984" top="0.39370078740157483" bottom="0.39370078740157483" header="0.31496062992125984" footer="0.31496062992125984"/>
  <pageSetup paperSize="9" scale="64" fitToHeight="0" orientation="portrait" r:id="rId1"/>
  <rowBreaks count="2" manualBreakCount="2">
    <brk id="54" max="8" man="1"/>
    <brk id="107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2</vt:i4>
      </vt:variant>
    </vt:vector>
  </HeadingPairs>
  <TitlesOfParts>
    <vt:vector size="5" baseType="lpstr">
      <vt:lpstr>фін програма</vt:lpstr>
      <vt:lpstr>фін бюджет</vt:lpstr>
      <vt:lpstr>фін бюджет </vt:lpstr>
      <vt:lpstr>'фін бюджет'!Область_друку</vt:lpstr>
      <vt:lpstr>'фін бюджет 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ekose</dc:creator>
  <cp:lastModifiedBy>Y Y</cp:lastModifiedBy>
  <cp:lastPrinted>2026-03-18T09:36:57Z</cp:lastPrinted>
  <dcterms:created xsi:type="dcterms:W3CDTF">2015-06-05T18:19:34Z</dcterms:created>
  <dcterms:modified xsi:type="dcterms:W3CDTF">2026-03-18T09:40:43Z</dcterms:modified>
</cp:coreProperties>
</file>