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ПОЧТА\"/>
    </mc:Choice>
  </mc:AlternateContent>
  <bookViews>
    <workbookView xWindow="-120" yWindow="-120" windowWidth="29040" windowHeight="15720" firstSheet="3" activeTab="5"/>
  </bookViews>
  <sheets>
    <sheet name="дод 1 Доходи" sheetId="31" r:id="rId1"/>
    <sheet name="дод 2 Джерела" sheetId="23" r:id="rId2"/>
    <sheet name="дод 3 Видатки" sheetId="19" r:id="rId3"/>
    <sheet name="дод 4 Кредитування" sheetId="28" r:id="rId4"/>
    <sheet name="дод 5 Трансферти" sheetId="25" r:id="rId5"/>
    <sheet name="дод 6 Капітальні вкладення" sheetId="29" r:id="rId6"/>
    <sheet name="дод 7 Програми" sheetId="27" r:id="rId7"/>
    <sheet name="дод 8 Бюджет розвитку" sheetId="30" r:id="rId8"/>
    <sheet name="дод 9 ФОНС " sheetId="26" r:id="rId9"/>
  </sheets>
  <externalReferences>
    <externalReference r:id="rId10"/>
  </externalReferences>
  <definedNames>
    <definedName name="_xlnm.Print_Titles" localSheetId="0">'дод 1 Доходи'!$11:$14</definedName>
    <definedName name="_xlnm.Print_Titles" localSheetId="2">'дод 3 Видатки'!$12:$16</definedName>
    <definedName name="_xlnm.Print_Titles" localSheetId="5">'дод 6 Капітальні вкладення'!$16:$18</definedName>
    <definedName name="_xlnm.Print_Titles" localSheetId="7">'дод 8 Бюджет розвитку'!$13:$15</definedName>
    <definedName name="_xlnm.Print_Area" localSheetId="0">'дод 1 Доходи'!$A$1:$K$97</definedName>
    <definedName name="_xlnm.Print_Area" localSheetId="1">'дод 2 Джерела'!$A$1:$J$32</definedName>
    <definedName name="_xlnm.Print_Area" localSheetId="2">'дод 3 Видатки'!$A$1:$M$359</definedName>
    <definedName name="_xlnm.Print_Area" localSheetId="4">'дод 5 Трансферти'!$A$1:$F$82</definedName>
    <definedName name="_xlnm.Print_Area" localSheetId="5">'дод 6 Капітальні вкладення'!$A$1:$K$25</definedName>
    <definedName name="_xlnm.Print_Area" localSheetId="6">'дод 7 Програми'!$A$1:$O$127</definedName>
    <definedName name="_xlnm.Print_Area" localSheetId="7">'дод 8 Бюджет розвитку'!$A$1:$L$111</definedName>
    <definedName name="_xlnm.Print_Area" localSheetId="8">'дод 9 ФОНС '!$A$1:$H$28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09" i="19" l="1"/>
  <c r="M111" i="19"/>
  <c r="M112" i="19"/>
  <c r="F47" i="25" l="1"/>
  <c r="F43" i="25"/>
  <c r="E92" i="31" l="1"/>
  <c r="D92" i="31"/>
  <c r="C92" i="31"/>
  <c r="J91" i="31"/>
  <c r="D91" i="31" s="1"/>
  <c r="H90" i="31"/>
  <c r="D90" i="31"/>
  <c r="E90" i="31" s="1"/>
  <c r="C90" i="31"/>
  <c r="H89" i="31"/>
  <c r="E89" i="31" s="1"/>
  <c r="D89" i="31"/>
  <c r="C89" i="31"/>
  <c r="H88" i="31"/>
  <c r="D88" i="31"/>
  <c r="E88" i="31" s="1"/>
  <c r="C88" i="31"/>
  <c r="H87" i="31"/>
  <c r="D87" i="31"/>
  <c r="E87" i="31" s="1"/>
  <c r="C87" i="31"/>
  <c r="H86" i="31"/>
  <c r="D86" i="31"/>
  <c r="E86" i="31" s="1"/>
  <c r="C86" i="31"/>
  <c r="H85" i="31"/>
  <c r="D85" i="31"/>
  <c r="C85" i="31"/>
  <c r="H84" i="31"/>
  <c r="D84" i="31"/>
  <c r="E84" i="31" s="1"/>
  <c r="C84" i="31"/>
  <c r="D83" i="31"/>
  <c r="H82" i="31"/>
  <c r="D82" i="31"/>
  <c r="C82" i="31"/>
  <c r="E82" i="31" s="1"/>
  <c r="H81" i="31"/>
  <c r="D81" i="31"/>
  <c r="E81" i="31" s="1"/>
  <c r="C81" i="31"/>
  <c r="G80" i="31"/>
  <c r="F80" i="31"/>
  <c r="C80" i="31" s="1"/>
  <c r="D80" i="31"/>
  <c r="E79" i="31"/>
  <c r="D79" i="31"/>
  <c r="C79" i="31"/>
  <c r="H78" i="31"/>
  <c r="E78" i="31" s="1"/>
  <c r="G78" i="31"/>
  <c r="D78" i="31" s="1"/>
  <c r="F78" i="31"/>
  <c r="C78" i="31" s="1"/>
  <c r="K77" i="31"/>
  <c r="D77" i="31"/>
  <c r="C77" i="31"/>
  <c r="H76" i="31"/>
  <c r="E76" i="31"/>
  <c r="D76" i="31"/>
  <c r="C76" i="31"/>
  <c r="H75" i="31"/>
  <c r="D75" i="31"/>
  <c r="C75" i="31"/>
  <c r="K74" i="31"/>
  <c r="H74" i="31"/>
  <c r="D74" i="31"/>
  <c r="E74" i="31" s="1"/>
  <c r="C74" i="31"/>
  <c r="K73" i="31"/>
  <c r="H73" i="31"/>
  <c r="D73" i="31"/>
  <c r="C73" i="31"/>
  <c r="H72" i="31"/>
  <c r="D72" i="31"/>
  <c r="E72" i="31" s="1"/>
  <c r="C72" i="31"/>
  <c r="J71" i="31"/>
  <c r="J68" i="31" s="1"/>
  <c r="I71" i="31"/>
  <c r="I68" i="31" s="1"/>
  <c r="I67" i="31" s="1"/>
  <c r="H71" i="31"/>
  <c r="G71" i="31"/>
  <c r="F71" i="31"/>
  <c r="H70" i="31"/>
  <c r="D70" i="31"/>
  <c r="C70" i="31"/>
  <c r="G69" i="31"/>
  <c r="D69" i="31" s="1"/>
  <c r="F69" i="31"/>
  <c r="C69" i="31" s="1"/>
  <c r="K65" i="31"/>
  <c r="D65" i="31"/>
  <c r="C65" i="31"/>
  <c r="C63" i="31" s="1"/>
  <c r="D64" i="31"/>
  <c r="C64" i="31"/>
  <c r="J63" i="31"/>
  <c r="I63" i="31"/>
  <c r="D63" i="31"/>
  <c r="D62" i="31"/>
  <c r="K61" i="31"/>
  <c r="D61" i="31"/>
  <c r="C61" i="31"/>
  <c r="J60" i="31"/>
  <c r="I60" i="31"/>
  <c r="C60" i="31" s="1"/>
  <c r="D60" i="31"/>
  <c r="E60" i="31" s="1"/>
  <c r="H58" i="31"/>
  <c r="E58" i="31" s="1"/>
  <c r="D58" i="31"/>
  <c r="C58" i="31"/>
  <c r="D57" i="31"/>
  <c r="C57" i="31"/>
  <c r="H56" i="31"/>
  <c r="E56" i="31" s="1"/>
  <c r="D56" i="31"/>
  <c r="C56" i="31"/>
  <c r="J55" i="31"/>
  <c r="I55" i="31"/>
  <c r="I42" i="31" s="1"/>
  <c r="G55" i="31"/>
  <c r="D55" i="31" s="1"/>
  <c r="F55" i="31"/>
  <c r="H54" i="31"/>
  <c r="D54" i="31"/>
  <c r="E54" i="31" s="1"/>
  <c r="C54" i="31"/>
  <c r="H53" i="31"/>
  <c r="D53" i="31"/>
  <c r="C53" i="31"/>
  <c r="D52" i="31"/>
  <c r="C52" i="31"/>
  <c r="H51" i="31"/>
  <c r="D51" i="31"/>
  <c r="C51" i="31"/>
  <c r="H50" i="31"/>
  <c r="D50" i="31"/>
  <c r="C50" i="31"/>
  <c r="E50" i="31" s="1"/>
  <c r="H49" i="31"/>
  <c r="D49" i="31"/>
  <c r="E49" i="31" s="1"/>
  <c r="C49" i="31"/>
  <c r="G48" i="31"/>
  <c r="H48" i="31" s="1"/>
  <c r="F48" i="31"/>
  <c r="C48" i="31" s="1"/>
  <c r="D48" i="31"/>
  <c r="E48" i="31" s="1"/>
  <c r="H47" i="31"/>
  <c r="D47" i="31"/>
  <c r="C47" i="31"/>
  <c r="D46" i="31"/>
  <c r="C46" i="31"/>
  <c r="H45" i="31"/>
  <c r="D45" i="31"/>
  <c r="E45" i="31" s="1"/>
  <c r="C45" i="31"/>
  <c r="H44" i="31"/>
  <c r="D44" i="31"/>
  <c r="C44" i="31"/>
  <c r="E44" i="31" s="1"/>
  <c r="G43" i="31"/>
  <c r="D43" i="31" s="1"/>
  <c r="F43" i="31"/>
  <c r="F42" i="31" s="1"/>
  <c r="J42" i="31"/>
  <c r="K42" i="31" s="1"/>
  <c r="G42" i="31"/>
  <c r="D42" i="31" s="1"/>
  <c r="K41" i="31"/>
  <c r="D41" i="31"/>
  <c r="E41" i="31" s="1"/>
  <c r="C41" i="31"/>
  <c r="J40" i="31"/>
  <c r="I40" i="31"/>
  <c r="D40" i="31"/>
  <c r="C40" i="31"/>
  <c r="H39" i="31"/>
  <c r="D39" i="31"/>
  <c r="E39" i="31" s="1"/>
  <c r="C39" i="31"/>
  <c r="E38" i="31"/>
  <c r="D38" i="31"/>
  <c r="C38" i="31"/>
  <c r="H37" i="31"/>
  <c r="E37" i="31"/>
  <c r="D37" i="31"/>
  <c r="C37" i="31"/>
  <c r="H36" i="31"/>
  <c r="D36" i="31"/>
  <c r="C36" i="31"/>
  <c r="E36" i="31" s="1"/>
  <c r="H35" i="31"/>
  <c r="D35" i="31"/>
  <c r="C35" i="31"/>
  <c r="H34" i="31"/>
  <c r="D34" i="31"/>
  <c r="C34" i="31"/>
  <c r="H33" i="31"/>
  <c r="D33" i="31"/>
  <c r="C33" i="31"/>
  <c r="G32" i="31"/>
  <c r="D32" i="31" s="1"/>
  <c r="E32" i="31" s="1"/>
  <c r="F32" i="31"/>
  <c r="C32" i="31"/>
  <c r="H31" i="31"/>
  <c r="D31" i="31"/>
  <c r="C31" i="31"/>
  <c r="H30" i="31"/>
  <c r="D30" i="31"/>
  <c r="E30" i="31" s="1"/>
  <c r="C30" i="31"/>
  <c r="H29" i="31"/>
  <c r="D29" i="31"/>
  <c r="C29" i="31"/>
  <c r="H28" i="31"/>
  <c r="E28" i="31"/>
  <c r="D28" i="31"/>
  <c r="C28" i="31"/>
  <c r="G27" i="31"/>
  <c r="H27" i="31" s="1"/>
  <c r="F27" i="31"/>
  <c r="F26" i="31" s="1"/>
  <c r="C26" i="31" s="1"/>
  <c r="D27" i="31"/>
  <c r="C27" i="31"/>
  <c r="E27" i="31" s="1"/>
  <c r="G26" i="31"/>
  <c r="D26" i="31" s="1"/>
  <c r="H24" i="31"/>
  <c r="D24" i="31"/>
  <c r="C24" i="31"/>
  <c r="E24" i="31" s="1"/>
  <c r="H23" i="31"/>
  <c r="D23" i="31"/>
  <c r="E23" i="31" s="1"/>
  <c r="C23" i="31"/>
  <c r="H22" i="31"/>
  <c r="D22" i="31"/>
  <c r="C22" i="31"/>
  <c r="E22" i="31" s="1"/>
  <c r="G21" i="31"/>
  <c r="D21" i="31" s="1"/>
  <c r="F21" i="31"/>
  <c r="D20" i="31"/>
  <c r="G19" i="31"/>
  <c r="D19" i="31" s="1"/>
  <c r="H18" i="31"/>
  <c r="E18" i="31"/>
  <c r="D18" i="31"/>
  <c r="C18" i="31"/>
  <c r="H17" i="31"/>
  <c r="D17" i="31"/>
  <c r="C17" i="31"/>
  <c r="G16" i="31"/>
  <c r="F16" i="31"/>
  <c r="C16" i="31"/>
  <c r="J15" i="31"/>
  <c r="K15" i="31" s="1"/>
  <c r="I15" i="31"/>
  <c r="F70" i="25"/>
  <c r="E69" i="25"/>
  <c r="F69" i="25" s="1"/>
  <c r="D69" i="25"/>
  <c r="F53" i="25"/>
  <c r="E52" i="25"/>
  <c r="D52" i="25"/>
  <c r="D41" i="25"/>
  <c r="D40" i="25" s="1"/>
  <c r="E40" i="25"/>
  <c r="E69" i="31" l="1"/>
  <c r="E85" i="31"/>
  <c r="E31" i="31"/>
  <c r="H69" i="31"/>
  <c r="E73" i="31"/>
  <c r="E75" i="31"/>
  <c r="G15" i="31"/>
  <c r="H32" i="31"/>
  <c r="E53" i="31"/>
  <c r="E65" i="31"/>
  <c r="E77" i="31"/>
  <c r="E29" i="31"/>
  <c r="E33" i="31"/>
  <c r="E63" i="31"/>
  <c r="K40" i="31"/>
  <c r="E51" i="31"/>
  <c r="F68" i="31"/>
  <c r="E70" i="31"/>
  <c r="K71" i="31"/>
  <c r="H80" i="31"/>
  <c r="E35" i="31"/>
  <c r="F52" i="25"/>
  <c r="E34" i="31"/>
  <c r="E47" i="31"/>
  <c r="K60" i="31"/>
  <c r="K63" i="31"/>
  <c r="E17" i="31"/>
  <c r="E40" i="31"/>
  <c r="G25" i="31"/>
  <c r="D25" i="31" s="1"/>
  <c r="C71" i="31"/>
  <c r="C55" i="31"/>
  <c r="E61" i="31"/>
  <c r="C42" i="31"/>
  <c r="E42" i="31" s="1"/>
  <c r="E80" i="31"/>
  <c r="E26" i="31"/>
  <c r="I66" i="31"/>
  <c r="I93" i="31" s="1"/>
  <c r="D15" i="31"/>
  <c r="G66" i="31"/>
  <c r="J67" i="31"/>
  <c r="K67" i="31" s="1"/>
  <c r="K68" i="31"/>
  <c r="H16" i="31"/>
  <c r="H42" i="31"/>
  <c r="H21" i="31"/>
  <c r="E21" i="31" s="1"/>
  <c r="F25" i="31"/>
  <c r="C25" i="31" s="1"/>
  <c r="E25" i="31" s="1"/>
  <c r="H26" i="31"/>
  <c r="H43" i="31"/>
  <c r="H55" i="31"/>
  <c r="E55" i="31" s="1"/>
  <c r="G68" i="31"/>
  <c r="D71" i="31"/>
  <c r="D16" i="31"/>
  <c r="E16" i="31" s="1"/>
  <c r="C21" i="31"/>
  <c r="C43" i="31"/>
  <c r="E43" i="31" s="1"/>
  <c r="J66" i="31"/>
  <c r="F41" i="25"/>
  <c r="F40" i="25"/>
  <c r="F31" i="25"/>
  <c r="D30" i="25"/>
  <c r="F23" i="25"/>
  <c r="E22" i="25"/>
  <c r="D22" i="25"/>
  <c r="E71" i="31" l="1"/>
  <c r="F67" i="31"/>
  <c r="C67" i="31" s="1"/>
  <c r="C68" i="31"/>
  <c r="D66" i="31"/>
  <c r="H25" i="31"/>
  <c r="F15" i="31"/>
  <c r="H68" i="31"/>
  <c r="G67" i="31"/>
  <c r="D68" i="31"/>
  <c r="J93" i="31"/>
  <c r="K93" i="31" s="1"/>
  <c r="K66" i="31"/>
  <c r="F22" i="25"/>
  <c r="J19" i="23"/>
  <c r="J27" i="23"/>
  <c r="I27" i="23"/>
  <c r="H27" i="23"/>
  <c r="G27" i="23"/>
  <c r="F20" i="23"/>
  <c r="F22" i="23"/>
  <c r="E22" i="23"/>
  <c r="E68" i="31" l="1"/>
  <c r="D67" i="31"/>
  <c r="E67" i="31" s="1"/>
  <c r="H67" i="31"/>
  <c r="C15" i="31"/>
  <c r="E15" i="31" s="1"/>
  <c r="F66" i="31"/>
  <c r="H15" i="31"/>
  <c r="G93" i="31"/>
  <c r="L63" i="30"/>
  <c r="D93" i="31" l="1"/>
  <c r="C66" i="31"/>
  <c r="E66" i="31" s="1"/>
  <c r="F93" i="31"/>
  <c r="C93" i="31" s="1"/>
  <c r="H66" i="31"/>
  <c r="H21" i="26"/>
  <c r="H19" i="26"/>
  <c r="G19" i="26"/>
  <c r="F19" i="26"/>
  <c r="H18" i="26"/>
  <c r="G17" i="26"/>
  <c r="G16" i="26" s="1"/>
  <c r="F17" i="26"/>
  <c r="F16" i="26" s="1"/>
  <c r="F15" i="26" s="1"/>
  <c r="F14" i="26" s="1"/>
  <c r="F21" i="26" s="1"/>
  <c r="K106" i="30"/>
  <c r="K105" i="30" s="1"/>
  <c r="J106" i="30"/>
  <c r="J105" i="30" s="1"/>
  <c r="K103" i="30"/>
  <c r="K102" i="30" s="1"/>
  <c r="J103" i="30"/>
  <c r="J102" i="30" s="1"/>
  <c r="K100" i="30"/>
  <c r="K99" i="30" s="1"/>
  <c r="J100" i="30"/>
  <c r="J99" i="30" s="1"/>
  <c r="J98" i="30"/>
  <c r="J97" i="30" s="1"/>
  <c r="J96" i="30" s="1"/>
  <c r="K97" i="30"/>
  <c r="K96" i="30" s="1"/>
  <c r="J95" i="30"/>
  <c r="H95" i="30"/>
  <c r="G95" i="30"/>
  <c r="K94" i="30"/>
  <c r="J94" i="30"/>
  <c r="H94" i="30"/>
  <c r="G94" i="30"/>
  <c r="L92" i="30"/>
  <c r="K90" i="30"/>
  <c r="L90" i="30" s="1"/>
  <c r="L87" i="30"/>
  <c r="J87" i="30"/>
  <c r="I87" i="30"/>
  <c r="H84" i="30"/>
  <c r="I84" i="30" s="1"/>
  <c r="K80" i="30"/>
  <c r="K78" i="30"/>
  <c r="L78" i="30" s="1"/>
  <c r="J78" i="30"/>
  <c r="J77" i="30"/>
  <c r="H75" i="30"/>
  <c r="J74" i="30"/>
  <c r="H74" i="30"/>
  <c r="L74" i="30" s="1"/>
  <c r="L72" i="30"/>
  <c r="J70" i="30"/>
  <c r="H70" i="30"/>
  <c r="I70" i="30" s="1"/>
  <c r="H67" i="30"/>
  <c r="G67" i="30"/>
  <c r="I63" i="30"/>
  <c r="J61" i="30"/>
  <c r="I60" i="30"/>
  <c r="L59" i="30"/>
  <c r="J59" i="30"/>
  <c r="H57" i="30"/>
  <c r="H56" i="30" s="1"/>
  <c r="I56" i="30" s="1"/>
  <c r="J56" i="30"/>
  <c r="H55" i="30"/>
  <c r="J54" i="30"/>
  <c r="J52" i="30" s="1"/>
  <c r="J51" i="30" s="1"/>
  <c r="H54" i="30"/>
  <c r="I54" i="30" s="1"/>
  <c r="J53" i="30"/>
  <c r="L53" i="30" s="1"/>
  <c r="K48" i="30"/>
  <c r="K47" i="30" s="1"/>
  <c r="J48" i="30"/>
  <c r="J47" i="30" s="1"/>
  <c r="J46" i="30"/>
  <c r="J43" i="30" s="1"/>
  <c r="J42" i="30" s="1"/>
  <c r="K43" i="30"/>
  <c r="K42" i="30" s="1"/>
  <c r="K40" i="30"/>
  <c r="K39" i="30" s="1"/>
  <c r="J40" i="30"/>
  <c r="J39" i="30" s="1"/>
  <c r="J38" i="30"/>
  <c r="J37" i="30"/>
  <c r="J36" i="30"/>
  <c r="K35" i="30"/>
  <c r="K34" i="30" s="1"/>
  <c r="J30" i="30"/>
  <c r="J29" i="30"/>
  <c r="J28" i="30"/>
  <c r="J27" i="30"/>
  <c r="K26" i="30"/>
  <c r="K25" i="30" s="1"/>
  <c r="J24" i="30"/>
  <c r="J23" i="30"/>
  <c r="J20" i="30"/>
  <c r="J19" i="30"/>
  <c r="J18" i="30"/>
  <c r="K17" i="30"/>
  <c r="K16" i="30" s="1"/>
  <c r="G15" i="26" l="1"/>
  <c r="G14" i="26" s="1"/>
  <c r="E93" i="31"/>
  <c r="H93" i="31"/>
  <c r="J35" i="30"/>
  <c r="J34" i="30" s="1"/>
  <c r="K52" i="30"/>
  <c r="K51" i="30" s="1"/>
  <c r="K108" i="30" s="1"/>
  <c r="L95" i="30"/>
  <c r="J26" i="30"/>
  <c r="J25" i="30" s="1"/>
  <c r="L94" i="30"/>
  <c r="J17" i="30"/>
  <c r="J16" i="30" s="1"/>
  <c r="G21" i="26"/>
  <c r="I74" i="30"/>
  <c r="I95" i="30"/>
  <c r="I94" i="30"/>
  <c r="J108" i="30" l="1"/>
  <c r="I88" i="19"/>
  <c r="G49" i="19" l="1"/>
  <c r="L49" i="19"/>
  <c r="K49" i="19"/>
  <c r="L351" i="19"/>
  <c r="M351" i="19" s="1"/>
  <c r="K351" i="19"/>
  <c r="I350" i="19"/>
  <c r="L350" i="19" s="1"/>
  <c r="H350" i="19"/>
  <c r="K350" i="19" s="1"/>
  <c r="L337" i="19"/>
  <c r="M337" i="19" s="1"/>
  <c r="K337" i="19"/>
  <c r="J337" i="19"/>
  <c r="I336" i="19"/>
  <c r="H336" i="19"/>
  <c r="H335" i="19" s="1"/>
  <c r="K335" i="19" s="1"/>
  <c r="I319" i="19"/>
  <c r="I317" i="19" s="1"/>
  <c r="L323" i="19"/>
  <c r="K323" i="19"/>
  <c r="L322" i="19"/>
  <c r="I322" i="19"/>
  <c r="H322" i="19"/>
  <c r="K322" i="19" s="1"/>
  <c r="J323" i="19"/>
  <c r="J322" i="19" s="1"/>
  <c r="H285" i="19"/>
  <c r="I285" i="19"/>
  <c r="J264" i="19"/>
  <c r="J266" i="19"/>
  <c r="J277" i="19"/>
  <c r="J278" i="19"/>
  <c r="L253" i="19"/>
  <c r="L252" i="19"/>
  <c r="K253" i="19"/>
  <c r="K252" i="19"/>
  <c r="I234" i="19"/>
  <c r="H234" i="19"/>
  <c r="M49" i="19" l="1"/>
  <c r="M323" i="19"/>
  <c r="I347" i="19"/>
  <c r="J336" i="19"/>
  <c r="M322" i="19"/>
  <c r="K336" i="19"/>
  <c r="M350" i="19"/>
  <c r="H319" i="19"/>
  <c r="H317" i="19" s="1"/>
  <c r="L336" i="19"/>
  <c r="I335" i="19"/>
  <c r="H347" i="19"/>
  <c r="I207" i="19"/>
  <c r="M336" i="19" l="1"/>
  <c r="J335" i="19"/>
  <c r="L335" i="19"/>
  <c r="M335" i="19" s="1"/>
  <c r="L173" i="19"/>
  <c r="L174" i="19"/>
  <c r="L170" i="19"/>
  <c r="L171" i="19"/>
  <c r="L172" i="19"/>
  <c r="K173" i="19"/>
  <c r="K174" i="19"/>
  <c r="J173" i="19"/>
  <c r="J174" i="19"/>
  <c r="I172" i="19"/>
  <c r="H172" i="19"/>
  <c r="K172" i="19" s="1"/>
  <c r="L131" i="19"/>
  <c r="L132" i="19"/>
  <c r="K131" i="19"/>
  <c r="K132" i="19"/>
  <c r="J131" i="19"/>
  <c r="J132" i="19"/>
  <c r="I130" i="19"/>
  <c r="H130" i="19"/>
  <c r="K130" i="19" s="1"/>
  <c r="J130" i="19" l="1"/>
  <c r="J172" i="19"/>
  <c r="L130" i="19"/>
  <c r="M130" i="19" s="1"/>
  <c r="M172" i="19"/>
  <c r="M173" i="19"/>
  <c r="M174" i="19"/>
  <c r="M132" i="19"/>
  <c r="M131" i="19"/>
  <c r="N123" i="27"/>
  <c r="M123" i="27"/>
  <c r="L123" i="27"/>
  <c r="N122" i="27"/>
  <c r="M122" i="27"/>
  <c r="L122" i="27"/>
  <c r="N121" i="27"/>
  <c r="M121" i="27"/>
  <c r="L121" i="27"/>
  <c r="K120" i="27"/>
  <c r="K119" i="27" s="1"/>
  <c r="J120" i="27"/>
  <c r="J119" i="27" s="1"/>
  <c r="I120" i="27"/>
  <c r="I119" i="27" s="1"/>
  <c r="H120" i="27"/>
  <c r="N120" i="27" s="1"/>
  <c r="G120" i="27"/>
  <c r="G119" i="27" s="1"/>
  <c r="N118" i="27"/>
  <c r="M118" i="27"/>
  <c r="L118" i="27"/>
  <c r="N117" i="27"/>
  <c r="M117" i="27"/>
  <c r="L117" i="27"/>
  <c r="L116" i="27" s="1"/>
  <c r="J117" i="27"/>
  <c r="J116" i="27" s="1"/>
  <c r="J115" i="27" s="1"/>
  <c r="K116" i="27"/>
  <c r="K115" i="27" s="1"/>
  <c r="L115" i="27" s="1"/>
  <c r="I116" i="27"/>
  <c r="I115" i="27" s="1"/>
  <c r="H116" i="27"/>
  <c r="H115" i="27" s="1"/>
  <c r="G116" i="27"/>
  <c r="N114" i="27"/>
  <c r="M114" i="27"/>
  <c r="L114" i="27"/>
  <c r="L113" i="27" s="1"/>
  <c r="L112" i="27" s="1"/>
  <c r="J114" i="27"/>
  <c r="J113" i="27" s="1"/>
  <c r="J112" i="27" s="1"/>
  <c r="K113" i="27"/>
  <c r="I113" i="27"/>
  <c r="I112" i="27" s="1"/>
  <c r="H113" i="27"/>
  <c r="H112" i="27" s="1"/>
  <c r="G113" i="27"/>
  <c r="G112" i="27" s="1"/>
  <c r="N111" i="27"/>
  <c r="M111" i="27"/>
  <c r="L111" i="27"/>
  <c r="J111" i="27"/>
  <c r="N110" i="27"/>
  <c r="M110" i="27"/>
  <c r="J110" i="27"/>
  <c r="N109" i="27"/>
  <c r="M109" i="27"/>
  <c r="L109" i="27"/>
  <c r="J109" i="27"/>
  <c r="N108" i="27"/>
  <c r="M108" i="27"/>
  <c r="L108" i="27"/>
  <c r="J108" i="27"/>
  <c r="N107" i="27"/>
  <c r="M107" i="27"/>
  <c r="L107" i="27"/>
  <c r="J107" i="27"/>
  <c r="N106" i="27"/>
  <c r="M106" i="27"/>
  <c r="L106" i="27"/>
  <c r="J106" i="27"/>
  <c r="N105" i="27"/>
  <c r="M105" i="27"/>
  <c r="L105" i="27"/>
  <c r="J105" i="27"/>
  <c r="N104" i="27"/>
  <c r="M104" i="27"/>
  <c r="L104" i="27"/>
  <c r="J104" i="27"/>
  <c r="N103" i="27"/>
  <c r="M103" i="27"/>
  <c r="L103" i="27"/>
  <c r="K102" i="27"/>
  <c r="K101" i="27" s="1"/>
  <c r="N101" i="27" s="1"/>
  <c r="I102" i="27"/>
  <c r="M102" i="27" s="1"/>
  <c r="N100" i="27"/>
  <c r="M100" i="27"/>
  <c r="N99" i="27"/>
  <c r="M99" i="27"/>
  <c r="N98" i="27"/>
  <c r="M98" i="27"/>
  <c r="J98" i="27"/>
  <c r="N97" i="27"/>
  <c r="M97" i="27"/>
  <c r="J97" i="27"/>
  <c r="N96" i="27"/>
  <c r="M96" i="27"/>
  <c r="J96" i="27"/>
  <c r="N95" i="27"/>
  <c r="M95" i="27"/>
  <c r="J95" i="27"/>
  <c r="N94" i="27"/>
  <c r="M94" i="27"/>
  <c r="J94" i="27"/>
  <c r="N93" i="27"/>
  <c r="M93" i="27"/>
  <c r="L93" i="27"/>
  <c r="J93" i="27"/>
  <c r="N92" i="27"/>
  <c r="M92" i="27"/>
  <c r="L92" i="27"/>
  <c r="J92" i="27"/>
  <c r="N91" i="27"/>
  <c r="M91" i="27"/>
  <c r="J91" i="27"/>
  <c r="N90" i="27"/>
  <c r="M90" i="27"/>
  <c r="N89" i="27"/>
  <c r="M89" i="27"/>
  <c r="J89" i="27"/>
  <c r="K88" i="27"/>
  <c r="K87" i="27" s="1"/>
  <c r="I88" i="27"/>
  <c r="I87" i="27" s="1"/>
  <c r="H88" i="27"/>
  <c r="H87" i="27" s="1"/>
  <c r="G88" i="27"/>
  <c r="G87" i="27" s="1"/>
  <c r="N86" i="27"/>
  <c r="M86" i="27"/>
  <c r="N85" i="27"/>
  <c r="M85" i="27"/>
  <c r="N84" i="27"/>
  <c r="M84" i="27"/>
  <c r="L84" i="27"/>
  <c r="L74" i="27" s="1"/>
  <c r="L73" i="27" s="1"/>
  <c r="J84" i="27"/>
  <c r="J74" i="27" s="1"/>
  <c r="J73" i="27" s="1"/>
  <c r="N83" i="27"/>
  <c r="M83" i="27"/>
  <c r="N82" i="27"/>
  <c r="M82" i="27"/>
  <c r="N81" i="27"/>
  <c r="M81" i="27"/>
  <c r="N80" i="27"/>
  <c r="M80" i="27"/>
  <c r="N79" i="27"/>
  <c r="M79" i="27"/>
  <c r="N78" i="27"/>
  <c r="M78" i="27"/>
  <c r="N77" i="27"/>
  <c r="M77" i="27"/>
  <c r="N76" i="27"/>
  <c r="M76" i="27"/>
  <c r="O76" i="27" s="1"/>
  <c r="N75" i="27"/>
  <c r="M75" i="27"/>
  <c r="K74" i="27"/>
  <c r="K73" i="27" s="1"/>
  <c r="I74" i="27"/>
  <c r="I73" i="27" s="1"/>
  <c r="H74" i="27"/>
  <c r="G74" i="27"/>
  <c r="G73" i="27" s="1"/>
  <c r="N72" i="27"/>
  <c r="M72" i="27"/>
  <c r="L71" i="27"/>
  <c r="L70" i="27" s="1"/>
  <c r="K71" i="27"/>
  <c r="K70" i="27" s="1"/>
  <c r="J71" i="27"/>
  <c r="J70" i="27" s="1"/>
  <c r="I71" i="27"/>
  <c r="I70" i="27" s="1"/>
  <c r="H71" i="27"/>
  <c r="H70" i="27" s="1"/>
  <c r="G71" i="27"/>
  <c r="G70" i="27" s="1"/>
  <c r="N69" i="27"/>
  <c r="M69" i="27"/>
  <c r="N68" i="27"/>
  <c r="M68" i="27"/>
  <c r="N67" i="27"/>
  <c r="M67" i="27"/>
  <c r="N66" i="27"/>
  <c r="M66" i="27"/>
  <c r="N65" i="27"/>
  <c r="M65" i="27"/>
  <c r="N64" i="27"/>
  <c r="M64" i="27"/>
  <c r="N63" i="27"/>
  <c r="M63" i="27"/>
  <c r="N62" i="27"/>
  <c r="M62" i="27"/>
  <c r="L61" i="27"/>
  <c r="L60" i="27" s="1"/>
  <c r="K61" i="27"/>
  <c r="K60" i="27" s="1"/>
  <c r="J61" i="27"/>
  <c r="J60" i="27" s="1"/>
  <c r="I61" i="27"/>
  <c r="I60" i="27" s="1"/>
  <c r="H61" i="27"/>
  <c r="H60" i="27" s="1"/>
  <c r="G61" i="27"/>
  <c r="N59" i="27"/>
  <c r="M59" i="27"/>
  <c r="N58" i="27"/>
  <c r="M58" i="27"/>
  <c r="N57" i="27"/>
  <c r="M57" i="27"/>
  <c r="N56" i="27"/>
  <c r="M56" i="27"/>
  <c r="N55" i="27"/>
  <c r="M55" i="27"/>
  <c r="N54" i="27"/>
  <c r="M54" i="27"/>
  <c r="N53" i="27"/>
  <c r="M53" i="27"/>
  <c r="N52" i="27"/>
  <c r="M52" i="27"/>
  <c r="N51" i="27"/>
  <c r="M51" i="27"/>
  <c r="L51" i="27"/>
  <c r="N50" i="27"/>
  <c r="M50" i="27"/>
  <c r="L50" i="27"/>
  <c r="N49" i="27"/>
  <c r="M49" i="27"/>
  <c r="N48" i="27"/>
  <c r="M48" i="27"/>
  <c r="N47" i="27"/>
  <c r="M47" i="27"/>
  <c r="N46" i="27"/>
  <c r="M46" i="27"/>
  <c r="N45" i="27"/>
  <c r="M45" i="27"/>
  <c r="N44" i="27"/>
  <c r="M44" i="27"/>
  <c r="N43" i="27"/>
  <c r="M43" i="27"/>
  <c r="K42" i="27"/>
  <c r="K41" i="27" s="1"/>
  <c r="J42" i="27"/>
  <c r="J41" i="27" s="1"/>
  <c r="I42" i="27"/>
  <c r="I41" i="27" s="1"/>
  <c r="H42" i="27"/>
  <c r="H41" i="27" s="1"/>
  <c r="G42" i="27"/>
  <c r="G41" i="27" s="1"/>
  <c r="N40" i="27"/>
  <c r="M40" i="27"/>
  <c r="L40" i="27"/>
  <c r="J40" i="27"/>
  <c r="N39" i="27"/>
  <c r="M39" i="27"/>
  <c r="L39" i="27"/>
  <c r="J39" i="27"/>
  <c r="N38" i="27"/>
  <c r="M38" i="27"/>
  <c r="L38" i="27"/>
  <c r="J38" i="27"/>
  <c r="N37" i="27"/>
  <c r="M37" i="27"/>
  <c r="L37" i="27"/>
  <c r="J37" i="27"/>
  <c r="N36" i="27"/>
  <c r="M36" i="27"/>
  <c r="O36" i="27" s="1"/>
  <c r="L36" i="27"/>
  <c r="J36" i="27"/>
  <c r="N35" i="27"/>
  <c r="M35" i="27"/>
  <c r="N34" i="27"/>
  <c r="M34" i="27"/>
  <c r="N33" i="27"/>
  <c r="M33" i="27"/>
  <c r="N32" i="27"/>
  <c r="M32" i="27"/>
  <c r="N31" i="27"/>
  <c r="M31" i="27"/>
  <c r="N30" i="27"/>
  <c r="M30" i="27"/>
  <c r="N29" i="27"/>
  <c r="M29" i="27"/>
  <c r="L29" i="27"/>
  <c r="J29" i="27"/>
  <c r="N28" i="27"/>
  <c r="M28" i="27"/>
  <c r="L28" i="27"/>
  <c r="J28" i="27"/>
  <c r="N27" i="27"/>
  <c r="M27" i="27"/>
  <c r="L27" i="27"/>
  <c r="J27" i="27"/>
  <c r="N26" i="27"/>
  <c r="M26" i="27"/>
  <c r="L26" i="27"/>
  <c r="J26" i="27"/>
  <c r="N25" i="27"/>
  <c r="M25" i="27"/>
  <c r="N24" i="27"/>
  <c r="M24" i="27"/>
  <c r="N23" i="27"/>
  <c r="M23" i="27"/>
  <c r="N22" i="27"/>
  <c r="M22" i="27"/>
  <c r="N21" i="27"/>
  <c r="M21" i="27"/>
  <c r="K20" i="27"/>
  <c r="K19" i="27" s="1"/>
  <c r="I20" i="27"/>
  <c r="I19" i="27" s="1"/>
  <c r="H20" i="27"/>
  <c r="H19" i="27" s="1"/>
  <c r="G20" i="27"/>
  <c r="G19" i="27" s="1"/>
  <c r="O23" i="27" l="1"/>
  <c r="O31" i="27"/>
  <c r="O39" i="27"/>
  <c r="O79" i="27"/>
  <c r="O21" i="27"/>
  <c r="L102" i="27"/>
  <c r="L101" i="27" s="1"/>
  <c r="O59" i="27"/>
  <c r="O84" i="27"/>
  <c r="H119" i="27"/>
  <c r="O56" i="27"/>
  <c r="O95" i="27"/>
  <c r="N102" i="27"/>
  <c r="M119" i="27"/>
  <c r="O46" i="27"/>
  <c r="O68" i="27"/>
  <c r="O117" i="27"/>
  <c r="O122" i="27"/>
  <c r="O38" i="27"/>
  <c r="O47" i="27"/>
  <c r="L120" i="27"/>
  <c r="L119" i="27" s="1"/>
  <c r="O44" i="27"/>
  <c r="O62" i="27"/>
  <c r="O106" i="27"/>
  <c r="O108" i="27"/>
  <c r="O118" i="27"/>
  <c r="M70" i="27"/>
  <c r="O24" i="27"/>
  <c r="L20" i="27"/>
  <c r="L19" i="27" s="1"/>
  <c r="O32" i="27"/>
  <c r="O49" i="27"/>
  <c r="O52" i="27"/>
  <c r="O72" i="27"/>
  <c r="O86" i="27"/>
  <c r="O89" i="27"/>
  <c r="O111" i="27"/>
  <c r="O27" i="27"/>
  <c r="O29" i="27"/>
  <c r="O67" i="27"/>
  <c r="M87" i="27"/>
  <c r="O87" i="27" s="1"/>
  <c r="O97" i="27"/>
  <c r="I101" i="27"/>
  <c r="M101" i="27" s="1"/>
  <c r="O101" i="27" s="1"/>
  <c r="O103" i="27"/>
  <c r="O109" i="27"/>
  <c r="O114" i="27"/>
  <c r="J20" i="27"/>
  <c r="J19" i="27" s="1"/>
  <c r="O34" i="27"/>
  <c r="O54" i="27"/>
  <c r="O57" i="27"/>
  <c r="O64" i="27"/>
  <c r="M73" i="27"/>
  <c r="O80" i="27"/>
  <c r="N20" i="27"/>
  <c r="O26" i="27"/>
  <c r="O77" i="27"/>
  <c r="N41" i="27"/>
  <c r="O51" i="27"/>
  <c r="O65" i="27"/>
  <c r="O82" i="27"/>
  <c r="M88" i="27"/>
  <c r="O91" i="27"/>
  <c r="O93" i="27"/>
  <c r="O99" i="27"/>
  <c r="O104" i="27"/>
  <c r="N113" i="27"/>
  <c r="N115" i="27"/>
  <c r="M112" i="27"/>
  <c r="M116" i="27"/>
  <c r="O22" i="27"/>
  <c r="O25" i="27"/>
  <c r="O28" i="27"/>
  <c r="O43" i="27"/>
  <c r="O45" i="27"/>
  <c r="O50" i="27"/>
  <c r="O53" i="27"/>
  <c r="O55" i="27"/>
  <c r="O66" i="27"/>
  <c r="O69" i="27"/>
  <c r="O78" i="27"/>
  <c r="O81" i="27"/>
  <c r="O83" i="27"/>
  <c r="O90" i="27"/>
  <c r="O96" i="27"/>
  <c r="O102" i="27"/>
  <c r="J102" i="27"/>
  <c r="J101" i="27" s="1"/>
  <c r="O105" i="27"/>
  <c r="O107" i="27"/>
  <c r="O110" i="27"/>
  <c r="G115" i="27"/>
  <c r="M115" i="27" s="1"/>
  <c r="N119" i="27"/>
  <c r="O121" i="27"/>
  <c r="N19" i="27"/>
  <c r="M61" i="27"/>
  <c r="N70" i="27"/>
  <c r="O70" i="27" s="1"/>
  <c r="N74" i="27"/>
  <c r="J88" i="27"/>
  <c r="J87" i="27" s="1"/>
  <c r="J124" i="27" s="1"/>
  <c r="L88" i="27"/>
  <c r="L87" i="27" s="1"/>
  <c r="O30" i="27"/>
  <c r="O33" i="27"/>
  <c r="O35" i="27"/>
  <c r="O37" i="27"/>
  <c r="O40" i="27"/>
  <c r="O48" i="27"/>
  <c r="L42" i="27"/>
  <c r="L41" i="27" s="1"/>
  <c r="O58" i="27"/>
  <c r="G60" i="27"/>
  <c r="M60" i="27" s="1"/>
  <c r="N60" i="27"/>
  <c r="O63" i="27"/>
  <c r="M71" i="27"/>
  <c r="N71" i="27"/>
  <c r="H73" i="27"/>
  <c r="N73" i="27" s="1"/>
  <c r="O73" i="27" s="1"/>
  <c r="O75" i="27"/>
  <c r="O85" i="27"/>
  <c r="N87" i="27"/>
  <c r="O92" i="27"/>
  <c r="O94" i="27"/>
  <c r="O98" i="27"/>
  <c r="O100" i="27"/>
  <c r="O123" i="27"/>
  <c r="M41" i="27"/>
  <c r="M120" i="27"/>
  <c r="O120" i="27" s="1"/>
  <c r="M19" i="27"/>
  <c r="N88" i="27"/>
  <c r="O88" i="27" s="1"/>
  <c r="M74" i="27"/>
  <c r="M20" i="27"/>
  <c r="O20" i="27" s="1"/>
  <c r="M42" i="27"/>
  <c r="N61" i="27"/>
  <c r="M113" i="27"/>
  <c r="N116" i="27"/>
  <c r="N42" i="27"/>
  <c r="K112" i="27"/>
  <c r="K124" i="27" s="1"/>
  <c r="L112" i="19"/>
  <c r="K112" i="19"/>
  <c r="I108" i="19"/>
  <c r="L101" i="19"/>
  <c r="K101" i="19"/>
  <c r="H88" i="19"/>
  <c r="H73" i="19"/>
  <c r="L92" i="19"/>
  <c r="L93" i="19"/>
  <c r="K92" i="19"/>
  <c r="K93" i="19"/>
  <c r="J72" i="19"/>
  <c r="L72" i="19"/>
  <c r="K72" i="19"/>
  <c r="I71" i="19"/>
  <c r="I67" i="19" s="1"/>
  <c r="H71" i="19"/>
  <c r="H67" i="19" s="1"/>
  <c r="G124" i="27" l="1"/>
  <c r="L124" i="27"/>
  <c r="O116" i="27"/>
  <c r="O60" i="27"/>
  <c r="O71" i="27"/>
  <c r="L71" i="19"/>
  <c r="O119" i="27"/>
  <c r="O74" i="27"/>
  <c r="O41" i="27"/>
  <c r="O42" i="27"/>
  <c r="O19" i="27"/>
  <c r="I124" i="27"/>
  <c r="M124" i="27" s="1"/>
  <c r="H124" i="27"/>
  <c r="N124" i="27" s="1"/>
  <c r="O115" i="27"/>
  <c r="K71" i="19"/>
  <c r="M71" i="19" s="1"/>
  <c r="J71" i="19"/>
  <c r="O113" i="27"/>
  <c r="M92" i="19"/>
  <c r="M93" i="19"/>
  <c r="K67" i="19"/>
  <c r="L67" i="19"/>
  <c r="O61" i="27"/>
  <c r="N112" i="27"/>
  <c r="O112" i="27" s="1"/>
  <c r="M72" i="19"/>
  <c r="J43" i="19"/>
  <c r="J38" i="19"/>
  <c r="J40" i="19"/>
  <c r="J41" i="19"/>
  <c r="J28" i="19"/>
  <c r="J32" i="19"/>
  <c r="I37" i="19"/>
  <c r="I31" i="19"/>
  <c r="F354" i="19"/>
  <c r="O124" i="27" l="1"/>
  <c r="I35" i="19"/>
  <c r="G273" i="19"/>
  <c r="L273" i="19"/>
  <c r="K273" i="19"/>
  <c r="F274" i="19"/>
  <c r="F228" i="19"/>
  <c r="F226" i="19"/>
  <c r="E175" i="19"/>
  <c r="M273" i="19" l="1"/>
  <c r="L35" i="19"/>
  <c r="L138" i="19"/>
  <c r="K138" i="19"/>
  <c r="L139" i="19"/>
  <c r="K139" i="19"/>
  <c r="G138" i="19"/>
  <c r="G139" i="19"/>
  <c r="M138" i="19" l="1"/>
  <c r="M139" i="19"/>
  <c r="L55" i="19"/>
  <c r="K55" i="19"/>
  <c r="L54" i="19"/>
  <c r="K54" i="19"/>
  <c r="G54" i="19"/>
  <c r="G55" i="19"/>
  <c r="M55" i="19" l="1"/>
  <c r="F55" i="25"/>
  <c r="F51" i="25"/>
  <c r="E54" i="25"/>
  <c r="D54" i="25"/>
  <c r="D50" i="25"/>
  <c r="D58" i="25" s="1"/>
  <c r="E46" i="25"/>
  <c r="D46" i="25"/>
  <c r="E44" i="25"/>
  <c r="F45" i="25"/>
  <c r="F39" i="25"/>
  <c r="F37" i="25"/>
  <c r="F35" i="25"/>
  <c r="D44" i="25"/>
  <c r="F46" i="25" l="1"/>
  <c r="F54" i="25"/>
  <c r="F44" i="25"/>
  <c r="L292" i="19" l="1"/>
  <c r="L293" i="19"/>
  <c r="K293" i="19"/>
  <c r="K292" i="19"/>
  <c r="J292" i="19"/>
  <c r="J293" i="19"/>
  <c r="I291" i="19"/>
  <c r="L291" i="19" s="1"/>
  <c r="H291" i="19"/>
  <c r="K291" i="19" s="1"/>
  <c r="L287" i="19"/>
  <c r="L286" i="19"/>
  <c r="K286" i="19"/>
  <c r="J286" i="19"/>
  <c r="J287" i="19"/>
  <c r="L285" i="19"/>
  <c r="K285" i="19"/>
  <c r="J285" i="19"/>
  <c r="M293" i="19" l="1"/>
  <c r="M292" i="19"/>
  <c r="M285" i="19"/>
  <c r="M291" i="19"/>
  <c r="M286" i="19"/>
  <c r="J291" i="19"/>
  <c r="C20" i="23"/>
  <c r="L137" i="19" l="1"/>
  <c r="K137" i="19"/>
  <c r="I136" i="19"/>
  <c r="H136" i="19"/>
  <c r="J137" i="19"/>
  <c r="L127" i="19"/>
  <c r="K127" i="19"/>
  <c r="I126" i="19"/>
  <c r="L126" i="19" s="1"/>
  <c r="H126" i="19"/>
  <c r="K126" i="19" s="1"/>
  <c r="J84" i="19"/>
  <c r="L83" i="19"/>
  <c r="L84" i="19"/>
  <c r="K84" i="19"/>
  <c r="I29" i="19"/>
  <c r="L221" i="19"/>
  <c r="L220" i="19"/>
  <c r="L216" i="19"/>
  <c r="L214" i="19"/>
  <c r="L212" i="19"/>
  <c r="L211" i="19"/>
  <c r="L210" i="19"/>
  <c r="L209" i="19"/>
  <c r="L208" i="19"/>
  <c r="L203" i="19"/>
  <c r="F343" i="19"/>
  <c r="F326" i="19"/>
  <c r="E326" i="19"/>
  <c r="G327" i="19"/>
  <c r="L327" i="19"/>
  <c r="K327" i="19"/>
  <c r="F311" i="19"/>
  <c r="L275" i="19"/>
  <c r="K275" i="19"/>
  <c r="G275" i="19"/>
  <c r="L274" i="19"/>
  <c r="E274" i="19"/>
  <c r="K274" i="19" s="1"/>
  <c r="F267" i="19"/>
  <c r="G257" i="19"/>
  <c r="F238" i="19"/>
  <c r="F165" i="19"/>
  <c r="E165" i="19"/>
  <c r="F133" i="19"/>
  <c r="G125" i="19"/>
  <c r="L125" i="19"/>
  <c r="K125" i="19"/>
  <c r="G124" i="19"/>
  <c r="L124" i="19"/>
  <c r="K124" i="19"/>
  <c r="L123" i="19"/>
  <c r="K123" i="19"/>
  <c r="G123" i="19"/>
  <c r="F122" i="19"/>
  <c r="L122" i="19" s="1"/>
  <c r="E122" i="19"/>
  <c r="K122" i="19" s="1"/>
  <c r="K136" i="19" l="1"/>
  <c r="G274" i="19"/>
  <c r="M275" i="19"/>
  <c r="J136" i="19"/>
  <c r="M127" i="19"/>
  <c r="M137" i="19"/>
  <c r="L136" i="19"/>
  <c r="G122" i="19"/>
  <c r="M274" i="19"/>
  <c r="M126" i="19"/>
  <c r="M327" i="19"/>
  <c r="M84" i="19"/>
  <c r="M125" i="19"/>
  <c r="M124" i="19"/>
  <c r="M122" i="19"/>
  <c r="M123" i="19"/>
  <c r="G62" i="19"/>
  <c r="K48" i="19"/>
  <c r="G48" i="19"/>
  <c r="L48" i="19"/>
  <c r="K47" i="19"/>
  <c r="G47" i="19"/>
  <c r="L47" i="19"/>
  <c r="M136" i="19" l="1"/>
  <c r="M48" i="19"/>
  <c r="M47" i="19"/>
  <c r="D72" i="25" l="1"/>
  <c r="F75" i="25"/>
  <c r="F73" i="25"/>
  <c r="E74" i="25"/>
  <c r="D74" i="25"/>
  <c r="E72" i="25"/>
  <c r="E78" i="25" s="1"/>
  <c r="D78" i="25" l="1"/>
  <c r="F78" i="25"/>
  <c r="F74" i="25"/>
  <c r="F72" i="25"/>
  <c r="F66" i="25" l="1"/>
  <c r="E65" i="25"/>
  <c r="D65" i="25"/>
  <c r="E64" i="25"/>
  <c r="D64" i="25"/>
  <c r="F65" i="25" l="1"/>
  <c r="E63" i="25"/>
  <c r="H79" i="19" l="1"/>
  <c r="I39" i="19" l="1"/>
  <c r="L38" i="19"/>
  <c r="L37" i="19"/>
  <c r="K38" i="19"/>
  <c r="H37" i="19"/>
  <c r="E319" i="19"/>
  <c r="K319" i="19" s="1"/>
  <c r="K320" i="19"/>
  <c r="K321" i="19"/>
  <c r="K325" i="19"/>
  <c r="K326" i="19"/>
  <c r="K104" i="19"/>
  <c r="L104" i="19"/>
  <c r="I100" i="19"/>
  <c r="I219" i="19"/>
  <c r="L163" i="19"/>
  <c r="L160" i="19"/>
  <c r="I159" i="19"/>
  <c r="K183" i="19"/>
  <c r="L183" i="19"/>
  <c r="L182" i="19"/>
  <c r="I181" i="19"/>
  <c r="J82" i="19"/>
  <c r="J78" i="19"/>
  <c r="J74" i="19"/>
  <c r="J77" i="19"/>
  <c r="J129" i="19"/>
  <c r="L146" i="19"/>
  <c r="K146" i="19"/>
  <c r="K143" i="19"/>
  <c r="I145" i="19"/>
  <c r="I144" i="19" s="1"/>
  <c r="J146" i="19"/>
  <c r="H145" i="19"/>
  <c r="K145" i="19" s="1"/>
  <c r="H35" i="19" l="1"/>
  <c r="J35" i="19" s="1"/>
  <c r="J37" i="19"/>
  <c r="K37" i="19"/>
  <c r="M37" i="19" s="1"/>
  <c r="H144" i="19"/>
  <c r="K144" i="19" s="1"/>
  <c r="L145" i="19"/>
  <c r="M145" i="19" s="1"/>
  <c r="M146" i="19"/>
  <c r="L144" i="19"/>
  <c r="M183" i="19"/>
  <c r="J145" i="19"/>
  <c r="M144" i="19" l="1"/>
  <c r="J144" i="19"/>
  <c r="K19" i="19"/>
  <c r="K30" i="19"/>
  <c r="J73" i="19" l="1"/>
  <c r="L78" i="19"/>
  <c r="K78" i="19"/>
  <c r="L64" i="19"/>
  <c r="K64" i="19"/>
  <c r="J64" i="19"/>
  <c r="I63" i="19"/>
  <c r="L63" i="19" s="1"/>
  <c r="H63" i="19"/>
  <c r="K63" i="19" s="1"/>
  <c r="J56" i="19"/>
  <c r="J57" i="19"/>
  <c r="J54" i="19"/>
  <c r="J80" i="19"/>
  <c r="J81" i="19"/>
  <c r="K46" i="19"/>
  <c r="L31" i="19"/>
  <c r="L32" i="19"/>
  <c r="K32" i="19"/>
  <c r="H31" i="19"/>
  <c r="H29" i="19" l="1"/>
  <c r="J29" i="19" s="1"/>
  <c r="J31" i="19"/>
  <c r="M32" i="19"/>
  <c r="M78" i="19"/>
  <c r="K31" i="19"/>
  <c r="M31" i="19" s="1"/>
  <c r="M63" i="19"/>
  <c r="H62" i="19"/>
  <c r="K62" i="19" s="1"/>
  <c r="M64" i="19"/>
  <c r="J63" i="19"/>
  <c r="I62" i="19"/>
  <c r="L62" i="19" s="1"/>
  <c r="G326" i="19"/>
  <c r="L326" i="19"/>
  <c r="F256" i="19"/>
  <c r="L256" i="19" s="1"/>
  <c r="E256" i="19"/>
  <c r="G240" i="19"/>
  <c r="L240" i="19"/>
  <c r="K240" i="19"/>
  <c r="G239" i="19"/>
  <c r="L239" i="19"/>
  <c r="K239" i="19"/>
  <c r="G238" i="19"/>
  <c r="L238" i="19"/>
  <c r="K238" i="19"/>
  <c r="G256" i="19" l="1"/>
  <c r="M326" i="19"/>
  <c r="M238" i="19"/>
  <c r="M240" i="19"/>
  <c r="J62" i="19"/>
  <c r="K256" i="19"/>
  <c r="M256" i="19" s="1"/>
  <c r="M239" i="19"/>
  <c r="L186" i="19"/>
  <c r="K186" i="19"/>
  <c r="G186" i="19"/>
  <c r="F185" i="19"/>
  <c r="L185" i="19" s="1"/>
  <c r="E185" i="19"/>
  <c r="K185" i="19" s="1"/>
  <c r="M62" i="19" l="1"/>
  <c r="M185" i="19"/>
  <c r="G185" i="19"/>
  <c r="M186" i="19"/>
  <c r="F68" i="25"/>
  <c r="E67" i="25"/>
  <c r="D67" i="25"/>
  <c r="F64" i="25"/>
  <c r="E77" i="25" l="1"/>
  <c r="E76" i="25" s="1"/>
  <c r="F67" i="25"/>
  <c r="D63" i="25"/>
  <c r="D77" i="25" s="1"/>
  <c r="D76" i="25" l="1"/>
  <c r="F63" i="25"/>
  <c r="E50" i="25"/>
  <c r="E58" i="25" s="1"/>
  <c r="E42" i="25"/>
  <c r="D42" i="25"/>
  <c r="E38" i="25"/>
  <c r="D38" i="25"/>
  <c r="E36" i="25"/>
  <c r="D36" i="25"/>
  <c r="E34" i="25"/>
  <c r="D34" i="25"/>
  <c r="F33" i="25"/>
  <c r="E32" i="25"/>
  <c r="D32" i="25"/>
  <c r="E30" i="25"/>
  <c r="F30" i="25" s="1"/>
  <c r="F29" i="25"/>
  <c r="F28" i="25" s="1"/>
  <c r="E28" i="25"/>
  <c r="D28" i="25"/>
  <c r="F27" i="25"/>
  <c r="F26" i="25" s="1"/>
  <c r="E26" i="25"/>
  <c r="D26" i="25"/>
  <c r="F25" i="25"/>
  <c r="F24" i="25" s="1"/>
  <c r="E24" i="25"/>
  <c r="D24" i="25"/>
  <c r="F21" i="25"/>
  <c r="E20" i="25"/>
  <c r="D20" i="25"/>
  <c r="F19" i="25"/>
  <c r="E18" i="25"/>
  <c r="D18" i="25"/>
  <c r="F42" i="25" l="1"/>
  <c r="D57" i="25"/>
  <c r="E57" i="25"/>
  <c r="E56" i="25" s="1"/>
  <c r="D56" i="25"/>
  <c r="F58" i="25"/>
  <c r="F50" i="25"/>
  <c r="F34" i="25"/>
  <c r="F38" i="25"/>
  <c r="F36" i="25"/>
  <c r="F77" i="25"/>
  <c r="F76" i="25"/>
  <c r="F32" i="25"/>
  <c r="F20" i="25"/>
  <c r="F18" i="25"/>
  <c r="F57" i="25" l="1"/>
  <c r="F56" i="25"/>
  <c r="K212" i="19" l="1"/>
  <c r="J212" i="19"/>
  <c r="H211" i="19"/>
  <c r="L44" i="19"/>
  <c r="L41" i="19"/>
  <c r="K41" i="19"/>
  <c r="L193" i="19"/>
  <c r="K193" i="19"/>
  <c r="J193" i="19"/>
  <c r="I192" i="19"/>
  <c r="H192" i="19"/>
  <c r="H189" i="19" s="1"/>
  <c r="H346" i="19"/>
  <c r="H345" i="19" s="1"/>
  <c r="I346" i="19"/>
  <c r="I345" i="19" s="1"/>
  <c r="J346" i="19"/>
  <c r="L334" i="19"/>
  <c r="K334" i="19"/>
  <c r="I333" i="19"/>
  <c r="H333" i="19"/>
  <c r="L316" i="19"/>
  <c r="K316" i="19"/>
  <c r="J316" i="19"/>
  <c r="I315" i="19"/>
  <c r="I314" i="19" s="1"/>
  <c r="I310" i="19" s="1"/>
  <c r="H315" i="19"/>
  <c r="H314" i="19" s="1"/>
  <c r="H310" i="19" s="1"/>
  <c r="I301" i="19"/>
  <c r="L301" i="19" s="1"/>
  <c r="H301" i="19"/>
  <c r="H300" i="19" s="1"/>
  <c r="L299" i="19"/>
  <c r="L302" i="19"/>
  <c r="K299" i="19"/>
  <c r="K302" i="19"/>
  <c r="J299" i="19"/>
  <c r="I298" i="19"/>
  <c r="L298" i="19" s="1"/>
  <c r="H298" i="19"/>
  <c r="H297" i="19" s="1"/>
  <c r="L290" i="19"/>
  <c r="K290" i="19"/>
  <c r="J290" i="19"/>
  <c r="I289" i="19"/>
  <c r="I288" i="19" s="1"/>
  <c r="H289" i="19"/>
  <c r="H288" i="19" s="1"/>
  <c r="L277" i="19"/>
  <c r="L278" i="19"/>
  <c r="K277" i="19"/>
  <c r="K278" i="19"/>
  <c r="I276" i="19"/>
  <c r="H276" i="19"/>
  <c r="L266" i="19"/>
  <c r="K266" i="19"/>
  <c r="L262" i="19"/>
  <c r="K262" i="19"/>
  <c r="I265" i="19"/>
  <c r="J265" i="19" s="1"/>
  <c r="H265" i="19"/>
  <c r="K265" i="19" s="1"/>
  <c r="J262" i="19"/>
  <c r="I261" i="19"/>
  <c r="I260" i="19" s="1"/>
  <c r="H261" i="19"/>
  <c r="H260" i="19" s="1"/>
  <c r="K260" i="19" s="1"/>
  <c r="J164" i="19"/>
  <c r="L180" i="19"/>
  <c r="K180" i="19"/>
  <c r="J180" i="19"/>
  <c r="I179" i="19"/>
  <c r="I175" i="19" s="1"/>
  <c r="I148" i="19" s="1"/>
  <c r="H179" i="19"/>
  <c r="H175" i="19" s="1"/>
  <c r="H163" i="19"/>
  <c r="H159" i="19" s="1"/>
  <c r="H148" i="19" s="1"/>
  <c r="L129" i="19"/>
  <c r="K129" i="19"/>
  <c r="I128" i="19"/>
  <c r="H128" i="19"/>
  <c r="K128" i="19" s="1"/>
  <c r="I117" i="19"/>
  <c r="L117" i="19" s="1"/>
  <c r="H117" i="19"/>
  <c r="H116" i="19" s="1"/>
  <c r="K116" i="19" s="1"/>
  <c r="L115" i="19"/>
  <c r="L118" i="19"/>
  <c r="K115" i="19"/>
  <c r="K118" i="19"/>
  <c r="I114" i="19"/>
  <c r="L114" i="19" s="1"/>
  <c r="H114" i="19"/>
  <c r="H113" i="19" s="1"/>
  <c r="K113" i="19" s="1"/>
  <c r="H100" i="19"/>
  <c r="H66" i="19" s="1"/>
  <c r="J276" i="19" l="1"/>
  <c r="K333" i="19"/>
  <c r="H329" i="19"/>
  <c r="H328" i="19" s="1"/>
  <c r="L192" i="19"/>
  <c r="I189" i="19"/>
  <c r="I188" i="19" s="1"/>
  <c r="I187" i="19" s="1"/>
  <c r="L333" i="19"/>
  <c r="I329" i="19"/>
  <c r="L260" i="19"/>
  <c r="K288" i="19"/>
  <c r="L265" i="19"/>
  <c r="M265" i="19" s="1"/>
  <c r="I263" i="19"/>
  <c r="L128" i="19"/>
  <c r="K276" i="19"/>
  <c r="J128" i="19"/>
  <c r="M212" i="19"/>
  <c r="M41" i="19"/>
  <c r="M193" i="19"/>
  <c r="H188" i="19"/>
  <c r="K192" i="19"/>
  <c r="J192" i="19"/>
  <c r="I300" i="19"/>
  <c r="L300" i="19" s="1"/>
  <c r="J310" i="19"/>
  <c r="L314" i="19"/>
  <c r="M316" i="19"/>
  <c r="K301" i="19"/>
  <c r="M301" i="19" s="1"/>
  <c r="J315" i="19"/>
  <c r="I309" i="19"/>
  <c r="L315" i="19"/>
  <c r="J314" i="19"/>
  <c r="I297" i="19"/>
  <c r="K315" i="19"/>
  <c r="K314" i="19"/>
  <c r="M299" i="19"/>
  <c r="K298" i="19"/>
  <c r="K297" i="19"/>
  <c r="J298" i="19"/>
  <c r="M302" i="19"/>
  <c r="J301" i="19"/>
  <c r="K300" i="19"/>
  <c r="M290" i="19"/>
  <c r="J288" i="19"/>
  <c r="K289" i="19"/>
  <c r="L289" i="19"/>
  <c r="L288" i="19"/>
  <c r="J289" i="19"/>
  <c r="L276" i="19"/>
  <c r="M266" i="19"/>
  <c r="M262" i="19"/>
  <c r="M278" i="19"/>
  <c r="M277" i="19"/>
  <c r="H263" i="19"/>
  <c r="H248" i="19" s="1"/>
  <c r="K261" i="19"/>
  <c r="L261" i="19"/>
  <c r="J260" i="19"/>
  <c r="J261" i="19"/>
  <c r="M115" i="19"/>
  <c r="M180" i="19"/>
  <c r="H147" i="19"/>
  <c r="J163" i="19"/>
  <c r="J159" i="19"/>
  <c r="K179" i="19"/>
  <c r="L179" i="19"/>
  <c r="J179" i="19"/>
  <c r="I113" i="19"/>
  <c r="M129" i="19"/>
  <c r="K117" i="19"/>
  <c r="M117" i="19" s="1"/>
  <c r="K114" i="19"/>
  <c r="M114" i="19" s="1"/>
  <c r="M118" i="19"/>
  <c r="I116" i="19"/>
  <c r="L116" i="19" s="1"/>
  <c r="M116" i="19" s="1"/>
  <c r="I42" i="19"/>
  <c r="H39" i="19"/>
  <c r="J39" i="19" s="1"/>
  <c r="L57" i="19"/>
  <c r="K57" i="19"/>
  <c r="K28" i="19"/>
  <c r="L28" i="19"/>
  <c r="I27" i="19"/>
  <c r="H27" i="19"/>
  <c r="H25" i="19" s="1"/>
  <c r="F347" i="19"/>
  <c r="L347" i="19" s="1"/>
  <c r="E347" i="19"/>
  <c r="K347" i="19" s="1"/>
  <c r="L355" i="19"/>
  <c r="K355" i="19"/>
  <c r="G355" i="19"/>
  <c r="E354" i="19"/>
  <c r="K354" i="19" s="1"/>
  <c r="E330" i="19"/>
  <c r="E343" i="19"/>
  <c r="F341" i="19"/>
  <c r="E341" i="19"/>
  <c r="L339" i="19"/>
  <c r="L340" i="19"/>
  <c r="L342" i="19"/>
  <c r="L344" i="19"/>
  <c r="K339" i="19"/>
  <c r="K340" i="19"/>
  <c r="K342" i="19"/>
  <c r="K344" i="19"/>
  <c r="F338" i="19"/>
  <c r="G331" i="19"/>
  <c r="G332" i="19"/>
  <c r="G339" i="19"/>
  <c r="G340" i="19"/>
  <c r="G342" i="19"/>
  <c r="G344" i="19"/>
  <c r="E338" i="19"/>
  <c r="E281" i="19"/>
  <c r="G272" i="19"/>
  <c r="F271" i="19"/>
  <c r="E271" i="19"/>
  <c r="F205" i="19"/>
  <c r="E205" i="19"/>
  <c r="K170" i="19"/>
  <c r="K171" i="19"/>
  <c r="M171" i="19" s="1"/>
  <c r="G170" i="19"/>
  <c r="G171" i="19"/>
  <c r="F169" i="19"/>
  <c r="L169" i="19" s="1"/>
  <c r="E169" i="19"/>
  <c r="K169" i="19" s="1"/>
  <c r="L161" i="19"/>
  <c r="L162" i="19"/>
  <c r="L164" i="19"/>
  <c r="K160" i="19"/>
  <c r="K161" i="19"/>
  <c r="K162" i="19"/>
  <c r="K163" i="19"/>
  <c r="K164" i="19"/>
  <c r="F159" i="19"/>
  <c r="L159" i="19" s="1"/>
  <c r="E159" i="19"/>
  <c r="G160" i="19"/>
  <c r="G161" i="19"/>
  <c r="G162" i="19"/>
  <c r="L61" i="19"/>
  <c r="K61" i="19"/>
  <c r="L120" i="19"/>
  <c r="L121" i="19"/>
  <c r="L134" i="19"/>
  <c r="L135" i="19"/>
  <c r="L141" i="19"/>
  <c r="L142" i="19"/>
  <c r="L143" i="19"/>
  <c r="K120" i="19"/>
  <c r="K121" i="19"/>
  <c r="K134" i="19"/>
  <c r="K135" i="19"/>
  <c r="K141" i="19"/>
  <c r="K142" i="19"/>
  <c r="K111" i="19"/>
  <c r="F140" i="19"/>
  <c r="E140" i="19"/>
  <c r="K140" i="19" s="1"/>
  <c r="G134" i="19"/>
  <c r="G135" i="19"/>
  <c r="G141" i="19"/>
  <c r="L133" i="19"/>
  <c r="E133" i="19"/>
  <c r="F119" i="19"/>
  <c r="L119" i="19" s="1"/>
  <c r="E119" i="19"/>
  <c r="K119" i="19" s="1"/>
  <c r="G121" i="19"/>
  <c r="G142" i="19"/>
  <c r="G143" i="19"/>
  <c r="J189" i="19" l="1"/>
  <c r="I66" i="19"/>
  <c r="I248" i="19"/>
  <c r="J263" i="19"/>
  <c r="M192" i="19"/>
  <c r="M260" i="19"/>
  <c r="I25" i="19"/>
  <c r="J25" i="19" s="1"/>
  <c r="J27" i="19"/>
  <c r="L113" i="19"/>
  <c r="M113" i="19" s="1"/>
  <c r="J66" i="19"/>
  <c r="J297" i="19"/>
  <c r="M276" i="19"/>
  <c r="M128" i="19"/>
  <c r="L140" i="19"/>
  <c r="M140" i="19" s="1"/>
  <c r="J79" i="19"/>
  <c r="J188" i="19"/>
  <c r="H187" i="19"/>
  <c r="J187" i="19" s="1"/>
  <c r="J300" i="19"/>
  <c r="H309" i="19"/>
  <c r="M315" i="19"/>
  <c r="L297" i="19"/>
  <c r="M314" i="19"/>
  <c r="M298" i="19"/>
  <c r="M288" i="19"/>
  <c r="M300" i="19"/>
  <c r="M289" i="19"/>
  <c r="K338" i="19"/>
  <c r="L341" i="19"/>
  <c r="L343" i="19"/>
  <c r="K341" i="19"/>
  <c r="L354" i="19"/>
  <c r="M261" i="19"/>
  <c r="E280" i="19"/>
  <c r="M179" i="19"/>
  <c r="K77" i="19"/>
  <c r="L77" i="19"/>
  <c r="M54" i="19"/>
  <c r="K56" i="19"/>
  <c r="M57" i="19"/>
  <c r="L56" i="19"/>
  <c r="K40" i="19"/>
  <c r="L40" i="19"/>
  <c r="M28" i="19"/>
  <c r="M340" i="19"/>
  <c r="L27" i="19"/>
  <c r="K27" i="19"/>
  <c r="G354" i="19"/>
  <c r="M355" i="19"/>
  <c r="M339" i="19"/>
  <c r="M342" i="19"/>
  <c r="E329" i="19"/>
  <c r="G343" i="19"/>
  <c r="G341" i="19"/>
  <c r="K343" i="19"/>
  <c r="M344" i="19"/>
  <c r="G338" i="19"/>
  <c r="L338" i="19"/>
  <c r="M160" i="19"/>
  <c r="G271" i="19"/>
  <c r="M170" i="19"/>
  <c r="M169" i="19"/>
  <c r="G169" i="19"/>
  <c r="G133" i="19"/>
  <c r="M163" i="19"/>
  <c r="M164" i="19"/>
  <c r="M162" i="19"/>
  <c r="M161" i="19"/>
  <c r="M142" i="19"/>
  <c r="M121" i="19"/>
  <c r="M61" i="19"/>
  <c r="M120" i="19"/>
  <c r="M143" i="19"/>
  <c r="M119" i="19"/>
  <c r="K133" i="19"/>
  <c r="M135" i="19"/>
  <c r="M134" i="19"/>
  <c r="M141" i="19"/>
  <c r="G140" i="19"/>
  <c r="E60" i="19"/>
  <c r="K60" i="19" s="1"/>
  <c r="F60" i="19"/>
  <c r="L60" i="19" s="1"/>
  <c r="G61" i="19"/>
  <c r="E23" i="19"/>
  <c r="M297" i="19" l="1"/>
  <c r="M133" i="19"/>
  <c r="J309" i="19"/>
  <c r="M341" i="19"/>
  <c r="E279" i="19"/>
  <c r="M343" i="19"/>
  <c r="M338" i="19"/>
  <c r="M354" i="19"/>
  <c r="M56" i="19"/>
  <c r="M40" i="19"/>
  <c r="M27" i="19"/>
  <c r="M60" i="19"/>
  <c r="G60" i="19"/>
  <c r="F19" i="23"/>
  <c r="I19" i="23"/>
  <c r="I18" i="23" s="1"/>
  <c r="H22" i="23"/>
  <c r="H19" i="23" s="1"/>
  <c r="G19" i="23" l="1"/>
  <c r="C22" i="23"/>
  <c r="E19" i="23" l="1"/>
  <c r="C19" i="23" s="1"/>
  <c r="J29" i="23" l="1"/>
  <c r="J26" i="23" s="1"/>
  <c r="I29" i="23"/>
  <c r="I26" i="23" s="1"/>
  <c r="F29" i="23"/>
  <c r="F27" i="23"/>
  <c r="D27" i="23" s="1"/>
  <c r="D28" i="23"/>
  <c r="D20" i="23"/>
  <c r="D21" i="23"/>
  <c r="D22" i="23"/>
  <c r="J18" i="23"/>
  <c r="C28" i="23"/>
  <c r="C21" i="23"/>
  <c r="D29" i="23" l="1"/>
  <c r="D19" i="23"/>
  <c r="I25" i="23"/>
  <c r="I23" i="23"/>
  <c r="I30" i="23" s="1"/>
  <c r="J23" i="23"/>
  <c r="J30" i="23" s="1"/>
  <c r="J25" i="23"/>
  <c r="F26" i="23"/>
  <c r="D26" i="23" s="1"/>
  <c r="F18" i="23"/>
  <c r="F23" i="23" l="1"/>
  <c r="F25" i="23"/>
  <c r="D25" i="23" s="1"/>
  <c r="D18" i="23"/>
  <c r="F30" i="23" l="1"/>
  <c r="D30" i="23" s="1"/>
  <c r="D23" i="23"/>
  <c r="J23" i="28" l="1"/>
  <c r="K23" i="28"/>
  <c r="G23" i="28"/>
  <c r="F23" i="28"/>
  <c r="L348" i="19" l="1"/>
  <c r="L349" i="19"/>
  <c r="L353" i="19"/>
  <c r="K348" i="19"/>
  <c r="K349" i="19"/>
  <c r="K353" i="19"/>
  <c r="F352" i="19"/>
  <c r="E352" i="19"/>
  <c r="G353" i="19"/>
  <c r="G348" i="19"/>
  <c r="G349" i="19"/>
  <c r="L332" i="19"/>
  <c r="L331" i="19"/>
  <c r="L330" i="19" s="1"/>
  <c r="K332" i="19"/>
  <c r="K331" i="19"/>
  <c r="K330" i="19" s="1"/>
  <c r="F330" i="19"/>
  <c r="E328" i="19"/>
  <c r="L320" i="19"/>
  <c r="L321" i="19"/>
  <c r="L325" i="19"/>
  <c r="F324" i="19"/>
  <c r="E324" i="19"/>
  <c r="K324" i="19" s="1"/>
  <c r="K318" i="19" s="1"/>
  <c r="G325" i="19"/>
  <c r="F319" i="19"/>
  <c r="L319" i="19" s="1"/>
  <c r="G321" i="19"/>
  <c r="G320" i="19"/>
  <c r="L312" i="19"/>
  <c r="L313" i="19"/>
  <c r="K312" i="19"/>
  <c r="K313" i="19"/>
  <c r="G312" i="19"/>
  <c r="G313" i="19"/>
  <c r="E311" i="19"/>
  <c r="L282" i="19"/>
  <c r="L283" i="19"/>
  <c r="L284" i="19"/>
  <c r="L296" i="19"/>
  <c r="L305" i="19"/>
  <c r="L308" i="19"/>
  <c r="K282" i="19"/>
  <c r="K283" i="19"/>
  <c r="K284" i="19"/>
  <c r="K296" i="19"/>
  <c r="K305" i="19"/>
  <c r="K308" i="19"/>
  <c r="J308" i="19"/>
  <c r="I307" i="19"/>
  <c r="H307" i="19"/>
  <c r="J305" i="19"/>
  <c r="I304" i="19"/>
  <c r="H304" i="19"/>
  <c r="J296" i="19"/>
  <c r="I295" i="19"/>
  <c r="H295" i="19"/>
  <c r="G282" i="19"/>
  <c r="G283" i="19"/>
  <c r="G284" i="19"/>
  <c r="F281" i="19"/>
  <c r="K281" i="19"/>
  <c r="L250" i="19"/>
  <c r="L251" i="19"/>
  <c r="L255" i="19"/>
  <c r="L259" i="19"/>
  <c r="L264" i="19"/>
  <c r="L268" i="19"/>
  <c r="L270" i="19"/>
  <c r="L272" i="19"/>
  <c r="K250" i="19"/>
  <c r="K251" i="19"/>
  <c r="K255" i="19"/>
  <c r="K259" i="19"/>
  <c r="K264" i="19"/>
  <c r="K268" i="19"/>
  <c r="K270" i="19"/>
  <c r="K272" i="19"/>
  <c r="L271" i="19"/>
  <c r="F269" i="19"/>
  <c r="E269" i="19"/>
  <c r="G270" i="19"/>
  <c r="E267" i="19"/>
  <c r="G268" i="19"/>
  <c r="F263" i="19"/>
  <c r="E263" i="19"/>
  <c r="K263" i="19" s="1"/>
  <c r="G264" i="19"/>
  <c r="F258" i="19"/>
  <c r="E258" i="19"/>
  <c r="G259" i="19"/>
  <c r="G255" i="19"/>
  <c r="E254" i="19"/>
  <c r="G250" i="19"/>
  <c r="G251" i="19"/>
  <c r="F249" i="19"/>
  <c r="E249" i="19"/>
  <c r="L199" i="19"/>
  <c r="L200" i="19"/>
  <c r="L204" i="19"/>
  <c r="L205" i="19"/>
  <c r="L206" i="19"/>
  <c r="L215" i="19"/>
  <c r="L218" i="19"/>
  <c r="L222" i="19"/>
  <c r="L224" i="19"/>
  <c r="L225" i="19"/>
  <c r="L227" i="19"/>
  <c r="L229" i="19"/>
  <c r="L231" i="19"/>
  <c r="L232" i="19"/>
  <c r="L233" i="19"/>
  <c r="L235" i="19"/>
  <c r="L242" i="19"/>
  <c r="L243" i="19"/>
  <c r="L244" i="19"/>
  <c r="L246" i="19"/>
  <c r="K199" i="19"/>
  <c r="K200" i="19"/>
  <c r="K203" i="19"/>
  <c r="K204" i="19"/>
  <c r="K205" i="19"/>
  <c r="K206" i="19"/>
  <c r="K208" i="19"/>
  <c r="K209" i="19"/>
  <c r="K210" i="19"/>
  <c r="K214" i="19"/>
  <c r="K215" i="19"/>
  <c r="K216" i="19"/>
  <c r="K218" i="19"/>
  <c r="K220" i="19"/>
  <c r="K221" i="19"/>
  <c r="K222" i="19"/>
  <c r="K224" i="19"/>
  <c r="K225" i="19"/>
  <c r="K227" i="19"/>
  <c r="K229" i="19"/>
  <c r="K231" i="19"/>
  <c r="K232" i="19"/>
  <c r="K233" i="19"/>
  <c r="K235" i="19"/>
  <c r="K242" i="19"/>
  <c r="K243" i="19"/>
  <c r="K244" i="19"/>
  <c r="K246" i="19"/>
  <c r="F245" i="19"/>
  <c r="E245" i="19"/>
  <c r="G246" i="19"/>
  <c r="F241" i="19"/>
  <c r="E241" i="19"/>
  <c r="G244" i="19"/>
  <c r="G243" i="19"/>
  <c r="G242" i="19"/>
  <c r="F234" i="19"/>
  <c r="E234" i="19"/>
  <c r="G235" i="19"/>
  <c r="F230" i="19"/>
  <c r="E230" i="19"/>
  <c r="G233" i="19"/>
  <c r="G232" i="19"/>
  <c r="G231" i="19"/>
  <c r="G229" i="19"/>
  <c r="E228" i="19"/>
  <c r="G227" i="19"/>
  <c r="E226" i="19"/>
  <c r="J220" i="19"/>
  <c r="F223" i="19"/>
  <c r="E223" i="19"/>
  <c r="G225" i="19"/>
  <c r="G224" i="19"/>
  <c r="F219" i="19"/>
  <c r="L219" i="19" s="1"/>
  <c r="E219" i="19"/>
  <c r="H219" i="19"/>
  <c r="G220" i="19"/>
  <c r="G221" i="19"/>
  <c r="G222" i="19"/>
  <c r="H217" i="19"/>
  <c r="J218" i="19"/>
  <c r="G214" i="19"/>
  <c r="G215" i="19"/>
  <c r="G216" i="19"/>
  <c r="F213" i="19"/>
  <c r="E213" i="19"/>
  <c r="G208" i="19"/>
  <c r="G209" i="19"/>
  <c r="G210" i="19"/>
  <c r="F207" i="19"/>
  <c r="L207" i="19" s="1"/>
  <c r="E207" i="19"/>
  <c r="J203" i="19"/>
  <c r="L202" i="19"/>
  <c r="H202" i="19"/>
  <c r="G204" i="19"/>
  <c r="G203" i="19"/>
  <c r="F201" i="19"/>
  <c r="E201" i="19"/>
  <c r="G202" i="19"/>
  <c r="G199" i="19"/>
  <c r="G200" i="19"/>
  <c r="F198" i="19"/>
  <c r="E198" i="19"/>
  <c r="L190" i="19"/>
  <c r="L191" i="19"/>
  <c r="L195" i="19"/>
  <c r="K190" i="19"/>
  <c r="K191" i="19"/>
  <c r="K195" i="19"/>
  <c r="F194" i="19"/>
  <c r="L194" i="19" s="1"/>
  <c r="E194" i="19"/>
  <c r="K194" i="19" s="1"/>
  <c r="G195" i="19"/>
  <c r="F189" i="19"/>
  <c r="L189" i="19" s="1"/>
  <c r="E189" i="19"/>
  <c r="K189" i="19" s="1"/>
  <c r="G190" i="19"/>
  <c r="G191" i="19"/>
  <c r="L150" i="19"/>
  <c r="L151" i="19"/>
  <c r="L152" i="19"/>
  <c r="L154" i="19"/>
  <c r="L156" i="19"/>
  <c r="L158" i="19"/>
  <c r="L166" i="19"/>
  <c r="L168" i="19"/>
  <c r="L176" i="19"/>
  <c r="L177" i="19"/>
  <c r="L178" i="19"/>
  <c r="K150" i="19"/>
  <c r="K151" i="19"/>
  <c r="K152" i="19"/>
  <c r="K154" i="19"/>
  <c r="K156" i="19"/>
  <c r="K158" i="19"/>
  <c r="K166" i="19"/>
  <c r="K168" i="19"/>
  <c r="K176" i="19"/>
  <c r="K177" i="19"/>
  <c r="K178" i="19"/>
  <c r="K182" i="19"/>
  <c r="F181" i="19"/>
  <c r="L181" i="19" s="1"/>
  <c r="E181" i="19"/>
  <c r="K181" i="19" s="1"/>
  <c r="G182" i="19"/>
  <c r="J176" i="19"/>
  <c r="F175" i="19"/>
  <c r="G178" i="19"/>
  <c r="G177" i="19"/>
  <c r="G176" i="19"/>
  <c r="F167" i="19"/>
  <c r="L167" i="19" s="1"/>
  <c r="E167" i="19"/>
  <c r="K167" i="19" s="1"/>
  <c r="G168" i="19"/>
  <c r="L165" i="19"/>
  <c r="K165" i="19"/>
  <c r="G166" i="19"/>
  <c r="F155" i="19"/>
  <c r="E155" i="19"/>
  <c r="G156" i="19"/>
  <c r="K159" i="19"/>
  <c r="F157" i="19"/>
  <c r="L157" i="19" s="1"/>
  <c r="E157" i="19"/>
  <c r="K157" i="19" s="1"/>
  <c r="G158" i="19"/>
  <c r="G154" i="19"/>
  <c r="F153" i="19"/>
  <c r="E153" i="19"/>
  <c r="F149" i="19"/>
  <c r="E149" i="19"/>
  <c r="G152" i="19"/>
  <c r="G151" i="19"/>
  <c r="G150" i="19"/>
  <c r="L68" i="19"/>
  <c r="L69" i="19"/>
  <c r="L70" i="19"/>
  <c r="L75" i="19"/>
  <c r="L76" i="19"/>
  <c r="L80" i="19"/>
  <c r="L81" i="19"/>
  <c r="L82" i="19"/>
  <c r="L87" i="19"/>
  <c r="L89" i="19"/>
  <c r="L90" i="19"/>
  <c r="L91" i="19"/>
  <c r="L95" i="19"/>
  <c r="L96" i="19"/>
  <c r="L97" i="19"/>
  <c r="L99" i="19"/>
  <c r="L102" i="19"/>
  <c r="L103" i="19"/>
  <c r="L106" i="19"/>
  <c r="L107" i="19"/>
  <c r="L109" i="19"/>
  <c r="L110" i="19"/>
  <c r="L111" i="19"/>
  <c r="K68" i="19"/>
  <c r="K69" i="19"/>
  <c r="K70" i="19"/>
  <c r="K74" i="19"/>
  <c r="K75" i="19"/>
  <c r="K76" i="19"/>
  <c r="K80" i="19"/>
  <c r="K81" i="19"/>
  <c r="K82" i="19"/>
  <c r="K83" i="19"/>
  <c r="K87" i="19"/>
  <c r="K89" i="19"/>
  <c r="K90" i="19"/>
  <c r="K91" i="19"/>
  <c r="K95" i="19"/>
  <c r="K96" i="19"/>
  <c r="K97" i="19"/>
  <c r="K99" i="19"/>
  <c r="K102" i="19"/>
  <c r="K103" i="19"/>
  <c r="K106" i="19"/>
  <c r="K107" i="19"/>
  <c r="K109" i="19"/>
  <c r="K110" i="19"/>
  <c r="G111" i="19"/>
  <c r="F108" i="19"/>
  <c r="L108" i="19" s="1"/>
  <c r="E108" i="19"/>
  <c r="K108" i="19" s="1"/>
  <c r="G110" i="19"/>
  <c r="G109" i="19"/>
  <c r="G106" i="19"/>
  <c r="G107" i="19"/>
  <c r="F105" i="19"/>
  <c r="L105" i="19" s="1"/>
  <c r="E105" i="19"/>
  <c r="K105" i="19" s="1"/>
  <c r="G102" i="19"/>
  <c r="G103" i="19"/>
  <c r="F100" i="19"/>
  <c r="E100" i="19"/>
  <c r="K100" i="19" s="1"/>
  <c r="G101" i="19"/>
  <c r="K329" i="19" l="1"/>
  <c r="K328" i="19" s="1"/>
  <c r="L329" i="19"/>
  <c r="L328" i="19" s="1"/>
  <c r="F248" i="19"/>
  <c r="E248" i="19"/>
  <c r="F197" i="19"/>
  <c r="E148" i="19"/>
  <c r="E147" i="19" s="1"/>
  <c r="F148" i="19"/>
  <c r="F147" i="19" s="1"/>
  <c r="E318" i="19"/>
  <c r="E197" i="19"/>
  <c r="F318" i="19"/>
  <c r="K188" i="19"/>
  <c r="K187" i="19" s="1"/>
  <c r="M330" i="19"/>
  <c r="M329" i="19"/>
  <c r="L267" i="19"/>
  <c r="H306" i="19"/>
  <c r="L311" i="19"/>
  <c r="L310" i="19" s="1"/>
  <c r="K311" i="19"/>
  <c r="K310" i="19" s="1"/>
  <c r="K226" i="19"/>
  <c r="K258" i="19"/>
  <c r="L307" i="19"/>
  <c r="H201" i="19"/>
  <c r="H207" i="19"/>
  <c r="L226" i="19"/>
  <c r="K230" i="19"/>
  <c r="K241" i="19"/>
  <c r="L258" i="19"/>
  <c r="K269" i="19"/>
  <c r="H294" i="19"/>
  <c r="H213" i="19"/>
  <c r="L230" i="19"/>
  <c r="L241" i="19"/>
  <c r="L269" i="19"/>
  <c r="I294" i="19"/>
  <c r="L217" i="19"/>
  <c r="K228" i="19"/>
  <c r="L228" i="19"/>
  <c r="K234" i="19"/>
  <c r="K245" i="19"/>
  <c r="K254" i="19"/>
  <c r="L263" i="19"/>
  <c r="H303" i="19"/>
  <c r="L324" i="19"/>
  <c r="K267" i="19"/>
  <c r="L234" i="19"/>
  <c r="L245" i="19"/>
  <c r="L254" i="19"/>
  <c r="L281" i="19"/>
  <c r="M281" i="19" s="1"/>
  <c r="L304" i="19"/>
  <c r="I201" i="19"/>
  <c r="L201" i="19" s="1"/>
  <c r="E346" i="19"/>
  <c r="F346" i="19"/>
  <c r="F329" i="19"/>
  <c r="M325" i="19"/>
  <c r="L198" i="19"/>
  <c r="M220" i="19"/>
  <c r="K198" i="19"/>
  <c r="L153" i="19"/>
  <c r="K153" i="19"/>
  <c r="M259" i="19"/>
  <c r="L249" i="19"/>
  <c r="M332" i="19"/>
  <c r="M272" i="19"/>
  <c r="M270" i="19"/>
  <c r="K249" i="19"/>
  <c r="M321" i="19"/>
  <c r="L223" i="19"/>
  <c r="M284" i="19"/>
  <c r="M233" i="19"/>
  <c r="M218" i="19"/>
  <c r="I247" i="19"/>
  <c r="M353" i="19"/>
  <c r="F280" i="19"/>
  <c r="K219" i="19"/>
  <c r="M243" i="19"/>
  <c r="M232" i="19"/>
  <c r="M215" i="19"/>
  <c r="M347" i="19"/>
  <c r="M210" i="19"/>
  <c r="K304" i="19"/>
  <c r="M178" i="19"/>
  <c r="M242" i="19"/>
  <c r="M204" i="19"/>
  <c r="M305" i="19"/>
  <c r="M282" i="19"/>
  <c r="M313" i="19"/>
  <c r="M229" i="19"/>
  <c r="M268" i="19"/>
  <c r="M296" i="19"/>
  <c r="M349" i="19"/>
  <c r="M348" i="19"/>
  <c r="E23" i="28"/>
  <c r="H23" i="28"/>
  <c r="I23" i="28"/>
  <c r="L23" i="28" s="1"/>
  <c r="M209" i="19"/>
  <c r="M199" i="19"/>
  <c r="M320" i="19"/>
  <c r="M168" i="19"/>
  <c r="M191" i="19"/>
  <c r="M244" i="19"/>
  <c r="M235" i="19"/>
  <c r="M221" i="19"/>
  <c r="M216" i="19"/>
  <c r="M205" i="19"/>
  <c r="M200" i="19"/>
  <c r="K271" i="19"/>
  <c r="M251" i="19"/>
  <c r="I303" i="19"/>
  <c r="M308" i="19"/>
  <c r="I328" i="19"/>
  <c r="M283" i="19"/>
  <c r="E188" i="19"/>
  <c r="E187" i="19" s="1"/>
  <c r="M224" i="19"/>
  <c r="M214" i="19"/>
  <c r="M208" i="19"/>
  <c r="M264" i="19"/>
  <c r="M255" i="19"/>
  <c r="M250" i="19"/>
  <c r="J304" i="19"/>
  <c r="K352" i="19"/>
  <c r="K346" i="19" s="1"/>
  <c r="M225" i="19"/>
  <c r="K175" i="19"/>
  <c r="M176" i="19"/>
  <c r="M246" i="19"/>
  <c r="M231" i="19"/>
  <c r="M227" i="19"/>
  <c r="M222" i="19"/>
  <c r="M206" i="19"/>
  <c r="M203" i="19"/>
  <c r="J295" i="19"/>
  <c r="K295" i="19"/>
  <c r="L295" i="19"/>
  <c r="E310" i="19"/>
  <c r="M312" i="19"/>
  <c r="M195" i="19"/>
  <c r="I306" i="19"/>
  <c r="F310" i="19"/>
  <c r="L352" i="19"/>
  <c r="L346" i="19" s="1"/>
  <c r="K202" i="19"/>
  <c r="M158" i="19"/>
  <c r="J211" i="19"/>
  <c r="K211" i="19"/>
  <c r="K307" i="19"/>
  <c r="G352" i="19"/>
  <c r="M190" i="19"/>
  <c r="K223" i="19"/>
  <c r="J307" i="19"/>
  <c r="K217" i="19"/>
  <c r="M331" i="19"/>
  <c r="M159" i="19"/>
  <c r="M150" i="19"/>
  <c r="M167" i="19"/>
  <c r="M181" i="19"/>
  <c r="M156" i="19"/>
  <c r="J202" i="19"/>
  <c r="L149" i="19"/>
  <c r="I147" i="19"/>
  <c r="M165" i="19"/>
  <c r="L175" i="19"/>
  <c r="M182" i="19"/>
  <c r="M166" i="19"/>
  <c r="M154" i="19"/>
  <c r="M152" i="19"/>
  <c r="M194" i="19"/>
  <c r="J217" i="19"/>
  <c r="M157" i="19"/>
  <c r="M177" i="19"/>
  <c r="M151" i="19"/>
  <c r="G194" i="19"/>
  <c r="L188" i="19"/>
  <c r="M99" i="19"/>
  <c r="M82" i="19"/>
  <c r="F188" i="19"/>
  <c r="F187" i="19" s="1"/>
  <c r="M69" i="19"/>
  <c r="M102" i="19"/>
  <c r="K155" i="19"/>
  <c r="M68" i="19"/>
  <c r="M101" i="19"/>
  <c r="I213" i="19"/>
  <c r="L213" i="19" s="1"/>
  <c r="L100" i="19"/>
  <c r="M100" i="19" s="1"/>
  <c r="M103" i="19"/>
  <c r="M70" i="19"/>
  <c r="M89" i="19"/>
  <c r="M95" i="19"/>
  <c r="M106" i="19"/>
  <c r="M97" i="19"/>
  <c r="M90" i="19"/>
  <c r="M108" i="19"/>
  <c r="M75" i="19"/>
  <c r="M96" i="19"/>
  <c r="M107" i="19"/>
  <c r="M81" i="19"/>
  <c r="M87" i="19"/>
  <c r="M105" i="19"/>
  <c r="M80" i="19"/>
  <c r="M110" i="19"/>
  <c r="M91" i="19"/>
  <c r="M76" i="19"/>
  <c r="F98" i="19"/>
  <c r="E98" i="19"/>
  <c r="K98" i="19" s="1"/>
  <c r="G99" i="19"/>
  <c r="F94" i="19"/>
  <c r="L94" i="19" s="1"/>
  <c r="E94" i="19"/>
  <c r="K94" i="19" s="1"/>
  <c r="G95" i="19"/>
  <c r="G96" i="19"/>
  <c r="G97" i="19"/>
  <c r="G89" i="19"/>
  <c r="G90" i="19"/>
  <c r="G91" i="19"/>
  <c r="F88" i="19"/>
  <c r="L88" i="19" s="1"/>
  <c r="E88" i="19"/>
  <c r="K88" i="19" s="1"/>
  <c r="G87" i="19"/>
  <c r="E86" i="19"/>
  <c r="K86" i="19" s="1"/>
  <c r="G80" i="19"/>
  <c r="G81" i="19"/>
  <c r="G82" i="19"/>
  <c r="F79" i="19"/>
  <c r="E79" i="19"/>
  <c r="G76" i="19"/>
  <c r="G75" i="19"/>
  <c r="F73" i="19"/>
  <c r="E73" i="19"/>
  <c r="G74" i="19"/>
  <c r="G68" i="19"/>
  <c r="G69" i="19"/>
  <c r="G70" i="19"/>
  <c r="L20" i="19"/>
  <c r="L21" i="19"/>
  <c r="L22" i="19"/>
  <c r="L23" i="19"/>
  <c r="L24" i="19"/>
  <c r="L26" i="19"/>
  <c r="L30" i="19"/>
  <c r="L34" i="19"/>
  <c r="L36" i="19"/>
  <c r="L43" i="19"/>
  <c r="L46" i="19"/>
  <c r="L51" i="19"/>
  <c r="L53" i="19"/>
  <c r="L59" i="19"/>
  <c r="K20" i="19"/>
  <c r="K21" i="19"/>
  <c r="K22" i="19"/>
  <c r="K24" i="19"/>
  <c r="K26" i="19"/>
  <c r="K34" i="19"/>
  <c r="K36" i="19"/>
  <c r="K51" i="19"/>
  <c r="K53" i="19"/>
  <c r="K59" i="19"/>
  <c r="I19" i="19"/>
  <c r="I18" i="19" s="1"/>
  <c r="L42" i="19"/>
  <c r="L39" i="19"/>
  <c r="K39" i="19"/>
  <c r="J175" i="19"/>
  <c r="J219" i="19"/>
  <c r="G20" i="19"/>
  <c r="G21" i="19"/>
  <c r="G22" i="19"/>
  <c r="F50" i="19"/>
  <c r="F18" i="19" s="1"/>
  <c r="E50" i="19"/>
  <c r="K50" i="19" s="1"/>
  <c r="G51" i="19"/>
  <c r="L58" i="19"/>
  <c r="E58" i="19"/>
  <c r="G59" i="19"/>
  <c r="L52" i="19"/>
  <c r="E52" i="19"/>
  <c r="K52" i="19" s="1"/>
  <c r="G53" i="19"/>
  <c r="L45" i="19"/>
  <c r="E45" i="19"/>
  <c r="K45" i="19" s="1"/>
  <c r="G46" i="19"/>
  <c r="K35" i="19"/>
  <c r="G36" i="19"/>
  <c r="L33" i="19"/>
  <c r="E29" i="19"/>
  <c r="K29" i="19" s="1"/>
  <c r="G30" i="19"/>
  <c r="G26" i="19"/>
  <c r="E25" i="19"/>
  <c r="K23" i="19"/>
  <c r="G24" i="19"/>
  <c r="G19" i="19"/>
  <c r="G34" i="19"/>
  <c r="G100" i="19"/>
  <c r="G105" i="19"/>
  <c r="G108" i="19"/>
  <c r="G149" i="19"/>
  <c r="G153" i="19"/>
  <c r="G155" i="19"/>
  <c r="G157" i="19"/>
  <c r="G159" i="19"/>
  <c r="G165" i="19"/>
  <c r="G167" i="19"/>
  <c r="G175" i="19"/>
  <c r="G181" i="19"/>
  <c r="G189" i="19"/>
  <c r="G198" i="19"/>
  <c r="G201" i="19"/>
  <c r="G205" i="19"/>
  <c r="G207" i="19"/>
  <c r="G213" i="19"/>
  <c r="G219" i="19"/>
  <c r="G223" i="19"/>
  <c r="G226" i="19"/>
  <c r="G228" i="19"/>
  <c r="G230" i="19"/>
  <c r="G234" i="19"/>
  <c r="G241" i="19"/>
  <c r="G245" i="19"/>
  <c r="G249" i="19"/>
  <c r="G254" i="19"/>
  <c r="G258" i="19"/>
  <c r="G263" i="19"/>
  <c r="G267" i="19"/>
  <c r="G269" i="19"/>
  <c r="G281" i="19"/>
  <c r="G311" i="19"/>
  <c r="G319" i="19"/>
  <c r="G324" i="19"/>
  <c r="G330" i="19"/>
  <c r="G347" i="19"/>
  <c r="K248" i="19" l="1"/>
  <c r="L248" i="19"/>
  <c r="L247" i="19" s="1"/>
  <c r="K58" i="19"/>
  <c r="M58" i="19" s="1"/>
  <c r="E18" i="19"/>
  <c r="E17" i="19" s="1"/>
  <c r="H280" i="19"/>
  <c r="H279" i="19" s="1"/>
  <c r="I280" i="19"/>
  <c r="I279" i="19" s="1"/>
  <c r="L197" i="19"/>
  <c r="L50" i="19"/>
  <c r="M50" i="19" s="1"/>
  <c r="F17" i="19"/>
  <c r="L318" i="19"/>
  <c r="L317" i="19" s="1"/>
  <c r="I17" i="19"/>
  <c r="L19" i="19"/>
  <c r="M258" i="19"/>
  <c r="M254" i="19"/>
  <c r="M241" i="19"/>
  <c r="M226" i="19"/>
  <c r="M269" i="19"/>
  <c r="G346" i="19"/>
  <c r="H197" i="19"/>
  <c r="H196" i="19" s="1"/>
  <c r="M228" i="19"/>
  <c r="M234" i="19"/>
  <c r="M263" i="19"/>
  <c r="M230" i="19"/>
  <c r="M324" i="19"/>
  <c r="M245" i="19"/>
  <c r="K207" i="19"/>
  <c r="J207" i="19"/>
  <c r="M311" i="19"/>
  <c r="K294" i="19"/>
  <c r="M267" i="19"/>
  <c r="K213" i="19"/>
  <c r="M217" i="19"/>
  <c r="E196" i="19"/>
  <c r="M319" i="19"/>
  <c r="M271" i="19"/>
  <c r="M304" i="19"/>
  <c r="M202" i="19"/>
  <c r="F247" i="19"/>
  <c r="L303" i="19"/>
  <c r="M310" i="19"/>
  <c r="F317" i="19"/>
  <c r="E247" i="19"/>
  <c r="K306" i="19"/>
  <c r="J294" i="19"/>
  <c r="F309" i="19"/>
  <c r="F328" i="19"/>
  <c r="L306" i="19"/>
  <c r="E309" i="19"/>
  <c r="E317" i="19"/>
  <c r="F345" i="19"/>
  <c r="L294" i="19"/>
  <c r="M307" i="19"/>
  <c r="F196" i="19"/>
  <c r="E345" i="19"/>
  <c r="K303" i="19"/>
  <c r="M198" i="19"/>
  <c r="K201" i="19"/>
  <c r="I197" i="19"/>
  <c r="M153" i="19"/>
  <c r="K149" i="19"/>
  <c r="K148" i="19" s="1"/>
  <c r="M219" i="19"/>
  <c r="M211" i="19"/>
  <c r="M249" i="19"/>
  <c r="K25" i="19"/>
  <c r="M175" i="19"/>
  <c r="M189" i="19"/>
  <c r="J306" i="19"/>
  <c r="J201" i="19"/>
  <c r="M352" i="19"/>
  <c r="J303" i="19"/>
  <c r="M295" i="19"/>
  <c r="H247" i="19"/>
  <c r="J247" i="19" s="1"/>
  <c r="M223" i="19"/>
  <c r="L309" i="19"/>
  <c r="L155" i="19"/>
  <c r="M155" i="19" s="1"/>
  <c r="J213" i="19"/>
  <c r="G33" i="19"/>
  <c r="G88" i="19"/>
  <c r="H65" i="19"/>
  <c r="M188" i="19"/>
  <c r="L187" i="19"/>
  <c r="M187" i="19" s="1"/>
  <c r="G58" i="19"/>
  <c r="L29" i="19"/>
  <c r="G35" i="19"/>
  <c r="K73" i="19"/>
  <c r="K79" i="19"/>
  <c r="L79" i="19"/>
  <c r="G94" i="19"/>
  <c r="G23" i="19"/>
  <c r="M52" i="19"/>
  <c r="F85" i="19"/>
  <c r="L85" i="19" s="1"/>
  <c r="L86" i="19"/>
  <c r="M86" i="19" s="1"/>
  <c r="M88" i="19"/>
  <c r="M94" i="19"/>
  <c r="G73" i="19"/>
  <c r="L74" i="19"/>
  <c r="M74" i="19" s="1"/>
  <c r="G98" i="19"/>
  <c r="L98" i="19"/>
  <c r="M98" i="19" s="1"/>
  <c r="E85" i="19"/>
  <c r="K85" i="19" s="1"/>
  <c r="M46" i="19"/>
  <c r="M36" i="19"/>
  <c r="M34" i="19"/>
  <c r="M26" i="19"/>
  <c r="M20" i="19"/>
  <c r="M30" i="19"/>
  <c r="G86" i="19"/>
  <c r="G52" i="19"/>
  <c r="M39" i="19"/>
  <c r="M53" i="19"/>
  <c r="G79" i="19"/>
  <c r="G50" i="19"/>
  <c r="M51" i="19"/>
  <c r="M22" i="19"/>
  <c r="G67" i="19"/>
  <c r="M59" i="19"/>
  <c r="M24" i="19"/>
  <c r="M21" i="19"/>
  <c r="M45" i="19"/>
  <c r="M23" i="19"/>
  <c r="L25" i="19"/>
  <c r="G25" i="19"/>
  <c r="K33" i="19"/>
  <c r="G45" i="19"/>
  <c r="G29" i="19"/>
  <c r="L148" i="19" l="1"/>
  <c r="K66" i="19"/>
  <c r="K65" i="19" s="1"/>
  <c r="E66" i="19"/>
  <c r="E65" i="19" s="1"/>
  <c r="E356" i="19" s="1"/>
  <c r="K280" i="19"/>
  <c r="F66" i="19"/>
  <c r="F65" i="19" s="1"/>
  <c r="L280" i="19"/>
  <c r="L279" i="19" s="1"/>
  <c r="L18" i="19"/>
  <c r="M33" i="19"/>
  <c r="K197" i="19"/>
  <c r="M35" i="19"/>
  <c r="M207" i="19"/>
  <c r="M318" i="19"/>
  <c r="J280" i="19"/>
  <c r="M213" i="19"/>
  <c r="M294" i="19"/>
  <c r="J279" i="19"/>
  <c r="K309" i="19"/>
  <c r="K247" i="19"/>
  <c r="K345" i="19"/>
  <c r="M303" i="19"/>
  <c r="M306" i="19"/>
  <c r="K317" i="19"/>
  <c r="G18" i="19"/>
  <c r="K147" i="19"/>
  <c r="I196" i="19"/>
  <c r="M25" i="19"/>
  <c r="M149" i="19"/>
  <c r="M248" i="19"/>
  <c r="I65" i="19"/>
  <c r="J248" i="19"/>
  <c r="L345" i="19"/>
  <c r="M346" i="19"/>
  <c r="M201" i="19"/>
  <c r="M19" i="19"/>
  <c r="J197" i="19"/>
  <c r="M29" i="19"/>
  <c r="M79" i="19"/>
  <c r="M67" i="19"/>
  <c r="L73" i="19"/>
  <c r="L66" i="19" s="1"/>
  <c r="M85" i="19"/>
  <c r="G85" i="19"/>
  <c r="J147" i="19"/>
  <c r="J148" i="19"/>
  <c r="G329" i="19"/>
  <c r="G318" i="19"/>
  <c r="G310" i="19"/>
  <c r="G280" i="19"/>
  <c r="G248" i="19"/>
  <c r="G197" i="19"/>
  <c r="G188" i="19"/>
  <c r="G148" i="19"/>
  <c r="J65" i="19" l="1"/>
  <c r="I356" i="19"/>
  <c r="M66" i="19"/>
  <c r="M247" i="19"/>
  <c r="M328" i="19"/>
  <c r="L196" i="19"/>
  <c r="M280" i="19"/>
  <c r="M309" i="19"/>
  <c r="K196" i="19"/>
  <c r="K279" i="19"/>
  <c r="M345" i="19"/>
  <c r="M317" i="19"/>
  <c r="M148" i="19"/>
  <c r="J196" i="19"/>
  <c r="L147" i="19"/>
  <c r="M147" i="19" s="1"/>
  <c r="M197" i="19"/>
  <c r="G66" i="19"/>
  <c r="M73" i="19"/>
  <c r="G147" i="19"/>
  <c r="G196" i="19"/>
  <c r="F279" i="19"/>
  <c r="G317" i="19"/>
  <c r="G345" i="19"/>
  <c r="G187" i="19"/>
  <c r="G247" i="19"/>
  <c r="G309" i="19"/>
  <c r="G328" i="19"/>
  <c r="G65" i="19"/>
  <c r="G29" i="23"/>
  <c r="G26" i="23" s="1"/>
  <c r="H29" i="23"/>
  <c r="H26" i="23" s="1"/>
  <c r="G18" i="23"/>
  <c r="G25" i="23" s="1"/>
  <c r="L65" i="19" l="1"/>
  <c r="M65" i="19" s="1"/>
  <c r="M196" i="19"/>
  <c r="M279" i="19"/>
  <c r="G279" i="19"/>
  <c r="F356" i="19"/>
  <c r="E29" i="23"/>
  <c r="C29" i="23" s="1"/>
  <c r="G17" i="19"/>
  <c r="L17" i="19"/>
  <c r="H18" i="23"/>
  <c r="H25" i="23" s="1"/>
  <c r="E27" i="23"/>
  <c r="C27" i="23" s="1"/>
  <c r="G23" i="23"/>
  <c r="G30" i="23" s="1"/>
  <c r="L356" i="19" l="1"/>
  <c r="G356" i="19"/>
  <c r="E26" i="23"/>
  <c r="C26" i="23" s="1"/>
  <c r="H23" i="23"/>
  <c r="H30" i="23" s="1"/>
  <c r="E18" i="23"/>
  <c r="C18" i="23" s="1"/>
  <c r="E25" i="23" l="1"/>
  <c r="C25" i="23" s="1"/>
  <c r="E23" i="23"/>
  <c r="E30" i="23" l="1"/>
  <c r="C30" i="23" s="1"/>
  <c r="C23" i="23"/>
  <c r="G119" i="19"/>
  <c r="G120" i="19"/>
  <c r="K43" i="19"/>
  <c r="M43" i="19" s="1"/>
  <c r="H44" i="19"/>
  <c r="H42" i="19"/>
  <c r="H18" i="19" l="1"/>
  <c r="J42" i="19"/>
  <c r="J44" i="19"/>
  <c r="K42" i="19"/>
  <c r="H17" i="19"/>
  <c r="K44" i="19"/>
  <c r="M44" i="19" s="1"/>
  <c r="K18" i="19" l="1"/>
  <c r="M18" i="19" s="1"/>
  <c r="M42" i="19"/>
  <c r="J17" i="19"/>
  <c r="H356" i="19"/>
  <c r="K17" i="19"/>
  <c r="K356" i="19" s="1"/>
  <c r="J18" i="19"/>
  <c r="J356" i="19" l="1"/>
  <c r="M17" i="19"/>
  <c r="M356" i="19"/>
</calcChain>
</file>

<file path=xl/sharedStrings.xml><?xml version="1.0" encoding="utf-8"?>
<sst xmlns="http://schemas.openxmlformats.org/spreadsheetml/2006/main" count="2056" uniqueCount="753">
  <si>
    <t>(код бюджету)</t>
  </si>
  <si>
    <t>Усього</t>
  </si>
  <si>
    <t>Загальний фонд</t>
  </si>
  <si>
    <t>Спеціальний фонд</t>
  </si>
  <si>
    <t>усього</t>
  </si>
  <si>
    <t>у тому числі бюджет розвитку</t>
  </si>
  <si>
    <t>X</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</si>
  <si>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</si>
  <si>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</si>
  <si>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</si>
  <si>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</si>
  <si>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</si>
  <si>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видатки споживання</t>
  </si>
  <si>
    <t>0200000</t>
  </si>
  <si>
    <t/>
  </si>
  <si>
    <t>0210000</t>
  </si>
  <si>
    <t>0111</t>
  </si>
  <si>
    <t>0212010</t>
  </si>
  <si>
    <t>2010</t>
  </si>
  <si>
    <t>0731</t>
  </si>
  <si>
    <t>Багатопрофільна стаціонарна медична допомога населенню</t>
  </si>
  <si>
    <t>0212111</t>
  </si>
  <si>
    <t>2111</t>
  </si>
  <si>
    <t>0726</t>
  </si>
  <si>
    <t>Первинна медична допомога населенню, що надається центрами первинної медичної (медико-санітарної) допомоги</t>
  </si>
  <si>
    <t>6030</t>
  </si>
  <si>
    <t>0620</t>
  </si>
  <si>
    <t>Організація благоустрою населених пунктів</t>
  </si>
  <si>
    <t>0217530</t>
  </si>
  <si>
    <t>7530</t>
  </si>
  <si>
    <t>0460</t>
  </si>
  <si>
    <t>Інші заходи у сфері зв`язку, телекомунікації та інформатики</t>
  </si>
  <si>
    <t>0218220</t>
  </si>
  <si>
    <t>8220</t>
  </si>
  <si>
    <t>0380</t>
  </si>
  <si>
    <t>Заходи та роботи з мобілізаційної підготовки місцевого значення</t>
  </si>
  <si>
    <t>0218410</t>
  </si>
  <si>
    <t>8410</t>
  </si>
  <si>
    <t>0830</t>
  </si>
  <si>
    <t>Фінансова підтримка засобів масової інформації</t>
  </si>
  <si>
    <t>0600000</t>
  </si>
  <si>
    <t>0610000</t>
  </si>
  <si>
    <t>0160</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</si>
  <si>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</si>
  <si>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</si>
  <si>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</si>
  <si>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</si>
  <si>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</si>
  <si>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</si>
  <si>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</si>
  <si>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</si>
  <si>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</si>
  <si>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</si>
  <si>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</si>
  <si>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</si>
  <si>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0990</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</si>
  <si>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</si>
  <si>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</si>
  <si>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</si>
  <si>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</si>
  <si>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</si>
  <si>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</si>
  <si>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</si>
  <si>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</si>
  <si>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</si>
  <si>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1040</t>
  </si>
  <si>
    <t>0800000</t>
  </si>
  <si>
    <t>0810000</t>
  </si>
  <si>
    <t>1030</t>
  </si>
  <si>
    <t>0813032</t>
  </si>
  <si>
    <t>3032</t>
  </si>
  <si>
    <t>Надання пільг окремим категоріям громадян з оплати послуг зв`язку</t>
  </si>
  <si>
    <t>1090</t>
  </si>
  <si>
    <t>0813242</t>
  </si>
  <si>
    <t>3242</t>
  </si>
  <si>
    <t>Інші заходи у сфері соціального захисту і соціального забезпечення</t>
  </si>
  <si>
    <t>0900000</t>
  </si>
  <si>
    <t>0910000</t>
  </si>
  <si>
    <t>0913112</t>
  </si>
  <si>
    <t>3112</t>
  </si>
  <si>
    <t>Заходи державної політики з питань дітей та їх соціального захисту</t>
  </si>
  <si>
    <t>1000000</t>
  </si>
  <si>
    <t>1010000</t>
  </si>
  <si>
    <t>1011080</t>
  </si>
  <si>
    <t>1080</t>
  </si>
  <si>
    <t>Надання спеціалізованої освіти мистецькими школами</t>
  </si>
  <si>
    <t>1013133</t>
  </si>
  <si>
    <t>3133</t>
  </si>
  <si>
    <t>Інші заходи та заклади молодіжної політики</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</si>
  <si>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</si>
  <si>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</si>
  <si>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</si>
  <si>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</si>
  <si>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</si>
  <si>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</si>
  <si>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</si>
  <si>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</si>
  <si>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</si>
  <si>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</si>
  <si>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</si>
  <si>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0829</t>
  </si>
  <si>
    <t>1014082</t>
  </si>
  <si>
    <t>4082</t>
  </si>
  <si>
    <t>Інші заходи в галузі культури і мистецтва</t>
  </si>
  <si>
    <t>1015011</t>
  </si>
  <si>
    <t>5011</t>
  </si>
  <si>
    <t>0810</t>
  </si>
  <si>
    <t>Проведення навчально-тренувальних зборів і змагань з олімпійських видів спорту</t>
  </si>
  <si>
    <t>1015031</t>
  </si>
  <si>
    <t>5031</t>
  </si>
  <si>
    <t>1015061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</si>
  <si>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</si>
  <si>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</si>
  <si>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1015062</t>
  </si>
  <si>
    <t>5062</t>
  </si>
  <si>
    <t>Підтримка спорту вищих досягнень та організацій, які здійснюють фізкультурно-спортивну діяльність в регіоні</t>
  </si>
  <si>
    <t>1200000</t>
  </si>
  <si>
    <t>Управління житлово-комунального господарства Южненської міської ради Одеського району Одеської області</t>
  </si>
  <si>
    <t>1210000</t>
  </si>
  <si>
    <t>1210160</t>
  </si>
  <si>
    <t>1213210</t>
  </si>
  <si>
    <t>3210</t>
  </si>
  <si>
    <t>1050</t>
  </si>
  <si>
    <t>Організація та проведення громадських робіт</t>
  </si>
  <si>
    <t>1216013</t>
  </si>
  <si>
    <t>6013</t>
  </si>
  <si>
    <t>Забезпечення діяльності водопровідно-каналізаційного господарства</t>
  </si>
  <si>
    <t>1216030</t>
  </si>
  <si>
    <t>1217461</t>
  </si>
  <si>
    <t>7461</t>
  </si>
  <si>
    <t>0456</t>
  </si>
  <si>
    <t>Утримання та розвиток автомобільних доріг та дорожньої інфраструктури за рахунок коштів місцевого бюджету</t>
  </si>
  <si>
    <t>1218340</t>
  </si>
  <si>
    <t>8340</t>
  </si>
  <si>
    <t>0540</t>
  </si>
  <si>
    <t>Природоохоронні заходи за рахунок цільових фондів</t>
  </si>
  <si>
    <t>1500000</t>
  </si>
  <si>
    <t>1510000</t>
  </si>
  <si>
    <t>УСЬОГО</t>
  </si>
  <si>
    <t>0218230</t>
  </si>
  <si>
    <t>Інші заходи громадського порядку та безпеки</t>
  </si>
  <si>
    <t>Програма підтримки та розвитку вторинної медичної допомоги Южненської міської територіальної громади на  період 2023-2025 роки</t>
  </si>
  <si>
    <t>Додаток 1</t>
  </si>
  <si>
    <t>1559100000</t>
  </si>
  <si>
    <t>Додаток 2</t>
  </si>
  <si>
    <t>РОЗПОДІЛ</t>
  </si>
  <si>
    <t>РАЗОМ</t>
  </si>
  <si>
    <t>0210150</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</si>
  <si>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</si>
  <si>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</si>
  <si>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0217680</t>
  </si>
  <si>
    <t>7680</t>
  </si>
  <si>
    <t>0490</t>
  </si>
  <si>
    <t>Членські внески до асоціацій органів місцевого самоврядування</t>
  </si>
  <si>
    <t>8230</t>
  </si>
  <si>
    <t>0610160</t>
  </si>
  <si>
    <t>Керівництво і управління у відповідній сфері у містах (місті Києві), селищах, селах, територіальних громадах</t>
  </si>
  <si>
    <t>0611031</t>
  </si>
  <si>
    <t>1031</t>
  </si>
  <si>
    <t>0611141</t>
  </si>
  <si>
    <t>1141</t>
  </si>
  <si>
    <t>Забезпечення діяльності інших закладів у сфері освіти</t>
  </si>
  <si>
    <t>0810160</t>
  </si>
  <si>
    <t>0813105</t>
  </si>
  <si>
    <t>3105</t>
  </si>
  <si>
    <t>Надання реабілітаційних послуг особам з інвалідністю та дітям з інвалідністю</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</si>
  <si>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</si>
  <si>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</si>
  <si>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</si>
  <si>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0813241</t>
  </si>
  <si>
    <t>3241</t>
  </si>
  <si>
    <t>0910160</t>
  </si>
  <si>
    <t>1010160</t>
  </si>
  <si>
    <t>1014081</t>
  </si>
  <si>
    <t>4081</t>
  </si>
  <si>
    <t>Забезпечення діяльності інших закладів в галузі культури і мистецтва</t>
  </si>
  <si>
    <t>1015041</t>
  </si>
  <si>
    <t>5041</t>
  </si>
  <si>
    <t>1510160</t>
  </si>
  <si>
    <t>1600000</t>
  </si>
  <si>
    <t>Управління архітектури та містобудування Южненської міської ради Одеського району Одеської області</t>
  </si>
  <si>
    <t>1610000</t>
  </si>
  <si>
    <t>1610160</t>
  </si>
  <si>
    <t>2700000</t>
  </si>
  <si>
    <t>Управління економіки Южненської міської ради Одеського району Одеської області</t>
  </si>
  <si>
    <t>2710000</t>
  </si>
  <si>
    <t>2710160</t>
  </si>
  <si>
    <t>3100000</t>
  </si>
  <si>
    <t>3110000</t>
  </si>
  <si>
    <t>3110160</t>
  </si>
  <si>
    <t>3700000</t>
  </si>
  <si>
    <t>3710000</t>
  </si>
  <si>
    <t>3710160</t>
  </si>
  <si>
    <t>3718710</t>
  </si>
  <si>
    <t>8710</t>
  </si>
  <si>
    <t>0133</t>
  </si>
  <si>
    <t>Резервний фонд місцевого бюджету</t>
  </si>
  <si>
    <t>0180</t>
  </si>
  <si>
    <t xml:space="preserve"> 
Інша діяльність у сфері державного управління</t>
  </si>
  <si>
    <t xml:space="preserve">Програма  щодо відзначення, заохочення та вшанування пам'яті громадян, яким присвоєно звання  "Почесний громадянин Южненської міської територіальної громади" та нагороджених Почесною відзнакою "За заслуги перед Южненською міською територіальною громадою" на 2023-2025 роки,  шляхом викладення її в новій редакції" </t>
  </si>
  <si>
    <t>Програма розвитку та підтримки первинної медико-санітарної допомоги Южненської міської територіальної громади  на 2024-2026 роки</t>
  </si>
  <si>
    <t xml:space="preserve">Міська цільова програма "Громадське здоров'я" Южненської міської територіальної громади на 2024-2026 роки" </t>
  </si>
  <si>
    <t>Програма  плану дій щодо реалізації  Конвенції ООН  про права дитини на 2024-2026 роки Южненської міської територіальної громади</t>
  </si>
  <si>
    <t>0212152</t>
  </si>
  <si>
    <t>0763</t>
  </si>
  <si>
    <t>Програма розвитку фізичної культури і спорту в Южненській міській територіальній  громаді на 2024-2026 роки</t>
  </si>
  <si>
    <t>0320</t>
  </si>
  <si>
    <t>Заходи із запобігання та ліквідації надзвичайних ситуацій та наслідків стихійного лиха</t>
  </si>
  <si>
    <t>Забезпечення діяльності з виробництва, транспортування, постачання теплової енергії</t>
  </si>
  <si>
    <t>Програма "Соціальний автобус"  на території Южненської міської  територіальної громади на 2024-2026 роки</t>
  </si>
  <si>
    <t>Інші заходи у сфері автотранспорту</t>
  </si>
  <si>
    <t>0451</t>
  </si>
  <si>
    <t>Програма соціального захисту та підтримки окремих категорій населення Южненської міської територіальної громади на 2024-2026 роки</t>
  </si>
  <si>
    <t xml:space="preserve">Інші діяльність у сфері державного управління </t>
  </si>
  <si>
    <t>Інші програми та заходи у сфері охорони здоров'я</t>
  </si>
  <si>
    <t>0217650</t>
  </si>
  <si>
    <t>Проведення експертної грошової оцінки земельної ділянки чи права на неї</t>
  </si>
  <si>
    <t>0217660</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</si>
  <si>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</si>
  <si>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</si>
  <si>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Програма національно-патріотичного виховання дітей та молоді  Южненської міської територіальної  громади на 2024-2026  роки</t>
  </si>
  <si>
    <t>Программа підтримки органу самоорганізації населення в місті Южному на 2023-2025 роки</t>
  </si>
  <si>
    <t>0611152</t>
  </si>
  <si>
    <t>1152</t>
  </si>
  <si>
    <t>Забезпечення діяльності інклюзивно-ресурсних центрів за рахунок освітньої субвенції</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</si>
  <si>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</si>
  <si>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</si>
  <si>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</si>
  <si>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</si>
  <si>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</si>
  <si>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</si>
  <si>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</si>
  <si>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</si>
  <si>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 xml:space="preserve">Рішення ЮМР від 23.08.2023 року № 1428-VIІI </t>
  </si>
  <si>
    <t>0640</t>
  </si>
  <si>
    <t>(грн)</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</si>
  <si>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</si>
  <si>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</si>
  <si>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 xml:space="preserve">Загальна вартість робіт, гривень </t>
  </si>
  <si>
    <t>Обсяг видатків бюджету розвитку, які спрямовані на будівництво об'єкта на початок бюджетного періоду, гривень</t>
  </si>
  <si>
    <t>Рівень виконання робіт на початок бюджетного періоду,%</t>
  </si>
  <si>
    <t>Обсяг видатків бюджету розвитку, які спрямовуються на будівництво об'єкта у бюджетному періоді, гривень</t>
  </si>
  <si>
    <t>Рівень  готовності об'єкта на кінець бюджетного періоду, %</t>
  </si>
  <si>
    <t>1</t>
  </si>
  <si>
    <t>2</t>
  </si>
  <si>
    <t>3</t>
  </si>
  <si>
    <t>5</t>
  </si>
  <si>
    <t>6</t>
  </si>
  <si>
    <t>7</t>
  </si>
  <si>
    <t>8</t>
  </si>
  <si>
    <t>9</t>
  </si>
  <si>
    <t>Придбання обладнання і предметів довгострокового користування</t>
  </si>
  <si>
    <t xml:space="preserve">Видатки на проведення експертної грошової оцінки земельних ділянок, що підлягають продажу </t>
  </si>
  <si>
    <t>проектні роботи</t>
  </si>
  <si>
    <t>коригування проектної документації</t>
  </si>
  <si>
    <t>х</t>
  </si>
  <si>
    <t>0443</t>
  </si>
  <si>
    <t>коригування проектно-вишукувальної документації</t>
  </si>
  <si>
    <t>Будівництво  медичних установ та закладів</t>
  </si>
  <si>
    <t>проектно-вишукувальні роботи</t>
  </si>
  <si>
    <t>Код</t>
  </si>
  <si>
    <t>Найменування згідно з Класифікацією доходів бюджету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</si>
  <si>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</si>
  <si>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</si>
  <si>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</si>
  <si>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</si>
  <si>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</si>
  <si>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</si>
  <si>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11020000</t>
  </si>
  <si>
    <t>Податок на прибуток підприємств  </t>
  </si>
  <si>
    <t>14000000</t>
  </si>
  <si>
    <t>Внутрішні податки на товари та послуги  </t>
  </si>
  <si>
    <t>14020000</t>
  </si>
  <si>
    <t>Акцизний податок з вироблених в Україні підакцизних товарів (продукції) </t>
  </si>
  <si>
    <t>14030000</t>
  </si>
  <si>
    <t>Акцизний податок з ввезених на митну територію України підакцизних товарів (продукції) </t>
  </si>
  <si>
    <t>14040000</t>
  </si>
  <si>
    <t>Акцизний податок з реалізації суб`єктами господарювання роздрібної торгівлі підакцизних товарів </t>
  </si>
  <si>
    <t>18000000</t>
  </si>
  <si>
    <t>Місцеві податки та збори, що сплачуються (перераховуються) згідно з Податковим кодексом України</t>
  </si>
  <si>
    <t>18010000</t>
  </si>
  <si>
    <t>Податок на майно </t>
  </si>
  <si>
    <t>Податок на нерухоме майно, відмінне від земельної ділянки</t>
  </si>
  <si>
    <t>Податок на нерухоме майно, відмінне від земельної ділянки, сплачений юридичними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</si>
  <si>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</si>
  <si>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нежитлової нерухомості </t>
  </si>
  <si>
    <t>Податок на нерухоме майно, відмінне від земельної ділянки, сплачений юридичними особами, які є власниками об`єктів нежитлової нерухомості </t>
  </si>
  <si>
    <t>Плата за землю</t>
  </si>
  <si>
    <t>Земельний податок з юридичних осіб </t>
  </si>
  <si>
    <t>Орендна плата з юридичних осіб </t>
  </si>
  <si>
    <t>Земельний податок з фізичних осіб </t>
  </si>
  <si>
    <t>Орендна плата з фізичних осіб </t>
  </si>
  <si>
    <t>18030000</t>
  </si>
  <si>
    <t>Туристичний збір </t>
  </si>
  <si>
    <t>18050000</t>
  </si>
  <si>
    <t>Єдиний податок  </t>
  </si>
  <si>
    <t>19000000</t>
  </si>
  <si>
    <t>Інші податки та збори </t>
  </si>
  <si>
    <t>19010000</t>
  </si>
  <si>
    <t>Екологічний податок </t>
  </si>
  <si>
    <t>20000000</t>
  </si>
  <si>
    <t>Неподаткові надходження  </t>
  </si>
  <si>
    <t>21000000</t>
  </si>
  <si>
    <t>Доходи від власності та підприємницької діяльності  </t>
  </si>
  <si>
    <t>21010300</t>
  </si>
  <si>
    <t>Частина чистого прибутку (доходу) комунальних унітарних підприємств та їх об`єднань, що вилучається до відповідного місцевого бюджету</t>
  </si>
  <si>
    <t>21081100</t>
  </si>
  <si>
    <t>Адміністративні штрафи та інші санкції </t>
  </si>
  <si>
    <t>21081700</t>
  </si>
  <si>
    <t>Плата за встановлення земельного сервітуту</t>
  </si>
  <si>
    <t>22000000</t>
  </si>
  <si>
    <t>Адміністративні збори та платежі, доходи від некомерційної господарської діяльності </t>
  </si>
  <si>
    <t>22010300</t>
  </si>
  <si>
    <t>Адміністративний збір за проведення державної реєстрації юридичних осіб, фізичних осіб - підприємців та громадських формувань</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</si>
  <si>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</si>
  <si>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</si>
  <si>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</si>
  <si>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 </t>
  </si>
  <si>
    <t>22080400</t>
  </si>
  <si>
    <t>Надходження від орендної плати за користування майновим комплексом та іншим майном, що перебуває в комунальній власності</t>
  </si>
  <si>
    <t>22090000</t>
  </si>
  <si>
    <t>Державне мито  </t>
  </si>
  <si>
    <t>24000000</t>
  </si>
  <si>
    <t>Інші неподаткові надходження  </t>
  </si>
  <si>
    <t>24060300</t>
  </si>
  <si>
    <t>Інші надходження  </t>
  </si>
  <si>
    <t>24062200</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</si>
  <si>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t>
  </si>
  <si>
    <t>24170000</t>
  </si>
  <si>
    <t>Надходження коштів пайової участі у розвитку інфраструктури населеного пункту</t>
  </si>
  <si>
    <t>25000000</t>
  </si>
  <si>
    <t>Власні надходження бюджетних установ  </t>
  </si>
  <si>
    <t>25010000</t>
  </si>
  <si>
    <t>Надходження від плати за послуги, що надаються бюджетними установами згідно із законодавством </t>
  </si>
  <si>
    <t>30000000</t>
  </si>
  <si>
    <t>Доходи від операцій з капіталом  </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</si>
  <si>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</si>
  <si>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</si>
  <si>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Усього доходів (без урахування міжбюджетних трансфертів)</t>
  </si>
  <si>
    <t>40000000</t>
  </si>
  <si>
    <t>Офіційні трансферти  </t>
  </si>
  <si>
    <t>41000000</t>
  </si>
  <si>
    <t>Від органів державного управління  </t>
  </si>
  <si>
    <t>Дотації з державного бюджету місцевим бюджетам</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</si>
  <si>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</si>
  <si>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41030000</t>
  </si>
  <si>
    <t>Субвенції з державного бюджету місцевим бюджетам</t>
  </si>
  <si>
    <t>41033900</t>
  </si>
  <si>
    <t>Освітня субвенція з державного бюджету місцевим бюджетам </t>
  </si>
  <si>
    <t>41051000</t>
  </si>
  <si>
    <t>Субвенція з місцевого бюджету на здійснення переданих видатків у сфері освіти за рахунок коштів освітньої субвенції</t>
  </si>
  <si>
    <t>Інші субвенції з місцевого бюджету (пільгове медичне обслуговування громадян, які постраждали внаслідок Чорнобильської катастрофи)</t>
  </si>
  <si>
    <t>Інші субвенції з місцевого бюджету (видатки на поховання учасників бойових дій та осіб з інвалідністю внаслідок війни)</t>
  </si>
  <si>
    <t>Інші субвенції з місцевого бюджету (компенсаційні виплати особам з інвалідністю на бензин,ремонт,технічне обслуговування автомобілів, мотоколясок і на транспортне обслуговування)</t>
  </si>
  <si>
    <t>Разом доходів</t>
  </si>
  <si>
    <t>Найменування згідно з Класифікацією фінансування бюджету</t>
  </si>
  <si>
    <t>Фінансування за типом кредитора</t>
  </si>
  <si>
    <t>200000</t>
  </si>
  <si>
    <t>Внутрішнє фінансування</t>
  </si>
  <si>
    <t>208000</t>
  </si>
  <si>
    <t>Фінансування за рахунок зміни залишків коштів бюджетів</t>
  </si>
  <si>
    <t>208100</t>
  </si>
  <si>
    <t>На початок періоду</t>
  </si>
  <si>
    <t>208200</t>
  </si>
  <si>
    <t>На кінець періоду</t>
  </si>
  <si>
    <t>208400</t>
  </si>
  <si>
    <t>Кошти, що передаються із загального фонду бюджету до бюджету розвитку (спеціального фонду)</t>
  </si>
  <si>
    <t>Загальне фінансування</t>
  </si>
  <si>
    <t>Фінансування за типом боргового зобов'язання</t>
  </si>
  <si>
    <t>600000</t>
  </si>
  <si>
    <t>Фінансування за активними операціями</t>
  </si>
  <si>
    <t>602000</t>
  </si>
  <si>
    <t>Зміни обсягів бюджетних коштів</t>
  </si>
  <si>
    <t>602100</t>
  </si>
  <si>
    <t>602200</t>
  </si>
  <si>
    <t>602400</t>
  </si>
  <si>
    <t>КРЕДИТУВАННЯ</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</si>
  <si>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</si>
  <si>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Повернення кредитів</t>
  </si>
  <si>
    <t>загальний фонд</t>
  </si>
  <si>
    <t>спеціальний фонд</t>
  </si>
  <si>
    <t>разом</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</si>
  <si>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</si>
  <si>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</si>
  <si>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 – надавача міжбюджетного трансферту</t>
  </si>
  <si>
    <t>99000000000</t>
  </si>
  <si>
    <t>Державний бюджет</t>
  </si>
  <si>
    <t>Обласний бюджет Одеської області</t>
  </si>
  <si>
    <t>15100000000</t>
  </si>
  <si>
    <t xml:space="preserve">УСЬОГО за розділом І та ІІ, у тому числі: </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</si>
  <si>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</si>
  <si>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</si>
  <si>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</si>
  <si>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Найменування трансферту/ Найменування бюджету – отримувача міжбюджетного трансферту</t>
  </si>
  <si>
    <t>І. Трансферти із загального фонду бюджету</t>
  </si>
  <si>
    <t xml:space="preserve">Інші субвенції з місцевого бюджету </t>
  </si>
  <si>
    <t>ІІ. Трансферти із спеціального фонду бюджету</t>
  </si>
  <si>
    <t>Додаток 8</t>
  </si>
  <si>
    <t>Найменування  заходу</t>
  </si>
  <si>
    <t>Обсяг видатків на бюджетний період</t>
  </si>
  <si>
    <t>4</t>
  </si>
  <si>
    <t>Озеленення території Южненської міської територіальної громади   у т.ч.</t>
  </si>
  <si>
    <t>% виконання</t>
  </si>
  <si>
    <t>0210180</t>
  </si>
  <si>
    <t xml:space="preserve"> видатки споживання</t>
  </si>
  <si>
    <t xml:space="preserve"> - оплата праці з нарахуваннями</t>
  </si>
  <si>
    <t xml:space="preserve"> - оплата комунальних послуг та енергоносіїв</t>
  </si>
  <si>
    <t xml:space="preserve"> видатки розвитку</t>
  </si>
  <si>
    <t xml:space="preserve"> - бюджет розвитку</t>
  </si>
  <si>
    <t>видатки розвитку</t>
  </si>
  <si>
    <t>Ігор ЧУГУННИКОВ</t>
  </si>
  <si>
    <t>Додаток № 6</t>
  </si>
  <si>
    <t xml:space="preserve"> до рішення Южненської міської ради</t>
  </si>
  <si>
    <t>від                    2018 року</t>
  </si>
  <si>
    <t>№                 -VIІ</t>
  </si>
  <si>
    <t>Додаток 6</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</si>
  <si>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</si>
  <si>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програми</t>
  </si>
  <si>
    <r>
      <t>Дата і номер документа,яким затверджено місцеву</t>
    </r>
    <r>
      <rPr>
        <sz val="12"/>
        <color indexed="10"/>
        <rFont val="Times New Roman"/>
        <family val="1"/>
        <charset val="204"/>
      </rPr>
      <t xml:space="preserve"> </t>
    </r>
    <r>
      <rPr>
        <sz val="12"/>
        <rFont val="Times New Roman"/>
        <family val="1"/>
        <charset val="204"/>
      </rPr>
      <t xml:space="preserve">програму </t>
    </r>
  </si>
  <si>
    <t xml:space="preserve">Загальний фонд </t>
  </si>
  <si>
    <t>Разом</t>
  </si>
  <si>
    <t>1516030</t>
  </si>
  <si>
    <t>Додаток 4</t>
  </si>
  <si>
    <t>Транспортний подаок з фізичних осіб</t>
  </si>
  <si>
    <t xml:space="preserve">Рентна плата та плата за використання інших природних ресурсів </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</si>
  <si>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</si>
  <si>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 xml:space="preserve">Інші джерела власних надходжень бюджетних установ  </t>
  </si>
  <si>
    <t>Цільові фонди</t>
  </si>
  <si>
    <t>Субвенція з місцевого бюджету за рахунок залишку коштів освітньої субвенції, що утворився на початок бюджетного періоду</t>
  </si>
  <si>
    <t>Субвенції з місцевих бюджетів іншим місцевим бюджетам</t>
  </si>
  <si>
    <t>Рентна плата за користування надрами загальнодержавного значення</t>
  </si>
  <si>
    <t>І. ТРАНФЕРТИ ДО ЗАГАЛЬНОГО ФОНДУ БЮДЖЕТУ</t>
  </si>
  <si>
    <t>ІІ. ТРАНСФЕРТИ ДО СПЕЦІАЛЬНОГО ФОНДУ БЮДЖЕТУ</t>
  </si>
  <si>
    <t>Додаток 3</t>
  </si>
  <si>
    <t>Додаток 5</t>
  </si>
  <si>
    <t>Секретар Південнівської міської ради</t>
  </si>
  <si>
    <t xml:space="preserve">Секретар Південнівської міської ради                                                                                                     Ігор ЧУГУННИКОВ                                                      </t>
  </si>
  <si>
    <t>Виконавчий комітет Південнівської міської ради Одеського району Одеської області</t>
  </si>
  <si>
    <t>Управління освіти Південнівської міської ради Одеського районого Одеської області</t>
  </si>
  <si>
    <t>Управління соціальної політики Південнівської міської ради Одеського району Одеської області</t>
  </si>
  <si>
    <t>Служба у справах дітей Південнівської міської ради Одеського району Одеської області</t>
  </si>
  <si>
    <t>Управління культури, спорту та молодіжної політики Південнівської міської ради Одеського району Одеської області</t>
  </si>
  <si>
    <t>Управління капітального будівництва Південнівської міської ради Одеського району Одеської області</t>
  </si>
  <si>
    <t>Фонд комунального майна Південнівської міської ради Одеського району Одеської області</t>
  </si>
  <si>
    <t xml:space="preserve">Виконавчий комітет Південнівської міської ради  Одеського району Одеської області </t>
  </si>
  <si>
    <t xml:space="preserve">Управління освіти Південнівської міської ради Одеського району Одеської області </t>
  </si>
  <si>
    <t xml:space="preserve">Управління соціальної політики Південнівської міської ради Одеського району Одеської області </t>
  </si>
  <si>
    <t xml:space="preserve">Виконавчий комітет Південнівської міської ради Одеського району Одеської області </t>
  </si>
  <si>
    <t xml:space="preserve">Управління праці та соціального захисту населення Південнівської міської ради Одеського району Одеської області </t>
  </si>
  <si>
    <t>Фінансове управління Південнівської міської ради Одеського району Одеської області</t>
  </si>
  <si>
    <t xml:space="preserve">Управління капітального будівництва Південнівської міської ради Одеського району Одеської області </t>
  </si>
  <si>
    <t>Затверджено на 2025 рік з урахуванням внесених змін</t>
  </si>
  <si>
    <t>Затверджено на 2025  рік з урахув. змін</t>
  </si>
  <si>
    <t>до рішення Південнівської міської ради</t>
  </si>
  <si>
    <t xml:space="preserve">Найменування  об'єкта  будівництва/вид будівельних робіт, у тому числі проєктні роботи </t>
  </si>
  <si>
    <t>Виконавчий комітет Південнівської  міської ради Одеського району Одеської області</t>
  </si>
  <si>
    <t>Капітальні трансферти підприємствам (установам, організаціям)</t>
  </si>
  <si>
    <t>0218240</t>
  </si>
  <si>
    <t>8240</t>
  </si>
  <si>
    <t>Заходи та роботи з територіальної оборони</t>
  </si>
  <si>
    <t>Управління освіти Південнівської міської ради Одеського району Одеської області</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</si>
  <si>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</si>
  <si>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</si>
  <si>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</si>
  <si>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</si>
  <si>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</si>
  <si>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</si>
  <si>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 xml:space="preserve"> Надання комплексу послуг особам/сім’ям у сфері соціального захисту та соціального забезпечення іншими надавачами соціальних послуг</t>
  </si>
  <si>
    <t>1216015</t>
  </si>
  <si>
    <t>6015</t>
  </si>
  <si>
    <t>Забезпечення надійної та безперебійної експлуатації ліфтів</t>
  </si>
  <si>
    <t>1511021</t>
  </si>
  <si>
    <t>Надання загальної середньої освіти закладами загальної середньої освіти за рахунок коштів місцевого бюджету</t>
  </si>
  <si>
    <t>Капітальний ремонт системи вентиляції в приміщеннях найпростішого укриття № ХХІІІ; XХVII; XXIV; XXVIII; XXXII; XXXI; XXIX-XXX; XXXIX; XXXIII; XXXIV; XXXIX-1; XXXV; XXXV-1; XXXVI; XXXVII; XXXVIII; XXXVII-1; XXXVIII-1; I-1;I-2, що планується використовувати для укриття учасників освітнього процесу Ліцею № 3 "Авторська школа М.П.Гузика" Южненської міської ради Одеського району Одеської області за адресою: Одеська область, Одеський район, Южненська територіальна громада, м. Южне, вул. Хіміків, 10-А, в т.ч.:</t>
  </si>
  <si>
    <t>2024-2025 роки</t>
  </si>
  <si>
    <t>проєктні роботи</t>
  </si>
  <si>
    <t>Капітальний ремонт частини підвального приміщення з влаштуванням споруд подвійного призначення з властивостями найпростішого укриття блоку № 3, що планується використовувати для укриття учасників освітнього процесу Ліцею № 1 Южненської міської ради Одеського району Одеської області за адресою: просп. Миру, будинок 19-А, м .Южне, Одеського району, Одеської області, у т.ч.:</t>
  </si>
  <si>
    <t>2023-2025  роки</t>
  </si>
  <si>
    <t xml:space="preserve">2025 рік </t>
  </si>
  <si>
    <t>1512170</t>
  </si>
  <si>
    <t>2170</t>
  </si>
  <si>
    <t xml:space="preserve">Проєктні роботи "Реконструкція електричних мереж з встановленням сонячної станції на покрівлі КНП "Південнівська міська лікарня" Південнівської міської ради за адресою: Одеська область, Одеський район, м. Південне, вул. Хіміків, 1" </t>
  </si>
  <si>
    <t>2020,2023-2025 роки</t>
  </si>
  <si>
    <t xml:space="preserve">проектні роботи </t>
  </si>
  <si>
    <t xml:space="preserve">кошти на оплату послуг, пов'язаних із підготовкою до виконання робіт, їх здійсненням та введенням об'єктів будівництва в експлуатацію </t>
  </si>
  <si>
    <t>1516012</t>
  </si>
  <si>
    <t>6012</t>
  </si>
  <si>
    <t>Капітальний ремонт ділянки теплових мереж від ТК-15 до вводів у будівлі Ліцею №1 та ЗДО №3 м.Южного Одеського району Одеської області, у т.ч.:</t>
  </si>
  <si>
    <t xml:space="preserve">2024-2025 роки </t>
  </si>
  <si>
    <t>Реконструкція котельні з встановленням когенераційної установки, за адресою: 65481, Одеська область, Одеський район, Южненська територіальна громада, м. Южне, вул. Старомиколаївське шосе, 8, в т.ч.:</t>
  </si>
  <si>
    <t>у т.ч.</t>
  </si>
  <si>
    <t>Субвенція</t>
  </si>
  <si>
    <t>Інші субвенції з місцевого бюджету</t>
  </si>
  <si>
    <t>Інші заходи, пов'язані з економічною діяльністю</t>
  </si>
  <si>
    <t>Капітальний ремонт твердого покриття (пішохідна доріжка) вздовж житлових будинків по просп. Миру, 15,17,25 м. Южного Одеської області, в т.ч.:</t>
  </si>
  <si>
    <t>2021-2025 роки</t>
  </si>
  <si>
    <t>Коригування проєктної документації: "Нове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t>
  </si>
  <si>
    <t>Проєктні роботи «Реконструкція благоустрою загальноміських територій з влаштуванням дитячого майданчику біля житлового будинку по вул. Хіміків, 18 м. Південного Одеського району Одеської області»</t>
  </si>
  <si>
    <t>1517461</t>
  </si>
  <si>
    <t>Капітальний ремонт проїжджої частини вул. Приморської від вул. Будівельників до просп. Григорівського десанту м. Южного Одеської області, в т.ч.:</t>
  </si>
  <si>
    <t>2019-2025 роки</t>
  </si>
  <si>
    <t>Капітальний ремонт проїжджої частини вул. Приморської від вул. Будівельників до просп. Григорівського десанту м. Южного Одеської області (І черга. Пішохідні доріжки)</t>
  </si>
  <si>
    <t>1617351</t>
  </si>
  <si>
    <t>7351</t>
  </si>
  <si>
    <t>Розроблення комплексних планів просторового розвитку територій територіальних громад</t>
  </si>
  <si>
    <t>Розроблення Комплексного плану просторового розвитку території Южненської міської територіальної громади</t>
  </si>
  <si>
    <t xml:space="preserve">Секретар Південнівської  міської ради                                                                                                                                                       Ігор ЧУГУННИКОВ                                                         </t>
  </si>
  <si>
    <t xml:space="preserve">Придбання пластикових сміттєприймальних контейнерів, об'ємом 1,1 м³ (2 шт)                                         </t>
  </si>
  <si>
    <t>0219770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</si>
  <si>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</si>
  <si>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0611200</t>
  </si>
  <si>
    <t>1200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</si>
  <si>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</si>
  <si>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0611600</t>
  </si>
  <si>
    <t>1600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</si>
  <si>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</si>
  <si>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3140</t>
  </si>
  <si>
    <t>0613140</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</si>
  <si>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</si>
  <si>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0813193</t>
  </si>
  <si>
    <t>3193</t>
  </si>
  <si>
    <t>Надання комплексу послуг особам/сім`ям у сфері соціального захисту та соціального забезпечення іншими надавачами соціальних послуг</t>
  </si>
  <si>
    <t>Забезпечення молодіжними центрами соціального становлення та розвитку молоді та інші заходи у сфері молодіжної політики</t>
  </si>
  <si>
    <t>Розвиток здібностей у дітей та молоді з фізичної культури та спорту комунальними дитячо- юнацькими спортивними школами</t>
  </si>
  <si>
    <t>Розвиток та підтримка доступної спортивної інфраструктури</t>
  </si>
  <si>
    <t>Інші заходи, пов`язані з економічною діяльністю</t>
  </si>
  <si>
    <t>Охорона та раціональне використання природних ресурсів</t>
  </si>
  <si>
    <t>0511</t>
  </si>
  <si>
    <t>Реверсна дотація</t>
  </si>
  <si>
    <t>0611403</t>
  </si>
  <si>
    <t>1403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</si>
  <si>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</si>
  <si>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</si>
  <si>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</si>
  <si>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Будівництво закладів охорони здоров`я</t>
  </si>
  <si>
    <t>1516013</t>
  </si>
  <si>
    <t>3110180</t>
  </si>
  <si>
    <t>Інша діяльність у сфері державного управління</t>
  </si>
  <si>
    <t>місцевого бюджету у 2025 році</t>
  </si>
  <si>
    <t xml:space="preserve">Затверджено на 2025 рік   </t>
  </si>
  <si>
    <t xml:space="preserve">Обсяги капітальних вкладень у розрізі інвестиційних проектів у 2025 році
</t>
  </si>
  <si>
    <t>Найменування  інвестиційного проєкту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</si>
  <si>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</si>
  <si>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</si>
  <si>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</si>
  <si>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Обсяг капітальних вкладень місцевого бюджету у 2025  році, гривень</t>
  </si>
  <si>
    <t>Очікуваний рівень готовності проекту на кінець 2025 року, %</t>
  </si>
  <si>
    <t xml:space="preserve">Секретар Південнівської міської ради                                                                                                                                                       Ігор ЧУГУННИКОВ                                                         </t>
  </si>
  <si>
    <t>Додаток 7</t>
  </si>
  <si>
    <t>Додаток 9</t>
  </si>
  <si>
    <t>Програма з виготовлення та розміщення соціальної реклами з питань популяризації та пропагування військової служби у військових формуваннях, правоохоронних органах спеціального призначення тощо, а також з питань життєзабезпечення Южненської міської територіальної громади на 2025-2027 роки</t>
  </si>
  <si>
    <t xml:space="preserve">Програма щодо відзначення, заохочення та вшанування пам'яті громадян, яким присвоєно звання  "Почесний громадянин Южненської міської територіальної громади" та нагороджених Почесною відзнакою "За заслуги перед Южненською міською територіальною громадою" на 2023-2025 роки,  шляхом викладення її в новій редакції" </t>
  </si>
  <si>
    <t>Програма підготовки територіальної оборони та місцевого населення до участі в русі національного спротиву, посилення заходів громадської безпеки в Южненській міській територіальній громаді Одеського району Одеської області на 2025-2027 роки</t>
  </si>
  <si>
    <t>Програма розвитку освіти Южненської міської територіальної громади  на 2025-2027 роки</t>
  </si>
  <si>
    <t>Програма національно-патріотичного виховання дітей та молоді  Южненської міської територіальної  громади на 2024-2026 роки</t>
  </si>
  <si>
    <t>Програма оздоровлення та відпочинку дітей Южненської міської територіальної громади на період 2025-2027 роки</t>
  </si>
  <si>
    <t xml:space="preserve">Рішення ЮМР від 29.08.2024 року № 1820-VIІI </t>
  </si>
  <si>
    <t>Програма проведення обовязкових профілактичних медичних оглядів працівників комунального спеціалізованого закладу "ЦЕНТР КОМПЛЕКСНОЇ РЕАБІЛІТАЦІЇ ДЛЯ ОСІБ З ІНВАЛІДНІСТЮ" на 2024-2026 роки</t>
  </si>
  <si>
    <t xml:space="preserve">Надання комплексу послуг особам/сім`ям у сфері соціального захисту та соціального забезпечення іншими надавачами соціальних послуг </t>
  </si>
  <si>
    <t>Цільова соціальна програма Молодь Южненської міської територіальної громади на 2025-2027 роки</t>
  </si>
  <si>
    <t>Програма поховання померлих одиноких громадян, осіб без місця проживання, громадян, від поховання яких відмовились рідні та знайдених невпізнаних трупів на території Южненської міської територіальної громади на 2025-2027 роки</t>
  </si>
  <si>
    <t xml:space="preserve">Рішення ПМР від 24.12.2024 року № 2023-VІІІ  </t>
  </si>
  <si>
    <t>Програма створення та використання матеріальних резервів для запобігання і ліквідації наслідків надзвичайних ситуацій на території Южненської міської територіальної громади на 2023-2025 роки</t>
  </si>
  <si>
    <t>Програма капітального ремонту (модернізації, заміни) ліфтів в місті Южному Одеського району Одеської області на 2024-2026 роки</t>
  </si>
  <si>
    <t>Програма з локалізації та ліквідації амброзії полинолистної на території Южненської міської територіальної громади на 2025-2027 роки.</t>
  </si>
  <si>
    <t>Програма розвитку інфраструктури Южненської міської територіальної громади на 2025-2027 роки</t>
  </si>
  <si>
    <t>Програма енергоефективності в житлово-комунальному господарстві та бюджетній сфері Южненської міської територіальної громади на 2025-2027 роки</t>
  </si>
  <si>
    <t>Програма реформування і розвитку житлово-комунального господарства Южненської міської територіальної громади на 2025-2027 роки</t>
  </si>
  <si>
    <t>Програма створення та розвитку містобудівного кадастру Южненської міської територіальної громади Одеського району Одеської області на 2025-2026 роки</t>
  </si>
  <si>
    <t>Фонд комунального майна Южненської міської ради Одеського району Одеської області</t>
  </si>
  <si>
    <t>Рішення ЮМР від 07.12.2022року               №1177-VIIІ з внесеними змінами від  14.12. 2023 року   № 1602-VIII шляхом викладення у новій редакції</t>
  </si>
  <si>
    <t>Рішення ЮМР від 28.10.2022 року            №1091 -VIIІ з внесеними змінами від  06.03.2025 року   № 2103-VIIІ шляхом викладення у новій редакції</t>
  </si>
  <si>
    <t>Рішення ЮМР від 14.11.2024 року №1929-VIІІ</t>
  </si>
  <si>
    <t>Програма надання пільг на оплату послуг зв"язку, інших передбачених законодавством пільг та компенсації за пільговий проїзд окремих категорій громадян Южненської міської територіальної громади на 2021-2025 роки</t>
  </si>
  <si>
    <t>Рішення ЮМР від 18.06.2020 року № 1760-VII з внесеними змінами від  24.12.2024 року  № 2025 -VIIІ шляхом викладення у новій редакції</t>
  </si>
  <si>
    <t>Програма розвитку культури в Южненській міській територіальній  громаді на 2025-2027 роки</t>
  </si>
  <si>
    <t>Екологічна програма заходів з охорони навколишнього природного середовища Южненської міської територіальної громади на 2024-2026 роки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</si>
  <si>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</si>
  <si>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</si>
  <si>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</si>
  <si>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Дотації з місцевих бюджетів іншим місцевим бюджетам</t>
  </si>
  <si>
    <t>Інші дотації з місцевого бюджету</t>
  </si>
  <si>
    <t>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</si>
  <si>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</si>
  <si>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Цільові фонди, утворені Верховною Радою Автономної Республіки Крим, органами місцевого самоврядування та місцевими органами виконавчої влади</t>
  </si>
  <si>
    <t>Затверджено на 2025  рік з урахуванням внесених змін</t>
  </si>
  <si>
    <t>41059300</t>
  </si>
  <si>
    <t xml:space="preserve">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t>
  </si>
  <si>
    <t>3719110</t>
  </si>
  <si>
    <t>9110</t>
  </si>
  <si>
    <t>до рішення Південнівської  міської ради</t>
  </si>
  <si>
    <t>Виконання окремих заходів з реалізації соціального проекту "Активні парки - локації здорової України"</t>
  </si>
  <si>
    <t>Субвенція з місцевого бюджету державному бюджету на виконання програм соціально-економічного розвитку регіонів</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</si>
  <si>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</si>
  <si>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Субвенція з місцевого бюджету на забезпечення пожежної безпеки в закладах загальної середньої освіти за рахунок відповідної субвенції з державного бюджету</t>
  </si>
  <si>
    <t>0619750</t>
  </si>
  <si>
    <t>Субвенція з місцевого бюджету на співфінансування інвестиційних проектів</t>
  </si>
  <si>
    <t>9750</t>
  </si>
  <si>
    <t>Інші заходи у сфері зв'язку, телекомунікації та інформатики</t>
  </si>
  <si>
    <t>0219800</t>
  </si>
  <si>
    <t>9800</t>
  </si>
  <si>
    <t>Капітальні трансферти органам державного управління інших рівнів</t>
  </si>
  <si>
    <t>Капітальний ремонт автоматичної системи протипожежного захисту в приміщеннях найпростішого укриття прибудови, що планується використовувати для укриття учасників освітнього процесу Комунального опорного закладу загальної середньої освіти «Ліцей №2» Південнівської міської ради Одеського району Одеської області за адресою: Одеська область, Одеський район, Южненська територіальна громада, м. Південне, просп. Миру, 18, у т.ч.:</t>
  </si>
  <si>
    <t>Капітальний ремонт (заміна віконних блоків) пошкоджених  внаслідок збройної агресії об’єктів критичної інфраструктури: будівлі котельні та будівлі АПК і РММ комплексу "КОТЕЛЬНА", за адресою: Одеська область, Одеський район, Южненська територіальна громада, м. Південне, вул. Старомиколаївське шосе, будинок 8, у т.ч.:</t>
  </si>
  <si>
    <t>Рішення ЮМР від 07.03.2023 року               №1299-VIIІ з внесеними змінами від  22.05.2025 року   № 2243 -VIII шляхом викладення у новій редакції</t>
  </si>
  <si>
    <t>Рішення ЮМР від 28.10.2022 року №1092-VIIІ з внесеними змінами від 13.12.2024 року   №1974-VIII шляхом викладення у новій редакції</t>
  </si>
  <si>
    <t>Програма місцевих стимулів для працівників Комунального некомерційного підприємства"Південнівська міська лікарня" Південнівськоїї міської ради на 2023-2025 роки</t>
  </si>
  <si>
    <t>Комплексна цільова програма "Електронна громада" на 2024-2026 роки</t>
  </si>
  <si>
    <t>Програма сприяння оборонній і мобілізаційній готовності Южненської міської територіальної громади на 2025-2027 роки</t>
  </si>
  <si>
    <t>Програма забезпечення діяльності ЮЖНЕНСЬКОГО КОМУНАЛЬНОГО ПІДПРИЄМСТВА "МУНІЦИПАЛЬНА ВАРТА" на 2025-2027 роки</t>
  </si>
  <si>
    <t>Фінансова підтримка медіа (засобів масової інформації)</t>
  </si>
  <si>
    <t>Міська програма підтримки суб’єкта у сфері аудіовізуальних медіа (КОМУНАЛЬНЕ НЕКОМЕРЦІЙНЕ ПІДПРИЄМСТВО "ТЕЛЕБАЧЕННЯ ГРОМАДИ"), засновником якого є Південнівська міська рада на 2024-2026 роки</t>
  </si>
  <si>
    <t>0819770</t>
  </si>
  <si>
    <t>Рішення ЮМР від 13.07.2023 року №1402 -VIIІ з внесеними змінами від  10.04.2025 року № 2183-VIII шляхом викладення у новій редакції</t>
  </si>
  <si>
    <t>Розвиток здібностей у дітей та молоді з фізичної культури та спорту комунальними дитячо-юнацькими спортивними школами</t>
  </si>
  <si>
    <t>Муніципальна інвестиційна програма розвитку Южненської міської територіальної громади на 2025-2027 роки</t>
  </si>
  <si>
    <t xml:space="preserve">Рішення Южненської міської ради від 14.11.2024 року № 1919-VIIІ  з внесеними змінами  від 10 .04. 2025  року № 2180 -VIII, шляхом викладення у новій редакції  </t>
  </si>
  <si>
    <t>Рішення ЮМР від 07.03.2023 року               №1299-VIIІ з внесеними змінами від  22.05.2025 року № 2243 -VIII шляхом викладення у новій редакції</t>
  </si>
  <si>
    <t>10</t>
  </si>
  <si>
    <t>Одеського району Одеської області</t>
  </si>
  <si>
    <t>1510150</t>
  </si>
  <si>
    <t>Проєктні роботи: «Капітальний ремонт систем вентиляції та кондиціонування адміністративної будівлі, яка знаходиться в комунальній власності, за адресою: Одеська область, Одеський район, Южненська територіальна громада, м. Південне, проспект Григорівського десанту, 18»</t>
  </si>
  <si>
    <t>Капітальний ремонт частини підвального приміщення Комунального опорного закладу загальної середньої освіти "Ліцей № 2" Південнівської міської ради Одеського району Одеської області з влаштуванням найпростішого укриття, що планується використовувати для укриття учасників освітнього процесу за адресою:  Одеська область, Одеський район, м. Південне, просп. Миру, 18, в т.ч.:</t>
  </si>
  <si>
    <t>1512010</t>
  </si>
  <si>
    <t>Капітальний ремонт частини підвального приміщення закладу охорони здоров'я з влаштуванням найпростішого укриття, що розміщується за адресою: Одеська область, Одеський район, м. Южне, вул. Будівельників, 19, у т.ч.:</t>
  </si>
  <si>
    <t xml:space="preserve">2023 - 2025 роки </t>
  </si>
  <si>
    <t xml:space="preserve">проєктні роботи </t>
  </si>
  <si>
    <t>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 у т.ч.:</t>
  </si>
  <si>
    <t>2023-2025 роки</t>
  </si>
  <si>
    <t>0218110</t>
  </si>
  <si>
    <t>0611231</t>
  </si>
  <si>
    <t>1231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</si>
  <si>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</si>
  <si>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0611232</t>
  </si>
  <si>
    <t>1232</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</si>
  <si>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</si>
  <si>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бюджет розвитку</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</si>
  <si>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</si>
  <si>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</si>
  <si>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</si>
  <si>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</si>
  <si>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</si>
  <si>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</si>
  <si>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Програма підвищення ефективності діяльності прикордонних загонів Південного регіонального управління Державної прикордонної служби України на 2025-2027 роки</t>
  </si>
  <si>
    <t>Програма зміцнення законності, безпеки та порядку на території Южненської міської територіальної громади Одеського району Одеської області на 2025-2027 роки</t>
  </si>
  <si>
    <t>Програма протидії злочинності та посилення публічної безпеки на території Южненської міської територіальної громади Одеського району Одеської області на 2024-2026 роки</t>
  </si>
  <si>
    <t xml:space="preserve">Рішення ПМР від  09.03.2024 року № 1680-VIIІ з внесеними змінами від 14.11.2024 року № 1932-VIII шляхом викладення  у новій редакції  </t>
  </si>
  <si>
    <t>Програма «Поліцейський офіцер громади» Южненської міської територіальної громади Одеського району Одеської області на 2025-2027 роки</t>
  </si>
  <si>
    <t>Рішення ЮМР від 14.11.2024 року               № 1915-VIIІ з внесеними змінами від  10.04.2025 року   № 2185 -VIII шляхом викладення у новій редакції</t>
  </si>
  <si>
    <t>Рішення ПМР від   24.07.2025 року №  2295-VIII</t>
  </si>
  <si>
    <t xml:space="preserve">Рішення ЮМР від 14.12.2023 року № 1567-VIIІ  з внесеними змінами  від  24.07.2025 року №2300-VIII шляхом викладення  у новій редакції  </t>
  </si>
  <si>
    <t>Рішення ЮМР від 14.10.2024 року № 1892-VІІІ з внесеними змінами від  24.07.2025 року  № 2285-VIIІ шляхом викладення у новій редакції</t>
  </si>
  <si>
    <t>Цільова програма "Соціальне таксі" на 2025 рік</t>
  </si>
  <si>
    <t>Рішення ПМР від 06.03.2025 року № 2094-VІІІ з внесеними змінами від  24.07.2025 року  № 2288 -VIIІ шляхом викладення у новій редакції</t>
  </si>
  <si>
    <t>Рішення ЮМР від 29.08.2024 року № 1856-VIІI з внесеними змінами від  24.07.2025 року №  2303-VIIІ шляхом викладення у новій редакції</t>
  </si>
  <si>
    <t>Рішення ЮМР від 29.08.2024 року № 1856-VIІI з внесеними змінами від  24.07.2025 року №2303-VIIІ шляхом викладення у новій редакції</t>
  </si>
  <si>
    <t>Рішення ЮМР від 24.12.2024 року № 2053-VIІI з внесеними змінами від  24.07.2025 року №  2307 -VIIІ шляхом викладення у новій редакції</t>
  </si>
  <si>
    <t xml:space="preserve">Рішення Южненської міської ради від 26.10.2023 року № 1503-VIIІ  з внесеними змінами  від 24.07.2025  року № 2292-VIII, шляхом викладення у новій редакції  </t>
  </si>
  <si>
    <t>Рішення ЮМР від 06.06.2024 року № 1729-VІІІ з внесеними змінами від 24.12.2024 року № 2010-VIIІ шляхом викладення у новій редакції</t>
  </si>
  <si>
    <t>Рішення ЮМР від 13.07.2023 року № 1401-VIІI з внесеними змінами від 24.07.2025 року № 2293-VIIІ шляхом викладення у новій редакції</t>
  </si>
  <si>
    <t xml:space="preserve">Рішення ЮМР від 14.12.2023 року № 1561-VIIІ </t>
  </si>
  <si>
    <t>Рішення ЮМР від 24.12.2024 року № 2053-VIІI з внесеними змінами від  24.07.2025 року № 2307-VIIІ шляхом викладення у новій редакції</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</si>
  <si>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</si>
  <si>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</si>
  <si>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41057700</t>
  </si>
  <si>
    <t>41057900</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</si>
  <si>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</si>
  <si>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</si>
  <si>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</si>
  <si>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Рішення ЮМР від 06.06.2024 року № 1735-VIІI з внесеними змінами від 18.12.2025 року № 2466-VIIІ шляхом викладення у новій редакції</t>
  </si>
  <si>
    <t>Рішення ЮМР від 23.08.2023 року № 1431- VIIІ з внесеними змінами від  23.10.2025 року   № 2366-VIIІ шляхом викладення у новій редакції</t>
  </si>
  <si>
    <t>Рішення ЮМР від 23.08.2023 року № 1433- VIIІ з внесеними змінами від  23.10.2025 року   №  2367-VIIІ шляхом викладення у новій редакції</t>
  </si>
  <si>
    <t>Рішення ЮМР від 26.10.2023 року № 1511-VIIІ  з внесеними змінами від  23.10.2025 року № 2368-VIIІ шляхом викладення у новій редакції</t>
  </si>
  <si>
    <t>Рішення ЮМР від 28.10.2022 року № 1121-VIІI з внесеними змінами від 18.12.2025 року № 2481 -VIIІ шляхом викладення у новій редакції</t>
  </si>
  <si>
    <t>Рішення ЮМР від 24.12.2024 року № 2040-VIІІ з внесеними змінами від 18.12.2025 року № 2473-VIIІ шляхом викладення у новій редакції</t>
  </si>
  <si>
    <t xml:space="preserve">Рішення ПМР від  06.03.2025 року № 2109-VIIІ з внесеними змінами від  18.12.2025 року № 2461-VIII шляхом викладення  у новій редакції  </t>
  </si>
  <si>
    <t xml:space="preserve">Рішення ПМР від 24.07.2025 року № 2296-VIIIз внесеними змінами від  18.12.2025 року № 2459-VIII шляхом викладення  у новій редакції  </t>
  </si>
  <si>
    <t xml:space="preserve">Рішення ПМР від  24.07.2025 року № 2297-VIIIз внесеними змінами від  18.12.2025 року № 2460-VIII шляхом викладення  у новій редакції  </t>
  </si>
  <si>
    <t>Рішення ЮМР від 14.10.2024 року № 1892-VІІІ з внесеними змінами від   18.12.2025 року  № 2445-VIIІ шляхом викладення у новій редакції</t>
  </si>
  <si>
    <t>Програма розвитку освіти Південнівської міської територіальної громади  на 2025-2027 роки</t>
  </si>
  <si>
    <t>Рішення ЮМР від 29.08.2024 року № 1816-VІІІ з внесеними змінами від 18.12. 2025 року № 2449-VIIІ шляхом викладення у новій редакції</t>
  </si>
  <si>
    <t xml:space="preserve">Рішення ЮМР від 13.07.2023 року № 1404-VII з внесеними змінами від  23.10.2025 року  №2365-VIIІ  </t>
  </si>
  <si>
    <t>Рішення ЮМР від 29.08.2024 року № 1856-VIІI з внесеними змінами від  18.12.2025 року № 2467 -VIIІ шляхом викладення у новій редакції</t>
  </si>
  <si>
    <t>Програма енергоефективності в житлово-комунальному господарстві та бюджетній сфері Південнівської міської територіальної громади на 2025-2027 роки</t>
  </si>
  <si>
    <t>Рішення ЮМР від 14.11.2024 року № 1934-VIІI з внесеними змінами від 18.12.2025 року № 2468-VIIІ шляхом викладення у новій редакції</t>
  </si>
  <si>
    <t>Рішення Южненської міської ради від 14.11.2024 року № 1968-VIIІ  з внесеними змінами від 23.10.2025 року № 2383-VIIІ шляхом викладення у новій редакції</t>
  </si>
  <si>
    <t>Рішення ЮМР від 26.10.2023 року №1520-VІIІ з внесеними змінами від  23.10.2025 року  №  2382-VIIІ шляхом викладення у новій редакції</t>
  </si>
  <si>
    <t>Рішення ЮМР від 24.12.2024 року № 2053-VIІI з внесеними змінами від 18.12.2025 року №2474-VIIІ шляхом викладення у новій редакції</t>
  </si>
  <si>
    <t>Рішення Южненської міської ради  від 29.04.2021 року №360-VIIІ з внесеними змінами  від  22.05.2025 року №2248-VIII, шляхом викладення у новій редакції</t>
  </si>
  <si>
    <t>0611501</t>
  </si>
  <si>
    <t>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</si>
  <si>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</si>
  <si>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0813225</t>
  </si>
  <si>
    <t>3225</t>
  </si>
  <si>
    <t>1060</t>
  </si>
  <si>
    <r>
      <t>Реалізація публічного інвестиційного проекту із виплати грошової компенсації за належні для отримання жилі приміщення для сімей осіб, визначених </t>
    </r>
    <r>
      <rPr>
        <u/>
        <sz val="12"/>
        <color rgb="FF000099"/>
        <rFont val="Times New Roman"/>
        <family val="1"/>
        <charset val="204"/>
      </rPr>
      <t>пунктами 2–5</t>
    </r>
    <r>
      <rPr>
        <sz val="12"/>
        <color rgb="FF333333"/>
        <rFont val="Times New Roman"/>
        <family val="1"/>
        <charset val="204"/>
      </rPr>
      <t> частини першої статті 10</t>
    </r>
    <r>
      <rPr>
        <b/>
        <vertAlign val="superscript"/>
        <sz val="12"/>
        <color rgb="FF333333"/>
        <rFont val="Times New Roman"/>
        <family val="1"/>
        <charset val="204"/>
      </rPr>
      <t>-1</t>
    </r>
    <r>
      <rPr>
        <sz val="12"/>
        <color rgb="FF333333"/>
        <rFont val="Times New Roman"/>
        <family val="1"/>
        <charset val="204"/>
      </rPr>
      <t>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t>
    </r>
    <r>
      <rPr>
        <u/>
        <sz val="12"/>
        <color rgb="FF000099"/>
        <rFont val="Times New Roman"/>
        <family val="1"/>
        <charset val="204"/>
      </rPr>
      <t>пунктами 11–14</t>
    </r>
    <r>
      <rPr>
        <sz val="12"/>
        <color rgb="FF333333"/>
        <rFont val="Times New Roman"/>
        <family val="1"/>
        <charset val="204"/>
      </rPr>
      <t> частини другої статті 7 Закону України «Про статус ветеранів війни, гарантії їх соціального захисту», та які потребують поліпшення житлових умов</t>
    </r>
  </si>
  <si>
    <t>3117660</t>
  </si>
  <si>
    <t>Фінансування об'єктів, видатки по яких здійснювались у  2025 році за рахунок коштів бюджету розвитку</t>
  </si>
  <si>
    <t>Виконано за 2025 рік</t>
  </si>
  <si>
    <t>Капітальні трансферти населенню</t>
  </si>
  <si>
    <t>Управління житлово-комунального господарства Південнівської міської ради Одеського району Одеської області</t>
  </si>
  <si>
    <t xml:space="preserve">Управління житлово-комунального господарства Південнівської міської ради Одеського району Одеської області </t>
  </si>
  <si>
    <t xml:space="preserve"> 
Будівництво закладів охорони здоров'я</t>
  </si>
  <si>
    <t>Капітальний ремонт ділянки теплових мереж від ЦТП №29 до вводу у житлові будинки по просп. Григорівського десанту, 26, 28, 30/16, вул. Хіміків, 18,будівель по просп. Григорівського десанту, 26а та 24а м.Южного Одеської області, в т.ч.:</t>
  </si>
  <si>
    <t xml:space="preserve">  </t>
  </si>
  <si>
    <t>Капітальний ремонт ділянки магістрального водопроводу від колодязя В 1 по проспекту Григорівського десанту до колодязя В 5  по вул. Т.Г. Шевченка м.Южного Одеського району Одеської області , у т.ч.:</t>
  </si>
  <si>
    <t>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 а також добровольців які загинули в боях за Україну, за адресою: пл. Перемоги, місто Южне, Одеський район, Одеська область, в т.ч.:</t>
  </si>
  <si>
    <t>проєктно-вишукувальні роботи</t>
  </si>
  <si>
    <t>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 а також добровольців які загинули в боях за Україну, за адресою: пл. Перемоги, місто Південне, Одеський район, Одеська область, в т.ч.:</t>
  </si>
  <si>
    <t>Нове будівництво елементів благоустрою сектору військових поховань Захисників України на території Нового кладовища с. Сичавка Південнівської міської територіальної громади Одеського району Одеської області, у т. ч.:</t>
  </si>
  <si>
    <t>Управління архітектури та містобудування Південнівської міської ради Одеського району Одеської області</t>
  </si>
  <si>
    <t>Управління економіки Південнівської міської ради Одеського району Одеської області</t>
  </si>
  <si>
    <t>Виготовлення проєкту землеустрою щодо відведення земельної ділянки для продажу права оренди на земельних торгах</t>
  </si>
  <si>
    <t>Фінансове управління  Південнівської міської ради Одеського району Одеської області</t>
  </si>
  <si>
    <t xml:space="preserve">  Перелік об'єктів,  видатки на які проводились за 2025 рік  на природоохоронні заходи  по Южненській міській територіальній громаді</t>
  </si>
  <si>
    <t>Управління житлово-комунального господарства                               Південнівської міської ради Одеського району Одеської області</t>
  </si>
  <si>
    <t>Управління житлово-комунального господарства                                Південнівської міської ради Одеського району Одеської області</t>
  </si>
  <si>
    <t>Виконання за 2025 рік</t>
  </si>
  <si>
    <t>видатків місцевого бюджету за  2025 рік</t>
  </si>
  <si>
    <t>Виконано за        2025 рік</t>
  </si>
  <si>
    <t>Виконано за    2025 рік</t>
  </si>
  <si>
    <t>Виконано за      2025 рік</t>
  </si>
  <si>
    <t>Виконано за  2025 рік</t>
  </si>
  <si>
    <t>Виконання   місцевих  програм, які фінансувались   за рахунок коштів  бюджету Южненської міської територіальної громади за 2025 рік</t>
  </si>
  <si>
    <t>Фінансування місцевого бюджету за 2025 рік</t>
  </si>
  <si>
    <t>Міжбюджетні трансферти за 2025 рік</t>
  </si>
  <si>
    <t>Субвенція з державного бюджету місцевим бюджетам на забезпечення харчуванням учнів закладів загальної середньої освіти</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</si>
  <si>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</si>
  <si>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Інші субвенції з місцевого бюджету (заохочення та відзначення осіб (працівників), які виконують роботи з будівництва фортифікаційних споруд на територіях, де ведуться бойові дії)</t>
  </si>
  <si>
    <t>41035400</t>
  </si>
  <si>
    <t>Доходи місцевого бюджету за 2025 рік</t>
  </si>
  <si>
    <t>Виконано за              2025 рік</t>
  </si>
  <si>
    <t>збільшення у 2,8 разів</t>
  </si>
  <si>
    <t xml:space="preserve">Кошти від відчуження майна, що належить Автономній Республіці Крим та майна, що перебуває в комунальній власності  </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</si>
  <si>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t>
  </si>
  <si>
    <t>Інші субвенції з місцевого бюджету (матеріальне заохочення осіб, які беруть участь у будівництві фортифікаційних споруд на території де ведуться активні бойові дії)</t>
  </si>
  <si>
    <t>Плата за скорочення термінів надання послуг у сфері державної реєстрації речових прав на нерухоме майно та їх обтяжень</t>
  </si>
  <si>
    <r>
      <t>Будівництво</t>
    </r>
    <r>
      <rPr>
        <sz val="12"/>
        <color rgb="FF333333"/>
        <rFont val="Times New Roman"/>
        <family val="1"/>
        <charset val="204"/>
      </rPr>
      <t> закладів охорони здоров'я</t>
    </r>
  </si>
  <si>
    <t>Загальна тривалість будівництва       (рік початку і закінчення)</t>
  </si>
  <si>
    <r>
      <t xml:space="preserve">Реалізація публічного інвестиційного проекту із виплати грошової компенсації за належні для отримання жилі приміщення для сімей осіб, </t>
    </r>
    <r>
      <rPr>
        <sz val="14"/>
        <color theme="1"/>
        <rFont val="Times New Roman"/>
        <family val="1"/>
        <charset val="204"/>
      </rPr>
      <t>визначених </t>
    </r>
    <r>
      <rPr>
        <i/>
        <u/>
        <sz val="14"/>
        <color rgb="FF000099"/>
        <rFont val="Times New Roman"/>
        <family val="1"/>
        <charset val="204"/>
      </rPr>
      <t>пунктами 2</t>
    </r>
    <r>
      <rPr>
        <u/>
        <sz val="14"/>
        <color rgb="FF000099"/>
        <rFont val="Times New Roman"/>
        <family val="1"/>
        <charset val="204"/>
      </rPr>
      <t>–</t>
    </r>
    <r>
      <rPr>
        <i/>
        <u/>
        <sz val="14"/>
        <color rgb="FF000099"/>
        <rFont val="Times New Roman"/>
        <family val="1"/>
        <charset val="204"/>
      </rPr>
      <t>5</t>
    </r>
    <r>
      <rPr>
        <i/>
        <sz val="14"/>
        <color rgb="FF333333"/>
        <rFont val="Times New Roman"/>
        <family val="1"/>
        <charset val="204"/>
      </rPr>
      <t> частини першої статті 10</t>
    </r>
    <r>
      <rPr>
        <b/>
        <vertAlign val="superscript"/>
        <sz val="14"/>
        <color rgb="FF333333"/>
        <rFont val="Times New Roman"/>
        <family val="1"/>
        <charset val="204"/>
      </rPr>
      <t>-1</t>
    </r>
    <r>
      <rPr>
        <i/>
        <sz val="14"/>
        <color rgb="FF333333"/>
        <rFont val="Times New Roman"/>
        <family val="1"/>
        <charset val="204"/>
      </rPr>
      <t> Закону України «Про статус ветеранів війни, гарантії їх соціального захисту», для осіб з інвалідністю I</t>
    </r>
    <r>
      <rPr>
        <sz val="14"/>
        <color rgb="FF333333"/>
        <rFont val="Times New Roman"/>
        <family val="1"/>
        <charset val="204"/>
      </rPr>
      <t>–</t>
    </r>
    <r>
      <rPr>
        <i/>
        <sz val="14"/>
        <color rgb="FF333333"/>
        <rFont val="Times New Roman"/>
        <family val="1"/>
        <charset val="204"/>
      </rPr>
      <t>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t>
    </r>
    <r>
      <rPr>
        <sz val="14"/>
        <color rgb="FF333333"/>
        <rFont val="Times New Roman"/>
        <family val="1"/>
        <charset val="204"/>
      </rPr>
      <t>’</t>
    </r>
    <r>
      <rPr>
        <i/>
        <sz val="14"/>
        <color rgb="FF333333"/>
        <rFont val="Times New Roman"/>
        <family val="1"/>
        <charset val="204"/>
      </rPr>
      <t>язку з військовою агресією Російської Федерації проти України, визначених </t>
    </r>
    <r>
      <rPr>
        <i/>
        <u/>
        <sz val="14"/>
        <color rgb="FF000099"/>
        <rFont val="Times New Roman"/>
        <family val="1"/>
        <charset val="204"/>
      </rPr>
      <t>пунктами 11</t>
    </r>
    <r>
      <rPr>
        <u/>
        <sz val="14"/>
        <color rgb="FF000099"/>
        <rFont val="Times New Roman"/>
        <family val="1"/>
        <charset val="204"/>
      </rPr>
      <t>–</t>
    </r>
    <r>
      <rPr>
        <i/>
        <u/>
        <sz val="14"/>
        <color rgb="FF000099"/>
        <rFont val="Times New Roman"/>
        <family val="1"/>
        <charset val="204"/>
      </rPr>
      <t>14</t>
    </r>
    <r>
      <rPr>
        <i/>
        <sz val="14"/>
        <color rgb="FF333333"/>
        <rFont val="Times New Roman"/>
        <family val="1"/>
        <charset val="204"/>
      </rPr>
      <t> частини другої статті 7 Закону України «Про статус ветеранів війни, гарантії їх соціального захисту», та які потребують поліпшення житлових умов</t>
    </r>
  </si>
  <si>
    <t>від  19.03.2026 року</t>
  </si>
  <si>
    <t>№  2594 -VIII</t>
  </si>
  <si>
    <t>від    19.03.2026 року</t>
  </si>
  <si>
    <t>№ 2594 -VIII</t>
  </si>
  <si>
    <t>від     19.03.2026 року</t>
  </si>
  <si>
    <t xml:space="preserve"> №  2594 -VIII</t>
  </si>
  <si>
    <t>№   2594 -VIII</t>
  </si>
  <si>
    <t xml:space="preserve">від  19.03.2026 року </t>
  </si>
  <si>
    <t>№ 2594-VIII</t>
  </si>
  <si>
    <t>від      19.03.2026  року</t>
  </si>
  <si>
    <t>№   2594  -VIII</t>
  </si>
  <si>
    <t>від    19.03. 2026 року</t>
  </si>
  <si>
    <t>№  2594-VIII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</si>
</sst>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00\ _₽_-;\-* #,##0.00\ _₽_-;_-* &quot;-&quot;??\ _₽_-;_-@_-"/>
    <numFmt numFmtId="165" formatCode="#,##0;\-#,##0;#,&quot;-&quot;"/>
    <numFmt numFmtId="166" formatCode="_-* #,##0.00\ _г_р_н_._-;\-* #,##0.00\ _г_р_н_._-;_-* &quot;-&quot;??\ _г_р_н_._-;_-@_-"/>
    <numFmt numFmtId="167" formatCode="_-* #,##0\ _г_р_н_._-;\-* #,##0\ _г_р_н_._-;_-* &quot;-&quot;??\ _г_р_н_._-;_-@_-"/>
    <numFmt numFmtId="168" formatCode="0.0%"/>
    <numFmt numFmtId="169" formatCode="_-* #,##0.00\ &quot;грн.&quot;_-;\-* #,##0.00\ &quot;грн.&quot;_-;_-* &quot;-&quot;??\ &quot;грн.&quot;_-;_-@_-"/>
    <numFmt numFmtId="170" formatCode="#,##0.0"/>
    <numFmt numFmtId="171" formatCode="_-* #,##0.0\ _₽_-;\-* #,##0.0\ _₽_-;_-* &quot;-&quot;?\ _₽_-;_-@_-"/>
    <numFmt numFmtId="172" formatCode="_-* #,##0_р_._-;\-* #,##0_р_._-;_-* &quot;-&quot;??_р_._-;_-@_-"/>
    <numFmt numFmtId="173" formatCode="#,##0.00_ ;\-#,##0.00\ "/>
    <numFmt numFmtId="174" formatCode="#,##0_ ;\-#,##0\ "/>
    <numFmt numFmtId="175" formatCode="0.0"/>
    <numFmt numFmtId="176" formatCode="#,##0.00;\-#,##0.00;#.00,&quot;-&quot;"/>
    <numFmt numFmtId="177" formatCode="#,##0.0_ ;\-#,##0.0\ "/>
    <numFmt numFmtId="178" formatCode="#,##0.0;\-#,##0.0;#.0,&quot;-&quot;"/>
  </numFmts>
  <fonts count="65" x14ac:knownFonts="1">
    <font>
      <sz val="10"/>
      <color theme="1"/>
      <name val="Calibri"/>
      <family val="2"/>
      <charset val="204"/>
      <scheme val="minor"/>
    </font>
    <font>
      <sz val="10"/>
      <color theme="1"/>
      <name val="Times New Roman"/>
      <family val="1"/>
      <charset val="204"/>
    </font>
    <font>
      <b/>
      <sz val="16"/>
      <color theme="1"/>
      <name val="Times New Roman"/>
      <family val="1"/>
      <charset val="204"/>
    </font>
    <font>
      <sz val="16"/>
      <color theme="1"/>
      <name val="Times New Roman"/>
      <family val="1"/>
      <charset val="204"/>
    </font>
    <font>
      <b/>
      <u/>
      <sz val="12"/>
      <color theme="1"/>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i/>
      <sz val="12"/>
      <color theme="1"/>
      <name val="Times New Roman"/>
      <family val="1"/>
      <charset val="204"/>
    </font>
    <font>
      <sz val="10"/>
      <name val="Times New Roman"/>
      <family val="1"/>
      <charset val="204"/>
    </font>
    <font>
      <sz val="10"/>
      <name val="Arial Cyr"/>
      <charset val="204"/>
    </font>
    <font>
      <sz val="10"/>
      <color theme="1"/>
      <name val="Calibri"/>
      <family val="2"/>
      <charset val="204"/>
      <scheme val="minor"/>
    </font>
    <font>
      <sz val="11"/>
      <color theme="1"/>
      <name val="Times New Roman"/>
      <family val="1"/>
      <charset val="204"/>
    </font>
    <font>
      <b/>
      <sz val="12"/>
      <name val="Times New Roman"/>
      <family val="1"/>
      <charset val="204"/>
    </font>
    <font>
      <sz val="12"/>
      <color rgb="FF000000"/>
      <name val="Times New Roman"/>
      <family val="1"/>
      <charset val="204"/>
    </font>
    <font>
      <b/>
      <sz val="14"/>
      <name val="Times New Roman"/>
      <family val="1"/>
      <charset val="204"/>
    </font>
    <font>
      <b/>
      <i/>
      <sz val="14"/>
      <name val="Times New Roman"/>
      <family val="1"/>
      <charset val="204"/>
    </font>
    <font>
      <b/>
      <sz val="12"/>
      <color rgb="FF000000"/>
      <name val="Times New Roman"/>
      <family val="1"/>
      <charset val="204"/>
    </font>
    <font>
      <i/>
      <sz val="12"/>
      <color rgb="FF000000"/>
      <name val="Times New Roman"/>
      <family val="1"/>
      <charset val="204"/>
    </font>
    <font>
      <sz val="11"/>
      <name val="Times New Roman"/>
      <family val="1"/>
      <charset val="204"/>
    </font>
    <font>
      <b/>
      <sz val="16"/>
      <name val="Times New Roman"/>
      <family val="1"/>
      <charset val="204"/>
    </font>
    <font>
      <u/>
      <sz val="12"/>
      <color indexed="8"/>
      <name val="Times New Roman"/>
      <family val="1"/>
      <charset val="204"/>
    </font>
    <font>
      <b/>
      <sz val="14"/>
      <color rgb="FF333333"/>
      <name val="Times New Roman"/>
      <family val="1"/>
      <charset val="204"/>
    </font>
    <font>
      <sz val="12"/>
      <color indexed="8"/>
      <name val="Times New Roman"/>
      <family val="1"/>
      <charset val="204"/>
    </font>
    <font>
      <i/>
      <sz val="16"/>
      <name val="Times New Roman"/>
      <family val="1"/>
      <charset val="204"/>
    </font>
    <font>
      <sz val="16"/>
      <name val="Times New Roman"/>
      <family val="1"/>
      <charset val="204"/>
    </font>
    <font>
      <i/>
      <sz val="16"/>
      <color theme="1"/>
      <name val="Times New Roman"/>
      <family val="1"/>
      <charset val="204"/>
    </font>
    <font>
      <b/>
      <i/>
      <sz val="12"/>
      <name val="Times New Roman"/>
      <family val="1"/>
      <charset val="204"/>
    </font>
    <font>
      <b/>
      <sz val="16"/>
      <color indexed="8"/>
      <name val="Times New Roman"/>
      <family val="1"/>
      <charset val="204"/>
    </font>
    <font>
      <sz val="16"/>
      <color rgb="FF000000"/>
      <name val="Times New Roman"/>
      <family val="1"/>
      <charset val="204"/>
    </font>
    <font>
      <sz val="16"/>
      <color theme="1"/>
      <name val="Calibri"/>
      <family val="2"/>
      <charset val="204"/>
      <scheme val="minor"/>
    </font>
    <font>
      <u/>
      <sz val="12"/>
      <name val="Times New Roman"/>
      <family val="1"/>
      <charset val="204"/>
    </font>
    <font>
      <b/>
      <sz val="10"/>
      <color theme="1"/>
      <name val="Calibri"/>
      <family val="2"/>
      <charset val="204"/>
      <scheme val="minor"/>
    </font>
    <font>
      <b/>
      <sz val="14"/>
      <color theme="1"/>
      <name val="Times New Roman"/>
      <family val="1"/>
      <charset val="204"/>
    </font>
    <font>
      <sz val="14"/>
      <color theme="1"/>
      <name val="Times New Roman"/>
      <family val="1"/>
      <charset val="204"/>
    </font>
    <font>
      <b/>
      <i/>
      <sz val="12"/>
      <color theme="1"/>
      <name val="Times New Roman"/>
      <family val="1"/>
      <charset val="204"/>
    </font>
    <font>
      <i/>
      <sz val="10"/>
      <color theme="1"/>
      <name val="Calibri"/>
      <family val="2"/>
      <charset val="204"/>
      <scheme val="minor"/>
    </font>
    <font>
      <i/>
      <sz val="12"/>
      <name val="Times New Roman"/>
      <family val="1"/>
      <charset val="204"/>
    </font>
    <font>
      <b/>
      <sz val="13.5"/>
      <color rgb="FF000000"/>
      <name val="Times New Roman"/>
      <family val="1"/>
      <charset val="204"/>
    </font>
    <font>
      <sz val="12"/>
      <name val="Arial Cyr"/>
      <charset val="204"/>
    </font>
    <font>
      <sz val="14"/>
      <color theme="1"/>
      <name val="Calibri"/>
      <family val="2"/>
      <charset val="204"/>
      <scheme val="minor"/>
    </font>
    <font>
      <sz val="14"/>
      <name val="Times New Roman"/>
      <family val="1"/>
      <charset val="204"/>
    </font>
    <font>
      <b/>
      <sz val="12"/>
      <color indexed="8"/>
      <name val="Times New Roman"/>
      <family val="1"/>
      <charset val="204"/>
    </font>
    <font>
      <b/>
      <sz val="9"/>
      <color theme="1"/>
      <name val="Times New Roman"/>
      <family val="1"/>
      <charset val="204"/>
    </font>
    <font>
      <b/>
      <sz val="10"/>
      <color theme="1"/>
      <name val="Times New Roman"/>
      <family val="1"/>
      <charset val="204"/>
    </font>
    <font>
      <b/>
      <sz val="13"/>
      <name val="Times New Roman"/>
      <family val="1"/>
      <charset val="204"/>
    </font>
    <font>
      <sz val="12"/>
      <color indexed="10"/>
      <name val="Times New Roman"/>
      <family val="1"/>
      <charset val="204"/>
    </font>
    <font>
      <i/>
      <sz val="14"/>
      <name val="Times New Roman"/>
      <family val="1"/>
      <charset val="204"/>
    </font>
    <font>
      <i/>
      <sz val="14"/>
      <color theme="1"/>
      <name val="Times New Roman"/>
      <family val="1"/>
      <charset val="204"/>
    </font>
    <font>
      <b/>
      <sz val="14"/>
      <color rgb="FF000000"/>
      <name val="Times New Roman"/>
      <family val="1"/>
      <charset val="204"/>
    </font>
    <font>
      <i/>
      <sz val="14"/>
      <color rgb="FF000000"/>
      <name val="Times New Roman"/>
      <family val="1"/>
      <charset val="204"/>
    </font>
    <font>
      <sz val="11"/>
      <name val="Arial"/>
      <family val="2"/>
      <charset val="204"/>
    </font>
    <font>
      <b/>
      <sz val="10"/>
      <name val="Arial Cyr"/>
      <charset val="204"/>
    </font>
    <font>
      <sz val="10"/>
      <color theme="0"/>
      <name val="Calibri"/>
      <family val="2"/>
      <charset val="204"/>
      <scheme val="minor"/>
    </font>
    <font>
      <sz val="14"/>
      <color rgb="FF333333"/>
      <name val="Times New Roman"/>
      <family val="1"/>
      <charset val="204"/>
    </font>
    <font>
      <sz val="11.5"/>
      <color theme="1"/>
      <name val="Times New Roman"/>
      <family val="1"/>
      <charset val="204"/>
    </font>
    <font>
      <sz val="9"/>
      <color theme="1"/>
      <name val="Times New Roman"/>
      <family val="1"/>
      <charset val="204"/>
    </font>
    <font>
      <sz val="12"/>
      <color rgb="FF333333"/>
      <name val="Times New Roman"/>
      <family val="1"/>
      <charset val="204"/>
    </font>
    <font>
      <u/>
      <sz val="12"/>
      <color rgb="FF000099"/>
      <name val="Times New Roman"/>
      <family val="1"/>
      <charset val="204"/>
    </font>
    <font>
      <b/>
      <vertAlign val="superscript"/>
      <sz val="12"/>
      <color rgb="FF333333"/>
      <name val="Times New Roman"/>
      <family val="1"/>
      <charset val="204"/>
    </font>
    <font>
      <b/>
      <sz val="18"/>
      <name val="Times New Roman"/>
      <family val="1"/>
      <charset val="204"/>
    </font>
    <font>
      <i/>
      <u/>
      <sz val="14"/>
      <color rgb="FF000099"/>
      <name val="Times New Roman"/>
      <family val="1"/>
      <charset val="204"/>
    </font>
    <font>
      <u/>
      <sz val="14"/>
      <color rgb="FF000099"/>
      <name val="Times New Roman"/>
      <family val="1"/>
      <charset val="204"/>
    </font>
    <font>
      <i/>
      <sz val="14"/>
      <color rgb="FF333333"/>
      <name val="Times New Roman"/>
      <family val="1"/>
      <charset val="204"/>
    </font>
    <font>
      <b/>
      <vertAlign val="superscript"/>
      <sz val="14"/>
      <color rgb="FF333333"/>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7">
    <xf numFmtId="0" fontId="0" fillId="0" borderId="0"/>
    <xf numFmtId="166" fontId="10" fillId="0" borderId="0" applyFont="0" applyFill="0" applyBorder="0" applyAlignment="0" applyProtection="0"/>
    <xf numFmtId="0" fontId="11" fillId="0" borderId="0"/>
    <xf numFmtId="0" fontId="10" fillId="0" borderId="0"/>
    <xf numFmtId="9" fontId="10" fillId="0" borderId="0" applyFont="0" applyFill="0" applyBorder="0" applyAlignment="0" applyProtection="0"/>
    <xf numFmtId="169" fontId="10" fillId="0" borderId="0" applyFont="0" applyFill="0" applyBorder="0" applyAlignment="0" applyProtection="0"/>
    <xf numFmtId="164" fontId="11" fillId="0" borderId="0" applyFont="0" applyFill="0" applyBorder="0" applyAlignment="0" applyProtection="0"/>
  </cellStyleXfs>
  <cellXfs count="1386">
    <xf numFmtId="0" fontId="0" fillId="0" borderId="0" xfId="0"/>
    <xf numFmtId="0" fontId="5" fillId="0" borderId="0" xfId="0" applyFont="1"/>
    <xf numFmtId="0" fontId="5" fillId="0" borderId="0" xfId="0" applyFont="1" applyAlignment="1">
      <alignment horizontal="right"/>
    </xf>
    <xf numFmtId="0" fontId="7" fillId="0" borderId="0" xfId="0" applyFont="1" applyAlignment="1">
      <alignment horizontal="left" vertical="center"/>
    </xf>
    <xf numFmtId="49" fontId="7" fillId="0" borderId="0" xfId="0" applyNumberFormat="1" applyFont="1" applyAlignment="1">
      <alignment vertical="center"/>
    </xf>
    <xf numFmtId="0" fontId="7" fillId="0" borderId="0" xfId="0" applyFont="1" applyAlignment="1">
      <alignment vertical="center"/>
    </xf>
    <xf numFmtId="0" fontId="7" fillId="0" borderId="2" xfId="0" applyFont="1" applyBorder="1"/>
    <xf numFmtId="165" fontId="5" fillId="2" borderId="1" xfId="0" applyNumberFormat="1" applyFont="1" applyFill="1" applyBorder="1" applyAlignment="1">
      <alignment horizontal="righ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165" fontId="6" fillId="2" borderId="15" xfId="0" applyNumberFormat="1" applyFont="1" applyFill="1" applyBorder="1" applyAlignment="1">
      <alignment horizontal="right" vertical="center"/>
    </xf>
    <xf numFmtId="165" fontId="5" fillId="0" borderId="1" xfId="0" applyNumberFormat="1" applyFont="1" applyBorder="1" applyAlignment="1">
      <alignment horizontal="right" vertical="center"/>
    </xf>
    <xf numFmtId="165" fontId="5" fillId="2" borderId="12" xfId="0" applyNumberFormat="1" applyFont="1" applyFill="1" applyBorder="1" applyAlignment="1">
      <alignment horizontal="right" vertical="center"/>
    </xf>
    <xf numFmtId="165" fontId="8" fillId="2" borderId="18" xfId="0" applyNumberFormat="1" applyFont="1" applyFill="1" applyBorder="1" applyAlignment="1">
      <alignment horizontal="right" vertical="center"/>
    </xf>
    <xf numFmtId="0" fontId="6" fillId="2" borderId="0" xfId="0" applyFont="1" applyFill="1" applyAlignment="1">
      <alignment horizontal="center" vertical="center" wrapText="1"/>
    </xf>
    <xf numFmtId="0" fontId="6" fillId="2" borderId="0" xfId="0" applyFont="1" applyFill="1" applyAlignment="1">
      <alignment vertical="center" wrapText="1"/>
    </xf>
    <xf numFmtId="0" fontId="14" fillId="0" borderId="0" xfId="0" applyFont="1" applyAlignment="1">
      <alignment vertical="center"/>
    </xf>
    <xf numFmtId="0" fontId="3" fillId="0" borderId="0" xfId="0" applyFont="1"/>
    <xf numFmtId="0" fontId="7" fillId="0" borderId="0" xfId="0" applyFont="1" applyAlignment="1">
      <alignment horizontal="right" vertical="center"/>
    </xf>
    <xf numFmtId="0" fontId="5" fillId="0" borderId="0" xfId="0" applyFont="1" applyAlignment="1">
      <alignment vertical="center"/>
    </xf>
    <xf numFmtId="0" fontId="16" fillId="0" borderId="0" xfId="0" applyFont="1" applyAlignment="1">
      <alignment horizontal="left" vertical="center"/>
    </xf>
    <xf numFmtId="3" fontId="16" fillId="0" borderId="0" xfId="0" applyNumberFormat="1" applyFont="1" applyAlignment="1">
      <alignment horizontal="left" vertical="center"/>
    </xf>
    <xf numFmtId="2" fontId="15" fillId="0" borderId="0" xfId="0" applyNumberFormat="1" applyFont="1" applyAlignment="1">
      <alignment horizontal="left" vertical="center"/>
    </xf>
    <xf numFmtId="0" fontId="15" fillId="0" borderId="0" xfId="0" applyFont="1" applyAlignment="1">
      <alignment vertical="center"/>
    </xf>
    <xf numFmtId="0" fontId="5" fillId="2" borderId="1" xfId="0" quotePrefix="1" applyFont="1" applyFill="1" applyBorder="1" applyAlignment="1">
      <alignment vertical="center" wrapText="1"/>
    </xf>
    <xf numFmtId="0" fontId="7" fillId="0" borderId="1" xfId="0" applyFont="1" applyBorder="1" applyAlignment="1">
      <alignment vertical="center" wrapText="1"/>
    </xf>
    <xf numFmtId="49" fontId="7" fillId="0" borderId="0" xfId="0" applyNumberFormat="1" applyFont="1" applyAlignment="1">
      <alignment horizontal="right" vertical="center"/>
    </xf>
    <xf numFmtId="0" fontId="1" fillId="0" borderId="0" xfId="0" applyFont="1"/>
    <xf numFmtId="0" fontId="8" fillId="0" borderId="0" xfId="0" applyFont="1"/>
    <xf numFmtId="0" fontId="6" fillId="0" borderId="0" xfId="0" applyFont="1"/>
    <xf numFmtId="0" fontId="7" fillId="2" borderId="1" xfId="0" quotePrefix="1" applyFont="1" applyFill="1" applyBorder="1" applyAlignment="1">
      <alignment vertical="center" wrapText="1"/>
    </xf>
    <xf numFmtId="0" fontId="5" fillId="2" borderId="12" xfId="0" quotePrefix="1" applyFont="1" applyFill="1" applyBorder="1" applyAlignment="1">
      <alignmen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5" xfId="0" quotePrefix="1" applyFont="1" applyFill="1" applyBorder="1" applyAlignment="1">
      <alignment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165" fontId="5" fillId="2" borderId="1" xfId="0" applyNumberFormat="1" applyFont="1" applyFill="1" applyBorder="1" applyAlignment="1">
      <alignment vertical="center"/>
    </xf>
    <xf numFmtId="165" fontId="5" fillId="2" borderId="12" xfId="0" applyNumberFormat="1" applyFont="1" applyFill="1" applyBorder="1" applyAlignment="1">
      <alignment vertical="center"/>
    </xf>
    <xf numFmtId="165" fontId="8" fillId="2" borderId="18" xfId="0" applyNumberFormat="1" applyFont="1" applyFill="1" applyBorder="1" applyAlignment="1">
      <alignment vertical="center"/>
    </xf>
    <xf numFmtId="165" fontId="5" fillId="2" borderId="18" xfId="0" applyNumberFormat="1" applyFont="1" applyFill="1" applyBorder="1" applyAlignment="1">
      <alignment vertical="center"/>
    </xf>
    <xf numFmtId="0" fontId="5" fillId="2" borderId="0" xfId="0" applyFont="1" applyFill="1" applyAlignment="1">
      <alignment horizontal="center" vertical="center"/>
    </xf>
    <xf numFmtId="0" fontId="5" fillId="2" borderId="0" xfId="0" applyFont="1" applyFill="1"/>
    <xf numFmtId="0" fontId="5" fillId="2" borderId="0" xfId="0" applyFont="1" applyFill="1" applyAlignment="1">
      <alignment horizontal="right"/>
    </xf>
    <xf numFmtId="0" fontId="4" fillId="2" borderId="0" xfId="0" quotePrefix="1" applyFont="1" applyFill="1" applyAlignment="1">
      <alignment horizontal="center" vertical="center"/>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8" xfId="0" quotePrefix="1" applyFont="1" applyFill="1" applyBorder="1" applyAlignment="1">
      <alignment vertical="center" wrapText="1"/>
    </xf>
    <xf numFmtId="165" fontId="8" fillId="2" borderId="18" xfId="0" applyNumberFormat="1" applyFont="1" applyFill="1" applyBorder="1" applyAlignment="1">
      <alignment horizontal="right" vertical="center" wrapText="1"/>
    </xf>
    <xf numFmtId="49" fontId="5" fillId="2" borderId="1"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165" fontId="6" fillId="2" borderId="15" xfId="0" applyNumberFormat="1" applyFont="1" applyFill="1" applyBorder="1" applyAlignment="1">
      <alignment vertical="center"/>
    </xf>
    <xf numFmtId="165" fontId="6" fillId="2" borderId="0" xfId="0" applyNumberFormat="1" applyFont="1" applyFill="1" applyAlignment="1">
      <alignment vertical="center"/>
    </xf>
    <xf numFmtId="0" fontId="15" fillId="2" borderId="0" xfId="0" applyFont="1" applyFill="1" applyAlignment="1">
      <alignment horizontal="left" vertical="center"/>
    </xf>
    <xf numFmtId="0" fontId="16" fillId="2" borderId="0" xfId="0" applyFont="1" applyFill="1" applyAlignment="1">
      <alignment horizontal="left" vertical="center"/>
    </xf>
    <xf numFmtId="2" fontId="15" fillId="2" borderId="0" xfId="0" applyNumberFormat="1" applyFont="1" applyFill="1" applyAlignment="1">
      <alignment horizontal="left" vertical="center"/>
    </xf>
    <xf numFmtId="0" fontId="7" fillId="2" borderId="9"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2" xfId="0" applyFont="1" applyFill="1" applyBorder="1" applyAlignment="1">
      <alignment horizontal="center" vertical="center" wrapText="1"/>
    </xf>
    <xf numFmtId="49" fontId="7" fillId="2" borderId="12" xfId="0" applyNumberFormat="1" applyFont="1" applyFill="1" applyBorder="1" applyAlignment="1">
      <alignment horizontal="center" vertical="center" wrapText="1"/>
    </xf>
    <xf numFmtId="49" fontId="7" fillId="0" borderId="4" xfId="0" applyNumberFormat="1" applyFont="1" applyBorder="1" applyAlignment="1">
      <alignment vertical="center"/>
    </xf>
    <xf numFmtId="0" fontId="19" fillId="0" borderId="0" xfId="0" applyFont="1"/>
    <xf numFmtId="0" fontId="19" fillId="0" borderId="0" xfId="0" applyFont="1" applyAlignment="1">
      <alignment horizontal="center" vertical="center"/>
    </xf>
    <xf numFmtId="49" fontId="19" fillId="0" borderId="0" xfId="0" applyNumberFormat="1" applyFont="1" applyAlignment="1">
      <alignment horizontal="center" vertical="center"/>
    </xf>
    <xf numFmtId="0" fontId="9" fillId="0" borderId="0" xfId="0" applyFont="1"/>
    <xf numFmtId="0" fontId="19" fillId="0" borderId="0" xfId="0" applyFont="1" applyAlignment="1">
      <alignment vertical="center"/>
    </xf>
    <xf numFmtId="0" fontId="7" fillId="0" borderId="0" xfId="0" applyFont="1"/>
    <xf numFmtId="9" fontId="19" fillId="0" borderId="0" xfId="0" applyNumberFormat="1" applyFont="1" applyAlignment="1">
      <alignment horizontal="right" vertical="center"/>
    </xf>
    <xf numFmtId="0" fontId="7" fillId="0" borderId="4" xfId="0" applyFont="1" applyBorder="1"/>
    <xf numFmtId="49" fontId="15" fillId="0" borderId="0" xfId="0" applyNumberFormat="1" applyFont="1" applyAlignment="1">
      <alignment horizontal="center" vertical="center" wrapText="1"/>
    </xf>
    <xf numFmtId="9" fontId="7" fillId="0" borderId="0" xfId="0" applyNumberFormat="1" applyFont="1" applyAlignment="1">
      <alignment horizontal="right" vertical="center" wrapText="1"/>
    </xf>
    <xf numFmtId="49" fontId="7" fillId="0" borderId="15" xfId="0" applyNumberFormat="1" applyFont="1" applyBorder="1" applyAlignment="1">
      <alignment horizontal="center" vertical="center" wrapText="1"/>
    </xf>
    <xf numFmtId="0" fontId="13" fillId="0" borderId="0" xfId="0" applyFont="1"/>
    <xf numFmtId="0" fontId="20" fillId="3" borderId="15" xfId="0" applyFont="1" applyFill="1" applyBorder="1" applyAlignment="1">
      <alignment horizontal="center" vertical="center" wrapText="1"/>
    </xf>
    <xf numFmtId="49" fontId="20" fillId="3" borderId="15" xfId="0" applyNumberFormat="1" applyFont="1" applyFill="1" applyBorder="1" applyAlignment="1">
      <alignment horizontal="center" vertical="center" wrapText="1"/>
    </xf>
    <xf numFmtId="3" fontId="25" fillId="0" borderId="1" xfId="0" applyNumberFormat="1" applyFont="1" applyBorder="1" applyAlignment="1">
      <alignment horizontal="right" vertical="center" wrapText="1"/>
    </xf>
    <xf numFmtId="167" fontId="25" fillId="0" borderId="1" xfId="1" applyNumberFormat="1" applyFont="1" applyFill="1" applyBorder="1" applyAlignment="1">
      <alignment horizontal="right"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24" fillId="0" borderId="1" xfId="0" applyNumberFormat="1" applyFont="1" applyBorder="1" applyAlignment="1">
      <alignment horizontal="center" vertical="center" wrapText="1"/>
    </xf>
    <xf numFmtId="3" fontId="24" fillId="0" borderId="1" xfId="0" applyNumberFormat="1" applyFont="1" applyBorder="1" applyAlignment="1">
      <alignment horizontal="right" vertical="center" wrapText="1"/>
    </xf>
    <xf numFmtId="3" fontId="24" fillId="0" borderId="1" xfId="0" applyNumberFormat="1" applyFont="1" applyBorder="1" applyAlignment="1">
      <alignment vertical="center"/>
    </xf>
    <xf numFmtId="3" fontId="25" fillId="0" borderId="1" xfId="0" applyNumberFormat="1" applyFont="1" applyBorder="1" applyAlignment="1">
      <alignment vertical="center"/>
    </xf>
    <xf numFmtId="3" fontId="24" fillId="0" borderId="1" xfId="0" applyNumberFormat="1" applyFont="1" applyBorder="1" applyAlignment="1">
      <alignment horizontal="right" vertical="center"/>
    </xf>
    <xf numFmtId="0" fontId="28" fillId="3" borderId="15" xfId="0" applyFont="1" applyFill="1" applyBorder="1" applyAlignment="1">
      <alignment horizontal="center" vertical="center" wrapText="1"/>
    </xf>
    <xf numFmtId="49" fontId="28" fillId="3" borderId="15" xfId="0" applyNumberFormat="1" applyFont="1" applyFill="1" applyBorder="1" applyAlignment="1">
      <alignment horizontal="center" vertical="center" wrapText="1"/>
    </xf>
    <xf numFmtId="3" fontId="20" fillId="3" borderId="15" xfId="0" applyNumberFormat="1" applyFont="1" applyFill="1" applyBorder="1" applyAlignment="1">
      <alignment horizontal="center" vertical="center" wrapText="1"/>
    </xf>
    <xf numFmtId="167" fontId="19" fillId="0" borderId="0" xfId="0" applyNumberFormat="1" applyFont="1"/>
    <xf numFmtId="0" fontId="20" fillId="0" borderId="0" xfId="0" applyFont="1" applyAlignment="1">
      <alignment horizontal="center" vertical="center"/>
    </xf>
    <xf numFmtId="49" fontId="20" fillId="3" borderId="0" xfId="0" applyNumberFormat="1" applyFont="1" applyFill="1" applyAlignment="1">
      <alignment horizontal="center" vertical="center" wrapText="1"/>
    </xf>
    <xf numFmtId="0" fontId="20" fillId="3" borderId="0" xfId="0" applyFont="1" applyFill="1" applyAlignment="1">
      <alignment horizontal="center" vertical="center" wrapText="1"/>
    </xf>
    <xf numFmtId="0" fontId="28" fillId="3" borderId="0" xfId="0" applyFont="1" applyFill="1" applyAlignment="1">
      <alignment horizontal="center" vertical="center" wrapText="1"/>
    </xf>
    <xf numFmtId="49" fontId="28" fillId="3" borderId="0" xfId="0" applyNumberFormat="1" applyFont="1" applyFill="1" applyAlignment="1">
      <alignment horizontal="center" vertical="center" wrapText="1"/>
    </xf>
    <xf numFmtId="3" fontId="20" fillId="3" borderId="0" xfId="0" applyNumberFormat="1" applyFont="1" applyFill="1" applyAlignment="1">
      <alignment horizontal="center" vertical="center" wrapText="1"/>
    </xf>
    <xf numFmtId="167" fontId="20" fillId="3" borderId="0" xfId="1" applyNumberFormat="1" applyFont="1" applyFill="1" applyBorder="1" applyAlignment="1">
      <alignment horizontal="right" vertical="center" wrapText="1"/>
    </xf>
    <xf numFmtId="9" fontId="20" fillId="3" borderId="0" xfId="0" applyNumberFormat="1" applyFont="1" applyFill="1" applyAlignment="1">
      <alignment horizontal="center" vertical="center" wrapText="1"/>
    </xf>
    <xf numFmtId="0" fontId="29" fillId="0" borderId="0" xfId="0" applyFont="1" applyAlignment="1">
      <alignment vertical="center"/>
    </xf>
    <xf numFmtId="0" fontId="25" fillId="0" borderId="0" xfId="0" applyFont="1" applyAlignment="1">
      <alignment horizontal="right" vertical="center"/>
    </xf>
    <xf numFmtId="167" fontId="3" fillId="0" borderId="0" xfId="0" applyNumberFormat="1" applyFont="1"/>
    <xf numFmtId="0" fontId="3" fillId="0" borderId="0" xfId="0" applyFont="1" applyAlignment="1">
      <alignment vertical="center"/>
    </xf>
    <xf numFmtId="0" fontId="30" fillId="0" borderId="0" xfId="0" applyFont="1"/>
    <xf numFmtId="0" fontId="25" fillId="0" borderId="0" xfId="0" applyFont="1"/>
    <xf numFmtId="0" fontId="25" fillId="0" borderId="0" xfId="0" applyFont="1" applyAlignment="1">
      <alignment horizontal="center" vertical="center"/>
    </xf>
    <xf numFmtId="49" fontId="25" fillId="0" borderId="0" xfId="0" applyNumberFormat="1" applyFont="1" applyAlignment="1">
      <alignment horizontal="center" vertical="center"/>
    </xf>
    <xf numFmtId="0" fontId="25" fillId="0" borderId="0" xfId="0" applyFont="1" applyAlignment="1">
      <alignment vertical="center"/>
    </xf>
    <xf numFmtId="0" fontId="19" fillId="0" borderId="0" xfId="0" applyFont="1" applyAlignment="1">
      <alignment horizontal="right" vertical="center"/>
    </xf>
    <xf numFmtId="0" fontId="7" fillId="2" borderId="0" xfId="0" applyFont="1" applyFill="1" applyAlignment="1">
      <alignment vertical="center"/>
    </xf>
    <xf numFmtId="9" fontId="24" fillId="0" borderId="1" xfId="0" applyNumberFormat="1" applyFont="1" applyBorder="1" applyAlignment="1">
      <alignment vertical="center" wrapText="1"/>
    </xf>
    <xf numFmtId="3" fontId="25" fillId="0" borderId="1" xfId="0" applyNumberFormat="1" applyFont="1" applyBorder="1" applyAlignment="1">
      <alignment horizontal="right" vertical="center"/>
    </xf>
    <xf numFmtId="3" fontId="25" fillId="2" borderId="1" xfId="0" applyNumberFormat="1" applyFont="1" applyFill="1" applyBorder="1" applyAlignment="1">
      <alignment horizontal="right" vertical="center" wrapText="1"/>
    </xf>
    <xf numFmtId="0" fontId="5" fillId="2" borderId="38" xfId="0" applyFont="1" applyFill="1" applyBorder="1" applyAlignment="1">
      <alignment horizontal="center" vertical="center" wrapText="1"/>
    </xf>
    <xf numFmtId="49" fontId="5" fillId="2" borderId="12" xfId="0" applyNumberFormat="1"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5" fillId="2" borderId="0" xfId="0" applyFont="1" applyFill="1" applyAlignment="1">
      <alignment horizontal="center"/>
    </xf>
    <xf numFmtId="165" fontId="6" fillId="2" borderId="1" xfId="0" applyNumberFormat="1" applyFont="1" applyFill="1" applyBorder="1" applyAlignment="1">
      <alignment horizontal="right" vertical="center"/>
    </xf>
    <xf numFmtId="165" fontId="0" fillId="0" borderId="0" xfId="0" applyNumberFormat="1"/>
    <xf numFmtId="49" fontId="15" fillId="0" borderId="0" xfId="0" applyNumberFormat="1" applyFont="1" applyAlignment="1">
      <alignment horizontal="center" vertical="center"/>
    </xf>
    <xf numFmtId="0" fontId="4" fillId="0" borderId="0" xfId="0" quotePrefix="1" applyFont="1" applyAlignment="1">
      <alignment horizontal="left" vertical="top"/>
    </xf>
    <xf numFmtId="0" fontId="5" fillId="0" borderId="0" xfId="0" applyFont="1" applyAlignment="1">
      <alignment horizontal="left" vertical="top"/>
    </xf>
    <xf numFmtId="165" fontId="6" fillId="2" borderId="9" xfId="0" applyNumberFormat="1" applyFont="1" applyFill="1" applyBorder="1" applyAlignment="1">
      <alignment vertical="center"/>
    </xf>
    <xf numFmtId="165" fontId="6" fillId="2" borderId="1" xfId="0" applyNumberFormat="1" applyFont="1" applyFill="1" applyBorder="1" applyAlignment="1">
      <alignment vertical="center" wrapText="1"/>
    </xf>
    <xf numFmtId="165" fontId="5" fillId="2" borderId="9" xfId="0" applyNumberFormat="1" applyFont="1" applyFill="1" applyBorder="1" applyAlignment="1">
      <alignment vertical="center"/>
    </xf>
    <xf numFmtId="165" fontId="5" fillId="2" borderId="1" xfId="0" applyNumberFormat="1" applyFont="1" applyFill="1" applyBorder="1" applyAlignment="1">
      <alignment vertical="center" wrapText="1"/>
    </xf>
    <xf numFmtId="0" fontId="0" fillId="0" borderId="0" xfId="0" applyAlignment="1">
      <alignment horizontal="left"/>
    </xf>
    <xf numFmtId="165" fontId="5" fillId="2" borderId="11" xfId="0" applyNumberFormat="1" applyFont="1" applyFill="1" applyBorder="1" applyAlignment="1">
      <alignment vertical="center"/>
    </xf>
    <xf numFmtId="165" fontId="5" fillId="2" borderId="12" xfId="0" applyNumberFormat="1" applyFont="1" applyFill="1" applyBorder="1" applyAlignment="1">
      <alignment vertical="center" wrapText="1"/>
    </xf>
    <xf numFmtId="165" fontId="6" fillId="2" borderId="14" xfId="0" applyNumberFormat="1" applyFont="1" applyFill="1" applyBorder="1" applyAlignment="1">
      <alignment horizontal="center"/>
    </xf>
    <xf numFmtId="165" fontId="6" fillId="2" borderId="15" xfId="0" applyNumberFormat="1" applyFont="1" applyFill="1" applyBorder="1"/>
    <xf numFmtId="165" fontId="6" fillId="2" borderId="15" xfId="0" applyNumberFormat="1" applyFont="1" applyFill="1" applyBorder="1" applyAlignment="1">
      <alignment horizontal="right"/>
    </xf>
    <xf numFmtId="165" fontId="35" fillId="2" borderId="16" xfId="0" applyNumberFormat="1" applyFont="1" applyFill="1" applyBorder="1" applyAlignment="1">
      <alignment horizontal="right"/>
    </xf>
    <xf numFmtId="0" fontId="7" fillId="0" borderId="0" xfId="0" applyFont="1" applyAlignment="1">
      <alignment vertical="top"/>
    </xf>
    <xf numFmtId="0" fontId="37" fillId="0" borderId="0" xfId="0" applyFont="1" applyAlignment="1">
      <alignment horizontal="left" vertical="center"/>
    </xf>
    <xf numFmtId="0" fontId="7" fillId="0" borderId="0" xfId="0" applyFont="1" applyAlignment="1">
      <alignment horizontal="left" vertical="center" wrapText="1"/>
    </xf>
    <xf numFmtId="3" fontId="37" fillId="0" borderId="0" xfId="0" applyNumberFormat="1" applyFont="1" applyAlignment="1">
      <alignment horizontal="left" vertical="center"/>
    </xf>
    <xf numFmtId="2" fontId="7" fillId="0" borderId="0" xfId="0" applyNumberFormat="1" applyFont="1" applyAlignment="1">
      <alignment horizontal="left" vertical="center"/>
    </xf>
    <xf numFmtId="0" fontId="6" fillId="0" borderId="37" xfId="0" applyFont="1" applyBorder="1" applyAlignment="1">
      <alignment horizontal="center" vertical="center"/>
    </xf>
    <xf numFmtId="0" fontId="6" fillId="0" borderId="5" xfId="0" applyFont="1" applyBorder="1" applyAlignment="1">
      <alignment horizontal="centerContinuous" vertical="center"/>
    </xf>
    <xf numFmtId="0" fontId="5" fillId="0" borderId="37" xfId="0" applyFont="1" applyBorder="1" applyAlignment="1">
      <alignment horizontal="center" vertical="center"/>
    </xf>
    <xf numFmtId="0" fontId="13" fillId="0" borderId="9" xfId="0" applyFont="1" applyBorder="1" applyAlignment="1">
      <alignment horizontal="center" vertical="center"/>
    </xf>
    <xf numFmtId="0" fontId="39" fillId="0" borderId="0" xfId="0" applyFont="1"/>
    <xf numFmtId="49" fontId="7" fillId="0" borderId="9" xfId="0" applyNumberFormat="1" applyFont="1" applyBorder="1" applyAlignment="1">
      <alignment horizontal="center" vertical="center" wrapText="1"/>
    </xf>
    <xf numFmtId="0" fontId="0" fillId="2" borderId="0" xfId="0" applyFill="1"/>
    <xf numFmtId="0" fontId="6" fillId="0" borderId="3" xfId="0" applyFont="1" applyBorder="1" applyAlignment="1">
      <alignment horizontal="left" vertical="center"/>
    </xf>
    <xf numFmtId="0" fontId="6" fillId="0" borderId="1" xfId="0" applyFont="1" applyBorder="1" applyAlignment="1">
      <alignment horizontal="center"/>
    </xf>
    <xf numFmtId="0" fontId="6" fillId="0" borderId="1" xfId="0" applyFont="1" applyBorder="1" applyAlignment="1">
      <alignment horizontal="left"/>
    </xf>
    <xf numFmtId="0" fontId="7" fillId="0" borderId="3" xfId="0" applyFont="1" applyBorder="1" applyAlignment="1">
      <alignment wrapText="1"/>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5" xfId="0" applyFont="1" applyBorder="1" applyAlignment="1">
      <alignment horizontal="left" vertical="center"/>
    </xf>
    <xf numFmtId="0" fontId="13" fillId="0" borderId="0" xfId="0" applyFont="1" applyAlignment="1">
      <alignment horizontal="left"/>
    </xf>
    <xf numFmtId="0" fontId="27" fillId="0" borderId="0" xfId="0" applyFont="1" applyAlignment="1">
      <alignment horizontal="left"/>
    </xf>
    <xf numFmtId="0" fontId="13" fillId="0" borderId="0" xfId="0" applyFont="1" applyAlignment="1">
      <alignment horizontal="left" wrapText="1"/>
    </xf>
    <xf numFmtId="3" fontId="27" fillId="0" borderId="0" xfId="0" applyNumberFormat="1" applyFont="1" applyAlignment="1">
      <alignment horizontal="left"/>
    </xf>
    <xf numFmtId="2" fontId="13" fillId="0" borderId="0" xfId="0" applyNumberFormat="1" applyFont="1" applyAlignment="1">
      <alignment horizontal="left"/>
    </xf>
    <xf numFmtId="0" fontId="33" fillId="0" borderId="0" xfId="0" applyFont="1"/>
    <xf numFmtId="0" fontId="34" fillId="0" borderId="0" xfId="0" applyFont="1"/>
    <xf numFmtId="0" fontId="40" fillId="0" borderId="0" xfId="0" applyFont="1"/>
    <xf numFmtId="49" fontId="7" fillId="0" borderId="0" xfId="0" applyNumberFormat="1" applyFont="1"/>
    <xf numFmtId="0" fontId="7" fillId="2" borderId="0" xfId="0" applyFont="1" applyFill="1"/>
    <xf numFmtId="0" fontId="41" fillId="0" borderId="0" xfId="0" applyFont="1"/>
    <xf numFmtId="0" fontId="7" fillId="0" borderId="0" xfId="0" applyFont="1" applyAlignment="1">
      <alignment horizontal="right" vertical="center" wrapText="1"/>
    </xf>
    <xf numFmtId="49" fontId="9" fillId="0" borderId="14" xfId="0" applyNumberFormat="1" applyFont="1" applyBorder="1" applyAlignment="1">
      <alignment horizontal="center" vertical="center" wrapText="1"/>
    </xf>
    <xf numFmtId="49" fontId="9" fillId="0" borderId="32"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0" fontId="13" fillId="0" borderId="14" xfId="0" applyFont="1" applyBorder="1" applyAlignment="1">
      <alignment horizontal="center" vertical="center"/>
    </xf>
    <xf numFmtId="49" fontId="13" fillId="3" borderId="32" xfId="0" applyNumberFormat="1" applyFont="1" applyFill="1" applyBorder="1" applyAlignment="1">
      <alignment horizontal="center" vertical="center" wrapText="1"/>
    </xf>
    <xf numFmtId="49" fontId="13" fillId="0" borderId="15" xfId="0" applyNumberFormat="1" applyFont="1" applyBorder="1" applyAlignment="1">
      <alignment horizontal="center" vertical="center"/>
    </xf>
    <xf numFmtId="0" fontId="37" fillId="0" borderId="14" xfId="0" applyFont="1" applyBorder="1" applyAlignment="1">
      <alignment horizontal="center" vertical="center"/>
    </xf>
    <xf numFmtId="49" fontId="37" fillId="3" borderId="32" xfId="0" applyNumberFormat="1" applyFont="1" applyFill="1" applyBorder="1" applyAlignment="1">
      <alignment horizontal="center" vertical="center" wrapText="1"/>
    </xf>
    <xf numFmtId="49" fontId="37" fillId="0" borderId="32" xfId="0" applyNumberFormat="1" applyFont="1" applyBorder="1" applyAlignment="1">
      <alignment horizontal="center" vertical="center"/>
    </xf>
    <xf numFmtId="0" fontId="37" fillId="0" borderId="1" xfId="0" applyFont="1" applyBorder="1" applyAlignment="1">
      <alignment horizontal="left" vertical="center" wrapText="1"/>
    </xf>
    <xf numFmtId="0" fontId="42" fillId="0" borderId="15" xfId="0" applyFont="1" applyBorder="1" applyAlignment="1">
      <alignment horizontal="center" vertical="center" wrapText="1"/>
    </xf>
    <xf numFmtId="0" fontId="27" fillId="0" borderId="15" xfId="0" applyFont="1" applyBorder="1" applyAlignment="1">
      <alignment horizontal="center" vertical="center" wrapText="1"/>
    </xf>
    <xf numFmtId="0" fontId="15" fillId="0" borderId="0" xfId="0" applyFont="1" applyAlignment="1">
      <alignment horizontal="center" vertical="center"/>
    </xf>
    <xf numFmtId="0" fontId="13" fillId="0" borderId="0" xfId="0" applyFont="1" applyAlignment="1">
      <alignment horizontal="center" vertical="center"/>
    </xf>
    <xf numFmtId="49" fontId="13" fillId="3" borderId="0" xfId="0" applyNumberFormat="1" applyFont="1" applyFill="1" applyAlignment="1">
      <alignment horizontal="center" vertical="center" wrapText="1"/>
    </xf>
    <xf numFmtId="49" fontId="13" fillId="0" borderId="0" xfId="0" applyNumberFormat="1" applyFont="1" applyAlignment="1">
      <alignment horizontal="center" vertical="center"/>
    </xf>
    <xf numFmtId="0" fontId="42" fillId="0" borderId="0" xfId="0" applyFont="1" applyAlignment="1">
      <alignment horizontal="center" vertical="center" wrapText="1"/>
    </xf>
    <xf numFmtId="0" fontId="27" fillId="0" borderId="0" xfId="0" applyFont="1" applyAlignment="1">
      <alignment horizontal="center" vertical="center" wrapText="1"/>
    </xf>
    <xf numFmtId="3" fontId="13" fillId="0" borderId="0" xfId="0" applyNumberFormat="1" applyFont="1" applyAlignment="1">
      <alignment horizontal="center" vertical="center" wrapText="1"/>
    </xf>
    <xf numFmtId="165" fontId="6" fillId="2" borderId="3" xfId="0" applyNumberFormat="1" applyFont="1" applyFill="1" applyBorder="1" applyAlignment="1">
      <alignment horizontal="right" vertical="center"/>
    </xf>
    <xf numFmtId="165" fontId="5" fillId="2" borderId="3" xfId="0" applyNumberFormat="1" applyFont="1" applyFill="1" applyBorder="1" applyAlignment="1">
      <alignment horizontal="right" vertical="center"/>
    </xf>
    <xf numFmtId="165" fontId="8" fillId="2" borderId="3" xfId="0" applyNumberFormat="1" applyFont="1" applyFill="1" applyBorder="1" applyAlignment="1">
      <alignment horizontal="right" vertical="center"/>
    </xf>
    <xf numFmtId="165" fontId="35" fillId="2" borderId="3" xfId="0" applyNumberFormat="1" applyFont="1" applyFill="1" applyBorder="1" applyAlignment="1">
      <alignment horizontal="right" vertical="center"/>
    </xf>
    <xf numFmtId="165" fontId="5" fillId="2" borderId="43" xfId="0" applyNumberFormat="1" applyFont="1" applyFill="1" applyBorder="1" applyAlignment="1">
      <alignment horizontal="right" vertical="center"/>
    </xf>
    <xf numFmtId="165" fontId="35" fillId="2" borderId="49" xfId="0" applyNumberFormat="1" applyFont="1" applyFill="1" applyBorder="1" applyAlignment="1">
      <alignment horizontal="right"/>
    </xf>
    <xf numFmtId="165" fontId="8" fillId="2" borderId="1" xfId="0" applyNumberFormat="1" applyFont="1" applyFill="1" applyBorder="1" applyAlignment="1">
      <alignment horizontal="right" vertical="center"/>
    </xf>
    <xf numFmtId="165" fontId="5" fillId="2" borderId="1" xfId="0" applyNumberFormat="1"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8" xfId="0" applyFont="1" applyFill="1" applyBorder="1" applyAlignment="1">
      <alignment horizontal="left"/>
    </xf>
    <xf numFmtId="165" fontId="6" fillId="2" borderId="15" xfId="0" applyNumberFormat="1" applyFont="1" applyFill="1" applyBorder="1" applyAlignment="1">
      <alignment horizontal="right" vertical="center" wrapText="1"/>
    </xf>
    <xf numFmtId="165" fontId="6" fillId="2" borderId="49" xfId="0" applyNumberFormat="1" applyFont="1" applyFill="1" applyBorder="1" applyAlignment="1">
      <alignment horizontal="right" vertical="center"/>
    </xf>
    <xf numFmtId="165" fontId="8" fillId="2" borderId="48" xfId="0" applyNumberFormat="1" applyFont="1" applyFill="1" applyBorder="1" applyAlignment="1">
      <alignment horizontal="right" vertical="center"/>
    </xf>
    <xf numFmtId="168" fontId="5" fillId="2" borderId="15" xfId="0" applyNumberFormat="1" applyFont="1" applyFill="1" applyBorder="1" applyAlignment="1">
      <alignment horizontal="center" vertical="center" wrapText="1"/>
    </xf>
    <xf numFmtId="168" fontId="5" fillId="2" borderId="18" xfId="0" applyNumberFormat="1" applyFont="1" applyFill="1" applyBorder="1" applyAlignment="1">
      <alignment horizontal="center" vertical="center" wrapText="1"/>
    </xf>
    <xf numFmtId="168" fontId="5" fillId="2" borderId="1" xfId="0" applyNumberFormat="1" applyFont="1" applyFill="1" applyBorder="1" applyAlignment="1">
      <alignment horizontal="center" vertical="center" wrapText="1"/>
    </xf>
    <xf numFmtId="168" fontId="5" fillId="2" borderId="12" xfId="0" applyNumberFormat="1" applyFont="1" applyFill="1" applyBorder="1" applyAlignment="1">
      <alignment horizontal="center" vertical="center" wrapText="1"/>
    </xf>
    <xf numFmtId="165" fontId="8" fillId="2" borderId="1" xfId="0" applyNumberFormat="1" applyFont="1" applyFill="1" applyBorder="1" applyAlignment="1">
      <alignment horizontal="right" vertical="center" wrapText="1"/>
    </xf>
    <xf numFmtId="165" fontId="5" fillId="2" borderId="1" xfId="0" applyNumberFormat="1" applyFont="1" applyFill="1" applyBorder="1" applyAlignment="1">
      <alignment horizontal="right" vertical="center" wrapText="1"/>
    </xf>
    <xf numFmtId="165" fontId="8" fillId="2" borderId="12" xfId="0" applyNumberFormat="1" applyFont="1" applyFill="1" applyBorder="1" applyAlignment="1">
      <alignment horizontal="right" vertical="center" wrapText="1"/>
    </xf>
    <xf numFmtId="165" fontId="5" fillId="2" borderId="18" xfId="0" applyNumberFormat="1" applyFont="1" applyFill="1" applyBorder="1" applyAlignment="1">
      <alignment horizontal="right" vertical="center" wrapText="1"/>
    </xf>
    <xf numFmtId="168" fontId="5" fillId="2" borderId="16" xfId="0"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0" fontId="45" fillId="2" borderId="0" xfId="0" applyFont="1" applyFill="1" applyAlignment="1">
      <alignment horizontal="center" vertical="center"/>
    </xf>
    <xf numFmtId="0" fontId="45" fillId="2" borderId="0" xfId="0" applyFont="1" applyFill="1"/>
    <xf numFmtId="0" fontId="45" fillId="2" borderId="0" xfId="0" applyFont="1" applyFill="1" applyAlignment="1">
      <alignment horizontal="right"/>
    </xf>
    <xf numFmtId="4" fontId="45" fillId="2" borderId="0" xfId="0" applyNumberFormat="1" applyFont="1" applyFill="1"/>
    <xf numFmtId="4" fontId="45" fillId="2" borderId="0" xfId="0" applyNumberFormat="1" applyFont="1" applyFill="1" applyAlignment="1">
      <alignment horizontal="right"/>
    </xf>
    <xf numFmtId="0" fontId="7" fillId="0" borderId="0" xfId="0" applyFont="1" applyAlignment="1">
      <alignment vertical="top" wrapText="1"/>
    </xf>
    <xf numFmtId="0" fontId="7" fillId="0" borderId="2" xfId="0" applyFont="1" applyBorder="1" applyAlignment="1">
      <alignment horizontal="left" vertical="center"/>
    </xf>
    <xf numFmtId="0" fontId="9" fillId="0" borderId="2" xfId="0" applyFont="1" applyBorder="1"/>
    <xf numFmtId="0" fontId="9" fillId="0" borderId="4" xfId="0" applyFont="1" applyBorder="1"/>
    <xf numFmtId="0" fontId="13" fillId="0" borderId="0" xfId="0" applyFont="1" applyAlignment="1">
      <alignment horizontal="center" vertical="center" wrapText="1"/>
    </xf>
    <xf numFmtId="0" fontId="41" fillId="0" borderId="0" xfId="0" applyFont="1" applyAlignment="1">
      <alignment horizontal="center"/>
    </xf>
    <xf numFmtId="3" fontId="37" fillId="0" borderId="49" xfId="0" applyNumberFormat="1" applyFont="1" applyBorder="1" applyAlignment="1">
      <alignment horizontal="right" wrapText="1"/>
    </xf>
    <xf numFmtId="3" fontId="7" fillId="0" borderId="3" xfId="0" applyNumberFormat="1" applyFont="1" applyBorder="1" applyAlignment="1">
      <alignment horizontal="right" wrapText="1"/>
    </xf>
    <xf numFmtId="0" fontId="13" fillId="0" borderId="26" xfId="0" applyFont="1" applyBorder="1" applyAlignment="1">
      <alignment horizontal="center" vertical="center"/>
    </xf>
    <xf numFmtId="49" fontId="13" fillId="3" borderId="33" xfId="0" applyNumberFormat="1" applyFont="1" applyFill="1" applyBorder="1" applyAlignment="1">
      <alignment horizontal="center" vertical="center" wrapText="1"/>
    </xf>
    <xf numFmtId="49" fontId="13" fillId="0" borderId="27" xfId="0" applyNumberFormat="1" applyFont="1" applyBorder="1" applyAlignment="1">
      <alignment horizontal="center" vertical="center"/>
    </xf>
    <xf numFmtId="0" fontId="7" fillId="0" borderId="18" xfId="0" applyFont="1" applyBorder="1" applyAlignment="1">
      <alignment horizontal="left" vertical="center" wrapText="1"/>
    </xf>
    <xf numFmtId="3" fontId="7" fillId="0" borderId="48" xfId="0" applyNumberFormat="1" applyFont="1" applyBorder="1" applyAlignment="1">
      <alignment horizontal="right" wrapText="1"/>
    </xf>
    <xf numFmtId="0" fontId="15" fillId="0" borderId="15" xfId="0" applyFont="1" applyBorder="1" applyAlignment="1">
      <alignment vertical="center" wrapText="1"/>
    </xf>
    <xf numFmtId="0" fontId="10" fillId="0" borderId="0" xfId="3"/>
    <xf numFmtId="0" fontId="7" fillId="0" borderId="0" xfId="3" applyFont="1" applyAlignment="1">
      <alignment horizontal="left" vertical="center"/>
    </xf>
    <xf numFmtId="0" fontId="7" fillId="0" borderId="0" xfId="3" applyFont="1" applyAlignment="1">
      <alignment horizontal="center" vertical="center"/>
    </xf>
    <xf numFmtId="49" fontId="7" fillId="0" borderId="0" xfId="3" applyNumberFormat="1" applyFont="1" applyAlignment="1">
      <alignment horizontal="center" vertical="center"/>
    </xf>
    <xf numFmtId="0" fontId="7" fillId="2" borderId="0" xfId="3" applyFont="1" applyFill="1"/>
    <xf numFmtId="0" fontId="7" fillId="0" borderId="0" xfId="3" applyFont="1"/>
    <xf numFmtId="0" fontId="7" fillId="2" borderId="2" xfId="3" applyFont="1" applyFill="1" applyBorder="1" applyAlignment="1">
      <alignment vertical="center"/>
    </xf>
    <xf numFmtId="0" fontId="7" fillId="0" borderId="4" xfId="3" applyFont="1" applyBorder="1" applyAlignment="1">
      <alignment horizontal="center" vertical="center"/>
    </xf>
    <xf numFmtId="0" fontId="38" fillId="0" borderId="0" xfId="3" applyFont="1" applyAlignment="1">
      <alignment vertical="center"/>
    </xf>
    <xf numFmtId="0" fontId="38" fillId="0" borderId="0" xfId="3" applyFont="1" applyAlignment="1">
      <alignment horizontal="center" vertical="center"/>
    </xf>
    <xf numFmtId="0" fontId="12" fillId="0" borderId="0" xfId="3" applyFont="1"/>
    <xf numFmtId="0" fontId="5" fillId="0" borderId="0" xfId="3" applyFont="1"/>
    <xf numFmtId="0" fontId="14" fillId="0" borderId="14" xfId="3" applyFont="1" applyBorder="1" applyAlignment="1">
      <alignment horizontal="center" vertical="center" wrapText="1"/>
    </xf>
    <xf numFmtId="0" fontId="14" fillId="0" borderId="15" xfId="3" applyFont="1" applyBorder="1" applyAlignment="1">
      <alignment horizontal="center" vertical="center" wrapText="1"/>
    </xf>
    <xf numFmtId="0" fontId="14" fillId="0" borderId="49" xfId="3" applyFont="1" applyBorder="1" applyAlignment="1">
      <alignment horizontal="center" vertical="center" wrapText="1"/>
    </xf>
    <xf numFmtId="0" fontId="14" fillId="0" borderId="16" xfId="3" applyFont="1" applyBorder="1" applyAlignment="1">
      <alignment horizontal="center" vertical="center" wrapText="1"/>
    </xf>
    <xf numFmtId="0" fontId="17" fillId="0" borderId="14" xfId="3" applyFont="1" applyBorder="1" applyAlignment="1">
      <alignment horizontal="center" vertical="center" wrapText="1"/>
    </xf>
    <xf numFmtId="0" fontId="17" fillId="0" borderId="15" xfId="3" applyFont="1" applyBorder="1" applyAlignment="1">
      <alignment horizontal="center" vertical="center" wrapText="1"/>
    </xf>
    <xf numFmtId="0" fontId="17" fillId="0" borderId="15" xfId="3" applyFont="1" applyBorder="1" applyAlignment="1">
      <alignment horizontal="left" vertical="center" wrapText="1"/>
    </xf>
    <xf numFmtId="3" fontId="17" fillId="0" borderId="15" xfId="3" applyNumberFormat="1" applyFont="1" applyBorder="1" applyAlignment="1">
      <alignment horizontal="center" vertical="center" wrapText="1"/>
    </xf>
    <xf numFmtId="3" fontId="17" fillId="0" borderId="49" xfId="3" applyNumberFormat="1" applyFont="1" applyBorder="1" applyAlignment="1">
      <alignment horizontal="center" vertical="center" wrapText="1"/>
    </xf>
    <xf numFmtId="0" fontId="32" fillId="0" borderId="0" xfId="3" applyFont="1"/>
    <xf numFmtId="0" fontId="18" fillId="0" borderId="6" xfId="3" applyFont="1" applyBorder="1" applyAlignment="1">
      <alignment horizontal="center" vertical="center" wrapText="1"/>
    </xf>
    <xf numFmtId="0" fontId="18" fillId="0" borderId="7" xfId="3" applyFont="1" applyBorder="1" applyAlignment="1">
      <alignment horizontal="center" vertical="center" wrapText="1"/>
    </xf>
    <xf numFmtId="0" fontId="18" fillId="0" borderId="7" xfId="3" applyFont="1" applyBorder="1" applyAlignment="1">
      <alignment horizontal="left" vertical="center" wrapText="1"/>
    </xf>
    <xf numFmtId="3" fontId="18" fillId="0" borderId="7" xfId="3" applyNumberFormat="1" applyFont="1" applyBorder="1" applyAlignment="1">
      <alignment horizontal="center" vertical="center" wrapText="1"/>
    </xf>
    <xf numFmtId="3" fontId="18" fillId="0" borderId="41" xfId="3" applyNumberFormat="1" applyFont="1" applyBorder="1" applyAlignment="1">
      <alignment horizontal="center" vertical="center" wrapText="1"/>
    </xf>
    <xf numFmtId="0" fontId="36" fillId="0" borderId="0" xfId="3" applyFont="1"/>
    <xf numFmtId="0" fontId="14" fillId="0" borderId="9" xfId="3" applyFont="1" applyBorder="1" applyAlignment="1">
      <alignment horizontal="center" vertical="center" wrapText="1"/>
    </xf>
    <xf numFmtId="0" fontId="14" fillId="0" borderId="18" xfId="3" applyFont="1" applyBorder="1" applyAlignment="1">
      <alignment horizontal="center" vertical="center" wrapText="1"/>
    </xf>
    <xf numFmtId="0" fontId="14" fillId="0" borderId="18" xfId="3" applyFont="1" applyBorder="1" applyAlignment="1">
      <alignment horizontal="left" vertical="center" wrapText="1"/>
    </xf>
    <xf numFmtId="3" fontId="14" fillId="0" borderId="18" xfId="3" applyNumberFormat="1" applyFont="1" applyBorder="1" applyAlignment="1">
      <alignment horizontal="center" vertical="center" wrapText="1"/>
    </xf>
    <xf numFmtId="1" fontId="14" fillId="0" borderId="18" xfId="3" applyNumberFormat="1" applyFont="1" applyBorder="1" applyAlignment="1">
      <alignment horizontal="center" vertical="center" wrapText="1"/>
    </xf>
    <xf numFmtId="3" fontId="14" fillId="0" borderId="48" xfId="3" applyNumberFormat="1" applyFont="1" applyBorder="1" applyAlignment="1">
      <alignment horizontal="center" vertical="center" wrapText="1"/>
    </xf>
    <xf numFmtId="0" fontId="18" fillId="0" borderId="24" xfId="3" applyFont="1" applyBorder="1" applyAlignment="1">
      <alignment horizontal="center" vertical="center" wrapText="1"/>
    </xf>
    <xf numFmtId="0" fontId="18" fillId="0" borderId="25" xfId="3" applyFont="1" applyBorder="1" applyAlignment="1">
      <alignment horizontal="center" vertical="center" wrapText="1"/>
    </xf>
    <xf numFmtId="49" fontId="18" fillId="0" borderId="25" xfId="3" applyNumberFormat="1" applyFont="1" applyBorder="1" applyAlignment="1">
      <alignment horizontal="center" vertical="center" wrapText="1"/>
    </xf>
    <xf numFmtId="0" fontId="18" fillId="0" borderId="25" xfId="3" applyFont="1" applyBorder="1" applyAlignment="1">
      <alignment horizontal="left" vertical="center" wrapText="1"/>
    </xf>
    <xf numFmtId="3" fontId="18" fillId="0" borderId="25" xfId="3" applyNumberFormat="1" applyFont="1" applyBorder="1" applyAlignment="1">
      <alignment horizontal="center" vertical="center" wrapText="1"/>
    </xf>
    <xf numFmtId="1" fontId="18" fillId="0" borderId="25" xfId="3" applyNumberFormat="1" applyFont="1" applyBorder="1" applyAlignment="1">
      <alignment horizontal="center" vertical="center" wrapText="1"/>
    </xf>
    <xf numFmtId="3" fontId="18" fillId="0" borderId="53" xfId="3" applyNumberFormat="1" applyFont="1" applyBorder="1" applyAlignment="1">
      <alignment horizontal="center" vertical="center" wrapText="1"/>
    </xf>
    <xf numFmtId="0" fontId="17" fillId="0" borderId="15" xfId="3" applyFont="1" applyBorder="1" applyAlignment="1">
      <alignment vertical="center" wrapText="1"/>
    </xf>
    <xf numFmtId="0" fontId="52" fillId="0" borderId="0" xfId="3" applyFont="1"/>
    <xf numFmtId="0" fontId="14" fillId="0" borderId="0" xfId="3" applyFont="1" applyAlignment="1">
      <alignment horizontal="center" vertical="center" wrapText="1"/>
    </xf>
    <xf numFmtId="0" fontId="17" fillId="0" borderId="0" xfId="3" applyFont="1" applyAlignment="1">
      <alignment vertical="center" wrapText="1"/>
    </xf>
    <xf numFmtId="0" fontId="15" fillId="0" borderId="0" xfId="3" applyFont="1" applyAlignment="1">
      <alignment horizontal="left" vertical="center"/>
    </xf>
    <xf numFmtId="0" fontId="15" fillId="0" borderId="0" xfId="3" applyFont="1" applyAlignment="1">
      <alignment vertical="center"/>
    </xf>
    <xf numFmtId="0" fontId="5" fillId="0" borderId="9" xfId="0" applyFont="1" applyBorder="1" applyAlignment="1">
      <alignment horizontal="left" vertical="center" wrapText="1"/>
    </xf>
    <xf numFmtId="0" fontId="7" fillId="0" borderId="9" xfId="0" applyFont="1" applyBorder="1" applyAlignment="1">
      <alignment horizontal="left" vertical="center"/>
    </xf>
    <xf numFmtId="0" fontId="14" fillId="0" borderId="9" xfId="0" applyFont="1" applyBorder="1" applyAlignment="1">
      <alignment horizontal="left" vertical="center"/>
    </xf>
    <xf numFmtId="3" fontId="6" fillId="2" borderId="1" xfId="0" applyNumberFormat="1" applyFont="1" applyFill="1" applyBorder="1" applyAlignment="1">
      <alignment horizontal="right" vertical="center"/>
    </xf>
    <xf numFmtId="3" fontId="5" fillId="0" borderId="1" xfId="0" applyNumberFormat="1" applyFont="1" applyBorder="1" applyAlignment="1">
      <alignment horizontal="right" vertical="center"/>
    </xf>
    <xf numFmtId="0" fontId="6" fillId="0" borderId="14" xfId="0" applyFont="1" applyBorder="1" applyAlignment="1">
      <alignment vertical="center" wrapText="1"/>
    </xf>
    <xf numFmtId="0" fontId="35" fillId="0" borderId="14" xfId="0" applyFont="1" applyBorder="1" applyAlignment="1">
      <alignment vertical="center" wrapText="1"/>
    </xf>
    <xf numFmtId="3" fontId="5" fillId="0" borderId="12" xfId="0" applyNumberFormat="1" applyFont="1" applyBorder="1" applyAlignment="1">
      <alignment horizontal="right" vertical="center"/>
    </xf>
    <xf numFmtId="0" fontId="17" fillId="0" borderId="14" xfId="0" applyFont="1" applyBorder="1" applyAlignment="1">
      <alignment horizontal="left" vertical="center"/>
    </xf>
    <xf numFmtId="3" fontId="6" fillId="2" borderId="15" xfId="0" applyNumberFormat="1" applyFont="1" applyFill="1" applyBorder="1" applyAlignment="1">
      <alignment horizontal="right" vertical="center"/>
    </xf>
    <xf numFmtId="0" fontId="5" fillId="0" borderId="13" xfId="0" applyFont="1" applyBorder="1" applyAlignment="1">
      <alignment horizontal="center" vertical="center" wrapText="1"/>
    </xf>
    <xf numFmtId="0" fontId="35" fillId="0" borderId="17" xfId="0" applyFont="1" applyBorder="1" applyAlignment="1">
      <alignment vertical="center" wrapText="1"/>
    </xf>
    <xf numFmtId="0" fontId="5" fillId="0" borderId="9" xfId="0" applyFont="1" applyBorder="1" applyAlignment="1">
      <alignment vertical="center" wrapText="1"/>
    </xf>
    <xf numFmtId="0" fontId="35" fillId="0" borderId="9" xfId="0" applyFont="1" applyBorder="1" applyAlignment="1">
      <alignment horizontal="left" vertical="center" wrapText="1"/>
    </xf>
    <xf numFmtId="0" fontId="35" fillId="0" borderId="9" xfId="0" applyFont="1" applyBorder="1" applyAlignment="1">
      <alignment vertical="center" wrapText="1"/>
    </xf>
    <xf numFmtId="0" fontId="5" fillId="0" borderId="11" xfId="0" applyFont="1" applyBorder="1" applyAlignment="1">
      <alignment vertical="center" wrapText="1"/>
    </xf>
    <xf numFmtId="0" fontId="5" fillId="0" borderId="11" xfId="0" applyFont="1" applyBorder="1" applyAlignment="1">
      <alignment horizontal="left" vertical="center" wrapText="1"/>
    </xf>
    <xf numFmtId="0" fontId="6" fillId="0" borderId="9" xfId="0" applyFont="1" applyBorder="1" applyAlignment="1">
      <alignment vertical="center" wrapText="1"/>
    </xf>
    <xf numFmtId="0" fontId="6" fillId="0" borderId="9" xfId="0" applyFont="1" applyBorder="1" applyAlignment="1">
      <alignment horizontal="left" vertical="center" wrapText="1"/>
    </xf>
    <xf numFmtId="0" fontId="6" fillId="0" borderId="1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16" xfId="0" applyFont="1" applyBorder="1" applyAlignment="1">
      <alignment vertical="center" wrapText="1"/>
    </xf>
    <xf numFmtId="0" fontId="35" fillId="0" borderId="19" xfId="0" applyFont="1" applyBorder="1" applyAlignment="1">
      <alignment vertical="center" wrapText="1"/>
    </xf>
    <xf numFmtId="0" fontId="5" fillId="0" borderId="10" xfId="0" applyFont="1" applyBorder="1" applyAlignment="1">
      <alignment vertical="center" wrapText="1"/>
    </xf>
    <xf numFmtId="0" fontId="35" fillId="0" borderId="10" xfId="0" applyFont="1" applyBorder="1" applyAlignment="1">
      <alignment vertical="center" wrapText="1"/>
    </xf>
    <xf numFmtId="0" fontId="5" fillId="0" borderId="10" xfId="0" applyFont="1" applyBorder="1" applyAlignment="1">
      <alignment horizontal="left" vertical="top" wrapText="1"/>
    </xf>
    <xf numFmtId="0" fontId="5" fillId="0" borderId="13" xfId="0" applyFont="1" applyBorder="1" applyAlignment="1">
      <alignment vertical="center" wrapText="1"/>
    </xf>
    <xf numFmtId="0" fontId="35" fillId="0" borderId="16" xfId="0" applyFont="1" applyBorder="1" applyAlignment="1">
      <alignment vertical="center" wrapText="1"/>
    </xf>
    <xf numFmtId="0" fontId="6" fillId="0" borderId="10" xfId="0" applyFont="1" applyBorder="1" applyAlignment="1">
      <alignment vertical="center" wrapText="1"/>
    </xf>
    <xf numFmtId="0" fontId="7" fillId="0" borderId="10" xfId="0" applyFont="1" applyBorder="1" applyAlignment="1">
      <alignment vertical="center" wrapText="1"/>
    </xf>
    <xf numFmtId="0" fontId="13" fillId="0" borderId="16" xfId="0" applyFont="1" applyBorder="1" applyAlignment="1">
      <alignment vertical="center" wrapText="1"/>
    </xf>
    <xf numFmtId="0" fontId="5" fillId="0" borderId="28" xfId="0" applyFont="1" applyBorder="1" applyAlignment="1">
      <alignment vertical="center" wrapText="1"/>
    </xf>
    <xf numFmtId="0" fontId="5" fillId="0" borderId="1" xfId="0" applyFont="1" applyBorder="1" applyAlignment="1">
      <alignment horizontal="center"/>
    </xf>
    <xf numFmtId="0" fontId="6" fillId="0" borderId="37" xfId="0" applyFont="1" applyBorder="1" applyAlignment="1">
      <alignment horizontal="center"/>
    </xf>
    <xf numFmtId="3" fontId="5" fillId="0" borderId="55" xfId="0" applyNumberFormat="1" applyFont="1" applyBorder="1" applyAlignment="1">
      <alignment horizontal="center"/>
    </xf>
    <xf numFmtId="3" fontId="6" fillId="0" borderId="4" xfId="0" applyNumberFormat="1" applyFont="1" applyBorder="1" applyAlignment="1">
      <alignment horizontal="center"/>
    </xf>
    <xf numFmtId="3" fontId="6" fillId="0" borderId="3" xfId="0" applyNumberFormat="1" applyFont="1" applyBorder="1" applyAlignment="1">
      <alignment horizontal="center"/>
    </xf>
    <xf numFmtId="165" fontId="6" fillId="0" borderId="3" xfId="0" applyNumberFormat="1" applyFont="1" applyBorder="1" applyAlignment="1">
      <alignment horizontal="center"/>
    </xf>
    <xf numFmtId="0" fontId="0" fillId="0" borderId="1" xfId="0" applyBorder="1"/>
    <xf numFmtId="0" fontId="6" fillId="0" borderId="38" xfId="0" applyFont="1" applyBorder="1" applyAlignment="1">
      <alignment horizontal="center" vertical="center"/>
    </xf>
    <xf numFmtId="0" fontId="0" fillId="0" borderId="10" xfId="0" applyBorder="1"/>
    <xf numFmtId="0" fontId="9" fillId="2" borderId="49"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1" fillId="0" borderId="58" xfId="0" applyFont="1" applyBorder="1" applyAlignment="1">
      <alignment horizontal="center" vertical="top" wrapText="1"/>
    </xf>
    <xf numFmtId="3" fontId="5" fillId="0" borderId="1" xfId="0" applyNumberFormat="1" applyFont="1" applyBorder="1" applyAlignment="1">
      <alignment horizontal="center"/>
    </xf>
    <xf numFmtId="3" fontId="6" fillId="0" borderId="55" xfId="0" applyNumberFormat="1" applyFont="1" applyBorder="1" applyAlignment="1">
      <alignment horizontal="center"/>
    </xf>
    <xf numFmtId="3" fontId="5" fillId="0" borderId="4" xfId="0" applyNumberFormat="1" applyFont="1" applyBorder="1" applyAlignment="1">
      <alignment horizontal="center"/>
    </xf>
    <xf numFmtId="3" fontId="13" fillId="0" borderId="3" xfId="0" applyNumberFormat="1" applyFont="1" applyBorder="1" applyAlignment="1">
      <alignment horizontal="center" wrapText="1"/>
    </xf>
    <xf numFmtId="3" fontId="7" fillId="0" borderId="3" xfId="0" applyNumberFormat="1" applyFont="1" applyBorder="1" applyAlignment="1">
      <alignment horizontal="center" wrapText="1"/>
    </xf>
    <xf numFmtId="3" fontId="13" fillId="0" borderId="52" xfId="0" applyNumberFormat="1" applyFont="1" applyBorder="1" applyAlignment="1">
      <alignment horizontal="center" wrapText="1"/>
    </xf>
    <xf numFmtId="3" fontId="6" fillId="0" borderId="1" xfId="0" applyNumberFormat="1" applyFont="1" applyBorder="1" applyAlignment="1">
      <alignment horizontal="center"/>
    </xf>
    <xf numFmtId="170" fontId="5" fillId="0" borderId="10" xfId="0" applyNumberFormat="1" applyFont="1" applyBorder="1" applyAlignment="1">
      <alignment horizontal="center"/>
    </xf>
    <xf numFmtId="0" fontId="7" fillId="0" borderId="0" xfId="0" applyFont="1" applyAlignment="1">
      <alignment vertical="center" wrapText="1"/>
    </xf>
    <xf numFmtId="0" fontId="31" fillId="0" borderId="0" xfId="0" applyFont="1"/>
    <xf numFmtId="0" fontId="7" fillId="2" borderId="0" xfId="0" applyFont="1" applyFill="1" applyAlignment="1">
      <alignment horizontal="left" vertical="center"/>
    </xf>
    <xf numFmtId="0" fontId="31" fillId="2" borderId="0" xfId="0" applyFont="1" applyFill="1"/>
    <xf numFmtId="0" fontId="5" fillId="2" borderId="2" xfId="0" applyFont="1" applyFill="1" applyBorder="1"/>
    <xf numFmtId="0" fontId="5" fillId="2" borderId="4" xfId="0" applyFont="1" applyFill="1" applyBorder="1"/>
    <xf numFmtId="0" fontId="0" fillId="0" borderId="2" xfId="0" applyBorder="1"/>
    <xf numFmtId="0" fontId="0" fillId="0" borderId="4" xfId="0" applyBorder="1"/>
    <xf numFmtId="0" fontId="53" fillId="0" borderId="0" xfId="0" applyFont="1"/>
    <xf numFmtId="165" fontId="6" fillId="2" borderId="12" xfId="0" applyNumberFormat="1" applyFont="1" applyFill="1" applyBorder="1" applyAlignment="1">
      <alignment horizontal="right" vertical="center"/>
    </xf>
    <xf numFmtId="165" fontId="8" fillId="2" borderId="43" xfId="0" applyNumberFormat="1" applyFont="1" applyFill="1" applyBorder="1" applyAlignment="1">
      <alignment horizontal="right" vertical="center"/>
    </xf>
    <xf numFmtId="165" fontId="8" fillId="2" borderId="12" xfId="0" applyNumberFormat="1" applyFont="1" applyFill="1" applyBorder="1" applyAlignment="1">
      <alignment horizontal="right" vertical="center"/>
    </xf>
    <xf numFmtId="165" fontId="5" fillId="2" borderId="18" xfId="0" applyNumberFormat="1" applyFont="1" applyFill="1" applyBorder="1" applyAlignment="1">
      <alignment horizontal="left"/>
    </xf>
    <xf numFmtId="0" fontId="14" fillId="0" borderId="21" xfId="3" applyFont="1" applyBorder="1" applyAlignment="1">
      <alignment horizontal="center" vertical="center" textRotation="90" wrapText="1"/>
    </xf>
    <xf numFmtId="0" fontId="5" fillId="2" borderId="19" xfId="0" applyFont="1" applyFill="1" applyBorder="1" applyAlignment="1">
      <alignment horizontal="left"/>
    </xf>
    <xf numFmtId="165" fontId="6" fillId="2" borderId="10" xfId="0" applyNumberFormat="1" applyFont="1" applyFill="1" applyBorder="1" applyAlignment="1">
      <alignment horizontal="right" vertical="center"/>
    </xf>
    <xf numFmtId="165" fontId="5" fillId="2" borderId="10" xfId="0" applyNumberFormat="1" applyFont="1" applyFill="1" applyBorder="1" applyAlignment="1">
      <alignment horizontal="right" vertical="center"/>
    </xf>
    <xf numFmtId="165" fontId="8" fillId="2" borderId="10" xfId="0" applyNumberFormat="1" applyFont="1" applyFill="1" applyBorder="1" applyAlignment="1">
      <alignment horizontal="right" vertical="center"/>
    </xf>
    <xf numFmtId="165" fontId="8" fillId="2" borderId="13" xfId="0" applyNumberFormat="1" applyFont="1" applyFill="1" applyBorder="1" applyAlignment="1">
      <alignment horizontal="right" vertical="center"/>
    </xf>
    <xf numFmtId="165" fontId="5" fillId="2" borderId="19" xfId="0" applyNumberFormat="1" applyFont="1" applyFill="1" applyBorder="1" applyAlignment="1">
      <alignment horizontal="left"/>
    </xf>
    <xf numFmtId="165" fontId="35" fillId="2" borderId="10" xfId="0" applyNumberFormat="1" applyFont="1" applyFill="1" applyBorder="1" applyAlignment="1">
      <alignment horizontal="right" vertical="center"/>
    </xf>
    <xf numFmtId="165" fontId="5" fillId="2" borderId="13" xfId="0" applyNumberFormat="1" applyFont="1" applyFill="1" applyBorder="1" applyAlignment="1">
      <alignment horizontal="right" vertical="center"/>
    </xf>
    <xf numFmtId="0" fontId="27" fillId="2" borderId="1" xfId="3" applyFont="1" applyFill="1" applyBorder="1" applyAlignment="1">
      <alignment vertical="center" wrapText="1"/>
    </xf>
    <xf numFmtId="0" fontId="7" fillId="2" borderId="1" xfId="3" applyFont="1" applyFill="1" applyBorder="1" applyAlignment="1">
      <alignment vertical="center" wrapText="1"/>
    </xf>
    <xf numFmtId="0" fontId="27" fillId="2" borderId="12" xfId="3" applyFont="1" applyFill="1" applyBorder="1" applyAlignment="1">
      <alignment vertical="center" wrapText="1"/>
    </xf>
    <xf numFmtId="0" fontId="7" fillId="2" borderId="12" xfId="3" applyFont="1" applyFill="1" applyBorder="1" applyAlignment="1">
      <alignment vertical="center" wrapText="1"/>
    </xf>
    <xf numFmtId="49" fontId="5" fillId="2" borderId="1" xfId="0" quotePrefix="1" applyNumberFormat="1" applyFont="1" applyFill="1" applyBorder="1" applyAlignment="1">
      <alignment vertical="center" wrapText="1"/>
    </xf>
    <xf numFmtId="49" fontId="5" fillId="2" borderId="1" xfId="0" quotePrefix="1" applyNumberFormat="1" applyFont="1" applyFill="1" applyBorder="1" applyAlignment="1">
      <alignment vertical="top" wrapText="1"/>
    </xf>
    <xf numFmtId="168" fontId="5" fillId="2" borderId="19" xfId="0" applyNumberFormat="1" applyFont="1" applyFill="1" applyBorder="1" applyAlignment="1">
      <alignment horizontal="center" vertical="center" wrapText="1"/>
    </xf>
    <xf numFmtId="168" fontId="5" fillId="2" borderId="10" xfId="0" applyNumberFormat="1" applyFont="1" applyFill="1" applyBorder="1" applyAlignment="1">
      <alignment horizontal="center" vertical="center" wrapText="1"/>
    </xf>
    <xf numFmtId="168" fontId="5" fillId="2" borderId="13" xfId="0" applyNumberFormat="1" applyFont="1" applyFill="1" applyBorder="1" applyAlignment="1">
      <alignment horizontal="center" vertical="center" wrapText="1"/>
    </xf>
    <xf numFmtId="168" fontId="5" fillId="2" borderId="28" xfId="0" applyNumberFormat="1" applyFont="1" applyFill="1" applyBorder="1" applyAlignment="1">
      <alignment horizontal="center" vertical="center" wrapText="1"/>
    </xf>
    <xf numFmtId="3" fontId="17" fillId="0" borderId="16" xfId="3" applyNumberFormat="1" applyFont="1" applyBorder="1" applyAlignment="1">
      <alignment horizontal="center" vertical="center" wrapText="1"/>
    </xf>
    <xf numFmtId="3" fontId="18" fillId="0" borderId="8" xfId="3" applyNumberFormat="1" applyFont="1" applyBorder="1" applyAlignment="1">
      <alignment horizontal="center" vertical="center" wrapText="1"/>
    </xf>
    <xf numFmtId="3" fontId="14" fillId="0" borderId="19" xfId="3" applyNumberFormat="1" applyFont="1" applyBorder="1" applyAlignment="1">
      <alignment horizontal="center" vertical="center" wrapText="1"/>
    </xf>
    <xf numFmtId="3" fontId="18" fillId="0" borderId="29" xfId="3" applyNumberFormat="1" applyFont="1" applyBorder="1" applyAlignment="1">
      <alignment horizontal="center" vertical="center" wrapText="1"/>
    </xf>
    <xf numFmtId="0" fontId="25" fillId="2" borderId="9" xfId="0" applyFont="1" applyFill="1" applyBorder="1" applyAlignment="1">
      <alignment horizontal="center" vertical="center" wrapText="1"/>
    </xf>
    <xf numFmtId="0" fontId="25" fillId="2" borderId="1" xfId="0"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49" fontId="3" fillId="2" borderId="9" xfId="0" applyNumberFormat="1" applyFont="1" applyFill="1" applyBorder="1" applyAlignment="1">
      <alignment horizontal="center" vertical="center" wrapText="1"/>
    </xf>
    <xf numFmtId="49" fontId="7" fillId="0" borderId="58" xfId="0" applyNumberFormat="1" applyFont="1" applyBorder="1" applyAlignment="1">
      <alignment horizontal="center" vertical="center" wrapText="1"/>
    </xf>
    <xf numFmtId="49" fontId="7" fillId="0" borderId="32" xfId="0" applyNumberFormat="1" applyFont="1" applyBorder="1" applyAlignment="1">
      <alignment horizontal="center" vertical="center" wrapText="1"/>
    </xf>
    <xf numFmtId="1" fontId="7" fillId="0" borderId="16" xfId="0" applyNumberFormat="1" applyFont="1" applyBorder="1" applyAlignment="1">
      <alignment horizontal="center" vertical="center" wrapText="1"/>
    </xf>
    <xf numFmtId="49" fontId="20" fillId="0" borderId="58" xfId="0" applyNumberFormat="1" applyFont="1" applyBorder="1" applyAlignment="1">
      <alignment horizontal="center" vertical="center"/>
    </xf>
    <xf numFmtId="49" fontId="20" fillId="0" borderId="15" xfId="0" applyNumberFormat="1" applyFont="1" applyBorder="1" applyAlignment="1">
      <alignment horizontal="center" vertical="center"/>
    </xf>
    <xf numFmtId="49" fontId="20" fillId="0" borderId="32" xfId="0" applyNumberFormat="1" applyFont="1" applyBorder="1" applyAlignment="1">
      <alignment horizontal="center" vertical="center"/>
    </xf>
    <xf numFmtId="3" fontId="20" fillId="3" borderId="15" xfId="0" applyNumberFormat="1" applyFont="1" applyFill="1" applyBorder="1" applyAlignment="1">
      <alignment horizontal="right" vertical="center" wrapText="1"/>
    </xf>
    <xf numFmtId="3" fontId="20" fillId="3" borderId="32" xfId="0" applyNumberFormat="1" applyFont="1" applyFill="1" applyBorder="1" applyAlignment="1">
      <alignment horizontal="right" vertical="center" wrapText="1"/>
    </xf>
    <xf numFmtId="49" fontId="24" fillId="0" borderId="26" xfId="0" applyNumberFormat="1" applyFont="1" applyBorder="1" applyAlignment="1">
      <alignment horizontal="center" vertical="center"/>
    </xf>
    <xf numFmtId="49" fontId="24" fillId="0" borderId="27" xfId="0" applyNumberFormat="1" applyFont="1" applyBorder="1" applyAlignment="1">
      <alignment horizontal="center" vertical="center"/>
    </xf>
    <xf numFmtId="0" fontId="20" fillId="3" borderId="27" xfId="0" applyFont="1" applyFill="1" applyBorder="1" applyAlignment="1">
      <alignment horizontal="center" vertical="center" wrapText="1"/>
    </xf>
    <xf numFmtId="49" fontId="20" fillId="3" borderId="27" xfId="0" applyNumberFormat="1" applyFont="1" applyFill="1" applyBorder="1" applyAlignment="1">
      <alignment horizontal="center" vertical="center" wrapText="1"/>
    </xf>
    <xf numFmtId="3" fontId="24" fillId="3" borderId="27" xfId="0" applyNumberFormat="1" applyFont="1" applyFill="1" applyBorder="1" applyAlignment="1">
      <alignment horizontal="right" vertical="center" wrapText="1"/>
    </xf>
    <xf numFmtId="3" fontId="24" fillId="3" borderId="33" xfId="0" applyNumberFormat="1" applyFont="1" applyFill="1" applyBorder="1" applyAlignment="1">
      <alignment horizontal="right" vertical="center" wrapText="1"/>
    </xf>
    <xf numFmtId="49" fontId="25" fillId="2" borderId="9" xfId="0" applyNumberFormat="1" applyFont="1" applyFill="1" applyBorder="1" applyAlignment="1">
      <alignment horizontal="center" vertical="center"/>
    </xf>
    <xf numFmtId="49" fontId="25" fillId="2" borderId="1" xfId="0" applyNumberFormat="1" applyFont="1" applyFill="1" applyBorder="1" applyAlignment="1">
      <alignment horizontal="center" vertical="center"/>
    </xf>
    <xf numFmtId="167" fontId="20" fillId="0" borderId="15" xfId="1" applyNumberFormat="1" applyFont="1" applyFill="1" applyBorder="1" applyAlignment="1">
      <alignment horizontal="right" vertical="center" wrapText="1"/>
    </xf>
    <xf numFmtId="3" fontId="25" fillId="0" borderId="12" xfId="0" applyNumberFormat="1" applyFont="1" applyBorder="1" applyAlignment="1">
      <alignment horizontal="right" vertical="center" wrapText="1"/>
    </xf>
    <xf numFmtId="3" fontId="25" fillId="0" borderId="27" xfId="0" applyNumberFormat="1" applyFont="1" applyBorder="1" applyAlignment="1">
      <alignment horizontal="right" vertical="center" wrapText="1"/>
    </xf>
    <xf numFmtId="167" fontId="25" fillId="0" borderId="27" xfId="1" applyNumberFormat="1" applyFont="1" applyFill="1" applyBorder="1" applyAlignment="1">
      <alignment horizontal="right" vertical="center" wrapText="1"/>
    </xf>
    <xf numFmtId="49" fontId="20" fillId="0" borderId="14" xfId="0" applyNumberFormat="1" applyFont="1" applyBorder="1" applyAlignment="1">
      <alignment horizontal="center" vertical="center"/>
    </xf>
    <xf numFmtId="49" fontId="3" fillId="2" borderId="15" xfId="0" applyNumberFormat="1" applyFont="1" applyFill="1" applyBorder="1" applyAlignment="1">
      <alignment horizontal="center" vertical="center" wrapText="1"/>
    </xf>
    <xf numFmtId="49" fontId="25" fillId="0" borderId="15" xfId="0" applyNumberFormat="1" applyFont="1" applyBorder="1" applyAlignment="1">
      <alignment horizontal="center" vertical="center" wrapText="1"/>
    </xf>
    <xf numFmtId="3" fontId="25" fillId="0" borderId="15" xfId="0" applyNumberFormat="1" applyFont="1" applyBorder="1" applyAlignment="1">
      <alignment horizontal="right" vertical="center" wrapText="1"/>
    </xf>
    <xf numFmtId="49" fontId="24" fillId="0" borderId="18" xfId="0" applyNumberFormat="1" applyFont="1" applyBorder="1" applyAlignment="1">
      <alignment horizontal="center" vertical="center" wrapText="1"/>
    </xf>
    <xf numFmtId="3" fontId="24" fillId="0" borderId="18" xfId="0" applyNumberFormat="1" applyFont="1" applyBorder="1" applyAlignment="1">
      <alignment horizontal="right"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3" fontId="25" fillId="0" borderId="18" xfId="0" applyNumberFormat="1" applyFont="1" applyBorder="1" applyAlignment="1">
      <alignment horizontal="right" vertical="center" wrapText="1"/>
    </xf>
    <xf numFmtId="49" fontId="2" fillId="2" borderId="14" xfId="0" applyNumberFormat="1" applyFont="1" applyFill="1" applyBorder="1" applyAlignment="1">
      <alignment horizontal="center" vertical="center" wrapText="1"/>
    </xf>
    <xf numFmtId="0" fontId="20" fillId="3" borderId="15" xfId="0" applyFont="1" applyFill="1" applyBorder="1" applyAlignment="1">
      <alignment horizontal="right" vertical="center" wrapText="1"/>
    </xf>
    <xf numFmtId="167" fontId="20" fillId="3" borderId="15" xfId="1" applyNumberFormat="1" applyFont="1" applyFill="1" applyBorder="1" applyAlignment="1">
      <alignment horizontal="right" vertical="center" wrapText="1"/>
    </xf>
    <xf numFmtId="0" fontId="20" fillId="3" borderId="18" xfId="0" applyFont="1" applyFill="1" applyBorder="1" applyAlignment="1">
      <alignment horizontal="right" vertical="center" wrapText="1"/>
    </xf>
    <xf numFmtId="49" fontId="20" fillId="2" borderId="14" xfId="0" applyNumberFormat="1" applyFont="1" applyFill="1" applyBorder="1" applyAlignment="1">
      <alignment horizontal="center" vertical="center"/>
    </xf>
    <xf numFmtId="49" fontId="20" fillId="2" borderId="15" xfId="0" applyNumberFormat="1" applyFont="1" applyFill="1" applyBorder="1" applyAlignment="1">
      <alignment horizontal="center" vertical="center" wrapText="1"/>
    </xf>
    <xf numFmtId="3" fontId="20" fillId="2" borderId="15" xfId="0" applyNumberFormat="1" applyFont="1" applyFill="1" applyBorder="1" applyAlignment="1">
      <alignment horizontal="right" vertical="center"/>
    </xf>
    <xf numFmtId="167" fontId="20" fillId="2" borderId="15" xfId="1" applyNumberFormat="1" applyFont="1" applyFill="1" applyBorder="1" applyAlignment="1">
      <alignment horizontal="right" vertical="center" wrapText="1"/>
    </xf>
    <xf numFmtId="9" fontId="25" fillId="0" borderId="1" xfId="0" applyNumberFormat="1" applyFont="1" applyBorder="1" applyAlignment="1">
      <alignment horizontal="center" vertical="center" wrapText="1"/>
    </xf>
    <xf numFmtId="9" fontId="24" fillId="0" borderId="1" xfId="0" applyNumberFormat="1" applyFont="1" applyBorder="1" applyAlignment="1">
      <alignment horizontal="center" vertical="center" wrapText="1"/>
    </xf>
    <xf numFmtId="3" fontId="25" fillId="2" borderId="1" xfId="0" applyNumberFormat="1" applyFont="1" applyFill="1" applyBorder="1" applyAlignment="1">
      <alignment horizontal="right" vertical="center"/>
    </xf>
    <xf numFmtId="9" fontId="25" fillId="0" borderId="10" xfId="0" applyNumberFormat="1" applyFont="1" applyBorder="1" applyAlignment="1">
      <alignment horizontal="center" vertical="center"/>
    </xf>
    <xf numFmtId="0" fontId="13" fillId="0" borderId="1" xfId="0" applyFont="1" applyBorder="1"/>
    <xf numFmtId="9" fontId="24" fillId="0" borderId="10" xfId="0" applyNumberFormat="1" applyFont="1" applyBorder="1" applyAlignment="1">
      <alignment horizontal="center" vertical="center"/>
    </xf>
    <xf numFmtId="172" fontId="25" fillId="0" borderId="1" xfId="6" applyNumberFormat="1" applyFont="1" applyFill="1" applyBorder="1" applyAlignment="1">
      <alignment horizontal="right" vertical="center" wrapText="1"/>
    </xf>
    <xf numFmtId="9" fontId="25" fillId="2" borderId="1" xfId="0" applyNumberFormat="1" applyFont="1" applyFill="1" applyBorder="1" applyAlignment="1">
      <alignment horizontal="center" vertical="center" wrapText="1"/>
    </xf>
    <xf numFmtId="3" fontId="24" fillId="2" borderId="12" xfId="0" applyNumberFormat="1" applyFont="1" applyFill="1" applyBorder="1" applyAlignment="1">
      <alignment horizontal="right" vertical="center" wrapText="1"/>
    </xf>
    <xf numFmtId="3" fontId="24" fillId="2" borderId="12" xfId="0" applyNumberFormat="1" applyFont="1" applyFill="1" applyBorder="1" applyAlignment="1">
      <alignment horizontal="right" vertical="center"/>
    </xf>
    <xf numFmtId="9" fontId="24" fillId="2" borderId="12" xfId="0" applyNumberFormat="1" applyFont="1" applyFill="1" applyBorder="1" applyAlignment="1">
      <alignment horizontal="center" vertical="center" wrapText="1"/>
    </xf>
    <xf numFmtId="9" fontId="24" fillId="2" borderId="13" xfId="0" applyNumberFormat="1" applyFont="1" applyFill="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49" fontId="25" fillId="2" borderId="15" xfId="0" applyNumberFormat="1" applyFont="1" applyFill="1" applyBorder="1" applyAlignment="1">
      <alignment horizontal="center" vertical="center" wrapText="1"/>
    </xf>
    <xf numFmtId="3" fontId="24" fillId="2" borderId="15" xfId="0" applyNumberFormat="1" applyFont="1" applyFill="1" applyBorder="1" applyAlignment="1">
      <alignment horizontal="right" vertical="center" wrapText="1"/>
    </xf>
    <xf numFmtId="3" fontId="24" fillId="2" borderId="15" xfId="0" applyNumberFormat="1" applyFont="1" applyFill="1" applyBorder="1" applyAlignment="1">
      <alignment horizontal="right" vertical="center"/>
    </xf>
    <xf numFmtId="9" fontId="24" fillId="2" borderId="15" xfId="0" applyNumberFormat="1" applyFont="1" applyFill="1" applyBorder="1" applyAlignment="1">
      <alignment horizontal="right" vertical="center" wrapText="1"/>
    </xf>
    <xf numFmtId="3" fontId="24" fillId="2" borderId="27" xfId="0" applyNumberFormat="1" applyFont="1" applyFill="1" applyBorder="1" applyAlignment="1">
      <alignment horizontal="right" vertical="center" wrapText="1"/>
    </xf>
    <xf numFmtId="3" fontId="24" fillId="2" borderId="27" xfId="0" applyNumberFormat="1" applyFont="1" applyFill="1" applyBorder="1" applyAlignment="1">
      <alignment horizontal="right" vertical="center"/>
    </xf>
    <xf numFmtId="9" fontId="24" fillId="2" borderId="27" xfId="0" applyNumberFormat="1" applyFont="1" applyFill="1" applyBorder="1" applyAlignment="1">
      <alignment horizontal="right" vertical="center" wrapText="1"/>
    </xf>
    <xf numFmtId="0" fontId="20" fillId="0" borderId="58" xfId="0" applyFont="1" applyBorder="1" applyAlignment="1">
      <alignment horizontal="center" vertical="center"/>
    </xf>
    <xf numFmtId="167" fontId="25" fillId="0" borderId="0" xfId="0" applyNumberFormat="1" applyFont="1" applyAlignment="1">
      <alignment horizontal="right" vertical="center"/>
    </xf>
    <xf numFmtId="3" fontId="37" fillId="0" borderId="3" xfId="0" applyNumberFormat="1" applyFont="1" applyBorder="1" applyAlignment="1">
      <alignment horizontal="right" wrapText="1"/>
    </xf>
    <xf numFmtId="3" fontId="37" fillId="0" borderId="43" xfId="0" applyNumberFormat="1" applyFont="1" applyBorder="1" applyAlignment="1">
      <alignment horizontal="right" wrapText="1"/>
    </xf>
    <xf numFmtId="165" fontId="5" fillId="2" borderId="0" xfId="0" applyNumberFormat="1" applyFont="1" applyFill="1"/>
    <xf numFmtId="165" fontId="15" fillId="2" borderId="0" xfId="0" applyNumberFormat="1" applyFont="1" applyFill="1" applyAlignment="1">
      <alignment horizontal="left" vertical="center"/>
    </xf>
    <xf numFmtId="165" fontId="45" fillId="2" borderId="0" xfId="0" applyNumberFormat="1" applyFont="1" applyFill="1"/>
    <xf numFmtId="49" fontId="35" fillId="2" borderId="1" xfId="0" quotePrefix="1" applyNumberFormat="1" applyFont="1" applyFill="1" applyBorder="1" applyAlignment="1">
      <alignment vertical="center" wrapText="1"/>
    </xf>
    <xf numFmtId="173" fontId="45" fillId="2" borderId="0" xfId="0" applyNumberFormat="1" applyFont="1" applyFill="1"/>
    <xf numFmtId="165" fontId="6" fillId="0" borderId="0" xfId="0" applyNumberFormat="1" applyFont="1"/>
    <xf numFmtId="49" fontId="7" fillId="2" borderId="11" xfId="0" applyNumberFormat="1" applyFont="1" applyFill="1" applyBorder="1" applyAlignment="1">
      <alignment horizontal="center" vertical="center" wrapText="1"/>
    </xf>
    <xf numFmtId="49" fontId="5" fillId="2" borderId="23" xfId="0" applyNumberFormat="1" applyFont="1" applyFill="1" applyBorder="1" applyAlignment="1">
      <alignment horizontal="center" vertical="center" wrapText="1"/>
    </xf>
    <xf numFmtId="0" fontId="6" fillId="2" borderId="15" xfId="0" applyFont="1" applyFill="1" applyBorder="1" applyAlignment="1">
      <alignment vertical="center" wrapText="1"/>
    </xf>
    <xf numFmtId="165" fontId="6" fillId="2" borderId="49" xfId="0" applyNumberFormat="1" applyFont="1" applyFill="1" applyBorder="1" applyAlignment="1">
      <alignment vertical="center"/>
    </xf>
    <xf numFmtId="168" fontId="6" fillId="2" borderId="14" xfId="0" applyNumberFormat="1" applyFont="1" applyFill="1" applyBorder="1" applyAlignment="1">
      <alignment horizontal="center" vertical="center" wrapText="1"/>
    </xf>
    <xf numFmtId="168" fontId="6" fillId="2" borderId="15" xfId="0" applyNumberFormat="1" applyFont="1" applyFill="1" applyBorder="1" applyAlignment="1">
      <alignment horizontal="center" vertical="center" wrapText="1"/>
    </xf>
    <xf numFmtId="168" fontId="6" fillId="2" borderId="16" xfId="0" applyNumberFormat="1" applyFont="1" applyFill="1" applyBorder="1" applyAlignment="1">
      <alignment horizontal="center" vertical="center" wrapText="1"/>
    </xf>
    <xf numFmtId="0" fontId="7"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center" vertical="center" wrapText="1"/>
    </xf>
    <xf numFmtId="0" fontId="47" fillId="0" borderId="27" xfId="0" applyFont="1" applyBorder="1" applyAlignment="1">
      <alignment vertical="center" wrapText="1"/>
    </xf>
    <xf numFmtId="0" fontId="7" fillId="2" borderId="55" xfId="3" applyFont="1" applyFill="1" applyBorder="1"/>
    <xf numFmtId="0" fontId="7" fillId="0" borderId="0" xfId="0" applyFont="1" applyBorder="1" applyAlignment="1">
      <alignment horizontal="left"/>
    </xf>
    <xf numFmtId="49" fontId="7" fillId="0" borderId="0" xfId="0" applyNumberFormat="1" applyFont="1" applyBorder="1" applyAlignment="1">
      <alignment vertical="center"/>
    </xf>
    <xf numFmtId="0" fontId="7" fillId="0" borderId="0" xfId="0" applyFont="1" applyBorder="1"/>
    <xf numFmtId="0" fontId="5" fillId="0" borderId="0" xfId="0" applyFont="1" applyAlignment="1">
      <alignment horizontal="left"/>
    </xf>
    <xf numFmtId="3" fontId="15" fillId="0" borderId="15" xfId="0" applyNumberFormat="1" applyFont="1" applyFill="1" applyBorder="1" applyAlignment="1">
      <alignment horizontal="right" vertical="center"/>
    </xf>
    <xf numFmtId="168" fontId="15" fillId="0" borderId="16" xfId="0" applyNumberFormat="1" applyFont="1" applyFill="1" applyBorder="1" applyAlignment="1">
      <alignment horizontal="right" vertical="center"/>
    </xf>
    <xf numFmtId="49" fontId="47" fillId="0" borderId="14" xfId="0" applyNumberFormat="1" applyFont="1" applyFill="1" applyBorder="1" applyAlignment="1">
      <alignment horizontal="center" vertical="center"/>
    </xf>
    <xf numFmtId="49" fontId="34" fillId="0" borderId="1" xfId="0" applyNumberFormat="1" applyFont="1" applyFill="1" applyBorder="1" applyAlignment="1">
      <alignment horizontal="center" vertical="center" wrapText="1"/>
    </xf>
    <xf numFmtId="49" fontId="41" fillId="0" borderId="9" xfId="0" applyNumberFormat="1" applyFont="1" applyFill="1" applyBorder="1" applyAlignment="1">
      <alignment horizontal="center" vertical="center"/>
    </xf>
    <xf numFmtId="49" fontId="41" fillId="0" borderId="1" xfId="0" applyNumberFormat="1"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18" xfId="0" applyFont="1" applyFill="1" applyBorder="1" applyAlignment="1">
      <alignment horizontal="center" vertical="center" wrapText="1"/>
    </xf>
    <xf numFmtId="0" fontId="33" fillId="0" borderId="14" xfId="0" applyFont="1" applyFill="1" applyBorder="1" applyAlignment="1">
      <alignment horizontal="center" vertical="center" wrapText="1"/>
    </xf>
    <xf numFmtId="49" fontId="15" fillId="0" borderId="15" xfId="0" applyNumberFormat="1" applyFont="1" applyFill="1" applyBorder="1" applyAlignment="1">
      <alignment horizontal="center" vertical="center"/>
    </xf>
    <xf numFmtId="49" fontId="15" fillId="0" borderId="15" xfId="0" applyNumberFormat="1" applyFont="1" applyFill="1" applyBorder="1" applyAlignment="1">
      <alignment vertical="center"/>
    </xf>
    <xf numFmtId="49" fontId="48" fillId="0" borderId="14" xfId="0" applyNumberFormat="1" applyFont="1" applyFill="1" applyBorder="1" applyAlignment="1">
      <alignment horizontal="center" vertical="center" wrapText="1"/>
    </xf>
    <xf numFmtId="49" fontId="47" fillId="0" borderId="15" xfId="0" applyNumberFormat="1" applyFont="1" applyFill="1" applyBorder="1" applyAlignment="1">
      <alignment horizontal="left" vertical="center"/>
    </xf>
    <xf numFmtId="49" fontId="34" fillId="0" borderId="18" xfId="0" applyNumberFormat="1" applyFont="1" applyFill="1" applyBorder="1" applyAlignment="1">
      <alignment horizontal="center" vertical="center" wrapText="1"/>
    </xf>
    <xf numFmtId="49" fontId="15" fillId="0" borderId="15" xfId="0" applyNumberFormat="1" applyFont="1" applyFill="1" applyBorder="1" applyAlignment="1">
      <alignment horizontal="center" vertical="center" wrapText="1"/>
    </xf>
    <xf numFmtId="49" fontId="47" fillId="0" borderId="15" xfId="0" applyNumberFormat="1" applyFont="1" applyFill="1" applyBorder="1" applyAlignment="1">
      <alignment horizontal="center" vertical="center" wrapText="1"/>
    </xf>
    <xf numFmtId="49" fontId="41" fillId="0" borderId="9"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0" fontId="33" fillId="0" borderId="15" xfId="0" applyFont="1" applyFill="1" applyBorder="1" applyAlignment="1">
      <alignment horizontal="center" vertical="center" wrapText="1"/>
    </xf>
    <xf numFmtId="0" fontId="48" fillId="0" borderId="15" xfId="0" applyFont="1" applyFill="1" applyBorder="1" applyAlignment="1">
      <alignment horizontal="center" vertical="center" wrapText="1"/>
    </xf>
    <xf numFmtId="0" fontId="48" fillId="0" borderId="14" xfId="0" applyFont="1" applyFill="1" applyBorder="1" applyAlignment="1">
      <alignment horizontal="center" vertical="center" wrapText="1"/>
    </xf>
    <xf numFmtId="49" fontId="34" fillId="0" borderId="12" xfId="0" applyNumberFormat="1" applyFont="1" applyFill="1" applyBorder="1" applyAlignment="1">
      <alignment horizontal="center" vertical="center" wrapText="1"/>
    </xf>
    <xf numFmtId="49" fontId="34" fillId="0" borderId="11" xfId="0" applyNumberFormat="1" applyFont="1" applyFill="1" applyBorder="1" applyAlignment="1">
      <alignment horizontal="center" vertical="center" wrapText="1"/>
    </xf>
    <xf numFmtId="3" fontId="6" fillId="2" borderId="32" xfId="0" applyNumberFormat="1" applyFont="1" applyFill="1" applyBorder="1" applyAlignment="1">
      <alignment horizontal="right" vertical="center"/>
    </xf>
    <xf numFmtId="170" fontId="6" fillId="2" borderId="49" xfId="0" applyNumberFormat="1" applyFont="1" applyFill="1" applyBorder="1" applyAlignment="1">
      <alignment horizontal="right" vertical="center"/>
    </xf>
    <xf numFmtId="3" fontId="6" fillId="2" borderId="14" xfId="0" applyNumberFormat="1" applyFont="1" applyFill="1" applyBorder="1" applyAlignment="1">
      <alignment horizontal="right" vertical="center"/>
    </xf>
    <xf numFmtId="170" fontId="6" fillId="2" borderId="16" xfId="0" applyNumberFormat="1" applyFont="1" applyFill="1" applyBorder="1" applyAlignment="1">
      <alignment horizontal="right" vertical="center"/>
    </xf>
    <xf numFmtId="3" fontId="6" fillId="0" borderId="32" xfId="0" applyNumberFormat="1" applyFont="1" applyBorder="1" applyAlignment="1">
      <alignment horizontal="right" vertical="center"/>
    </xf>
    <xf numFmtId="3" fontId="6" fillId="0" borderId="15" xfId="0" applyNumberFormat="1" applyFont="1" applyBorder="1" applyAlignment="1">
      <alignment horizontal="right" vertical="center"/>
    </xf>
    <xf numFmtId="170" fontId="6" fillId="0" borderId="16" xfId="0" applyNumberFormat="1" applyFont="1" applyBorder="1" applyAlignment="1">
      <alignment horizontal="right" vertical="center"/>
    </xf>
    <xf numFmtId="3" fontId="35" fillId="2" borderId="30" xfId="0" applyNumberFormat="1" applyFont="1" applyFill="1" applyBorder="1" applyAlignment="1">
      <alignment horizontal="right" vertical="center"/>
    </xf>
    <xf numFmtId="3" fontId="35" fillId="2" borderId="18" xfId="0" applyNumberFormat="1" applyFont="1" applyFill="1" applyBorder="1" applyAlignment="1">
      <alignment horizontal="right" vertical="center"/>
    </xf>
    <xf numFmtId="170" fontId="35" fillId="2" borderId="48" xfId="0" applyNumberFormat="1" applyFont="1" applyFill="1" applyBorder="1" applyAlignment="1">
      <alignment horizontal="right" vertical="center"/>
    </xf>
    <xf numFmtId="3" fontId="35" fillId="2" borderId="17" xfId="0" applyNumberFormat="1" applyFont="1" applyFill="1" applyBorder="1" applyAlignment="1">
      <alignment horizontal="right" vertical="center"/>
    </xf>
    <xf numFmtId="170" fontId="35" fillId="2" borderId="19" xfId="0" applyNumberFormat="1" applyFont="1" applyFill="1" applyBorder="1" applyAlignment="1">
      <alignment horizontal="right" vertical="center"/>
    </xf>
    <xf numFmtId="3" fontId="6" fillId="0" borderId="30" xfId="0" applyNumberFormat="1" applyFont="1" applyBorder="1" applyAlignment="1">
      <alignment horizontal="right" vertical="center"/>
    </xf>
    <xf numFmtId="3" fontId="6" fillId="0" borderId="18" xfId="0" applyNumberFormat="1" applyFont="1" applyBorder="1" applyAlignment="1">
      <alignment horizontal="right" vertical="center"/>
    </xf>
    <xf numFmtId="170" fontId="6" fillId="0" borderId="19" xfId="0" applyNumberFormat="1" applyFont="1" applyBorder="1" applyAlignment="1">
      <alignment horizontal="right" vertical="center"/>
    </xf>
    <xf numFmtId="3" fontId="5" fillId="0" borderId="5" xfId="0" applyNumberFormat="1" applyFont="1" applyBorder="1" applyAlignment="1">
      <alignment horizontal="right" vertical="center"/>
    </xf>
    <xf numFmtId="3" fontId="5" fillId="2" borderId="1" xfId="0" applyNumberFormat="1" applyFont="1" applyFill="1" applyBorder="1" applyAlignment="1">
      <alignment horizontal="right" vertical="center"/>
    </xf>
    <xf numFmtId="170" fontId="5" fillId="2" borderId="3" xfId="0" applyNumberFormat="1" applyFont="1" applyFill="1" applyBorder="1" applyAlignment="1">
      <alignment horizontal="right" vertical="center"/>
    </xf>
    <xf numFmtId="3" fontId="5" fillId="0" borderId="9" xfId="0" applyNumberFormat="1" applyFont="1" applyBorder="1" applyAlignment="1">
      <alignment horizontal="right" vertical="center"/>
    </xf>
    <xf numFmtId="170" fontId="5" fillId="2" borderId="10" xfId="0" applyNumberFormat="1" applyFont="1" applyFill="1" applyBorder="1" applyAlignment="1">
      <alignment horizontal="right" vertical="center"/>
    </xf>
    <xf numFmtId="3" fontId="6" fillId="0" borderId="5" xfId="0" applyNumberFormat="1" applyFont="1" applyBorder="1" applyAlignment="1">
      <alignment horizontal="right" vertical="center"/>
    </xf>
    <xf numFmtId="3" fontId="6" fillId="0" borderId="1" xfId="0" applyNumberFormat="1" applyFont="1" applyBorder="1" applyAlignment="1">
      <alignment horizontal="right" vertical="center"/>
    </xf>
    <xf numFmtId="170" fontId="6" fillId="0" borderId="10" xfId="0" applyNumberFormat="1" applyFont="1" applyBorder="1" applyAlignment="1">
      <alignment horizontal="right" vertical="center"/>
    </xf>
    <xf numFmtId="3" fontId="35" fillId="0" borderId="5" xfId="0" applyNumberFormat="1" applyFont="1" applyBorder="1" applyAlignment="1">
      <alignment horizontal="right" vertical="center"/>
    </xf>
    <xf numFmtId="170" fontId="6" fillId="2" borderId="3" xfId="0" applyNumberFormat="1" applyFont="1" applyFill="1" applyBorder="1" applyAlignment="1">
      <alignment horizontal="right" vertical="center"/>
    </xf>
    <xf numFmtId="3" fontId="35" fillId="0" borderId="9" xfId="0" applyNumberFormat="1" applyFont="1" applyBorder="1" applyAlignment="1">
      <alignment horizontal="right" vertical="center"/>
    </xf>
    <xf numFmtId="3" fontId="35" fillId="0" borderId="1" xfId="0" applyNumberFormat="1" applyFont="1" applyBorder="1" applyAlignment="1">
      <alignment horizontal="right" vertical="center"/>
    </xf>
    <xf numFmtId="170" fontId="6" fillId="2" borderId="10" xfId="0" applyNumberFormat="1" applyFont="1" applyFill="1" applyBorder="1" applyAlignment="1">
      <alignment horizontal="right" vertical="center"/>
    </xf>
    <xf numFmtId="170" fontId="35" fillId="0" borderId="10" xfId="0" applyNumberFormat="1" applyFont="1" applyBorder="1" applyAlignment="1">
      <alignment horizontal="right" vertical="center"/>
    </xf>
    <xf numFmtId="170" fontId="35" fillId="2" borderId="10" xfId="0" applyNumberFormat="1" applyFont="1" applyFill="1" applyBorder="1" applyAlignment="1">
      <alignment horizontal="right" vertical="center"/>
    </xf>
    <xf numFmtId="3" fontId="5" fillId="0" borderId="37" xfId="0" applyNumberFormat="1" applyFont="1" applyBorder="1" applyAlignment="1">
      <alignment horizontal="right" vertical="center"/>
    </xf>
    <xf numFmtId="3" fontId="35" fillId="2" borderId="1" xfId="0" applyNumberFormat="1" applyFont="1" applyFill="1" applyBorder="1" applyAlignment="1">
      <alignment horizontal="right" vertical="center"/>
    </xf>
    <xf numFmtId="170" fontId="35" fillId="2" borderId="3" xfId="0" applyNumberFormat="1" applyFont="1" applyFill="1" applyBorder="1" applyAlignment="1">
      <alignment horizontal="right" vertical="center"/>
    </xf>
    <xf numFmtId="3" fontId="5" fillId="0" borderId="23" xfId="0" applyNumberFormat="1" applyFont="1" applyBorder="1" applyAlignment="1">
      <alignment horizontal="right" vertical="center"/>
    </xf>
    <xf numFmtId="3" fontId="5" fillId="2" borderId="12" xfId="0" applyNumberFormat="1" applyFont="1" applyFill="1" applyBorder="1" applyAlignment="1">
      <alignment horizontal="right" vertical="center"/>
    </xf>
    <xf numFmtId="170" fontId="5" fillId="2" borderId="43" xfId="0" applyNumberFormat="1" applyFont="1" applyFill="1" applyBorder="1" applyAlignment="1">
      <alignment horizontal="right" vertical="center"/>
    </xf>
    <xf numFmtId="3" fontId="5" fillId="0" borderId="11" xfId="0" applyNumberFormat="1" applyFont="1" applyBorder="1" applyAlignment="1">
      <alignment horizontal="right" vertical="center"/>
    </xf>
    <xf numFmtId="170" fontId="6" fillId="2" borderId="13" xfId="0" applyNumberFormat="1" applyFont="1" applyFill="1" applyBorder="1" applyAlignment="1">
      <alignment horizontal="right" vertical="center"/>
    </xf>
    <xf numFmtId="170" fontId="5" fillId="0" borderId="13" xfId="0" applyNumberFormat="1" applyFont="1" applyBorder="1" applyAlignment="1">
      <alignment horizontal="right" vertical="center"/>
    </xf>
    <xf numFmtId="3" fontId="6" fillId="0" borderId="14" xfId="0" applyNumberFormat="1" applyFont="1" applyBorder="1" applyAlignment="1">
      <alignment horizontal="right" vertical="center"/>
    </xf>
    <xf numFmtId="3" fontId="35" fillId="0" borderId="30" xfId="0" applyNumberFormat="1" applyFont="1" applyBorder="1" applyAlignment="1">
      <alignment horizontal="right" vertical="center"/>
    </xf>
    <xf numFmtId="3" fontId="35" fillId="0" borderId="17" xfId="0" applyNumberFormat="1" applyFont="1" applyBorder="1" applyAlignment="1">
      <alignment horizontal="right" vertical="center"/>
    </xf>
    <xf numFmtId="3" fontId="35" fillId="0" borderId="18" xfId="0" applyNumberFormat="1" applyFont="1" applyBorder="1" applyAlignment="1">
      <alignment horizontal="right" vertical="center"/>
    </xf>
    <xf numFmtId="170" fontId="5" fillId="0" borderId="10" xfId="0" applyNumberFormat="1" applyFont="1" applyBorder="1" applyAlignment="1">
      <alignment horizontal="right" vertical="center"/>
    </xf>
    <xf numFmtId="170" fontId="5" fillId="2" borderId="3" xfId="0" applyNumberFormat="1" applyFont="1" applyFill="1" applyBorder="1" applyAlignment="1">
      <alignment horizontal="right" vertical="center" wrapText="1"/>
    </xf>
    <xf numFmtId="170" fontId="5" fillId="2" borderId="10" xfId="0" applyNumberFormat="1" applyFont="1" applyFill="1" applyBorder="1" applyAlignment="1">
      <alignment horizontal="right" vertical="center" wrapText="1"/>
    </xf>
    <xf numFmtId="3" fontId="35" fillId="0" borderId="32" xfId="0" applyNumberFormat="1" applyFont="1" applyBorder="1" applyAlignment="1">
      <alignment horizontal="right" vertical="center"/>
    </xf>
    <xf numFmtId="3" fontId="35" fillId="0" borderId="14" xfId="0" applyNumberFormat="1" applyFont="1" applyBorder="1" applyAlignment="1">
      <alignment horizontal="right" vertical="center"/>
    </xf>
    <xf numFmtId="3" fontId="35" fillId="0" borderId="15" xfId="0" applyNumberFormat="1" applyFont="1" applyBorder="1" applyAlignment="1">
      <alignment horizontal="right" vertical="center"/>
    </xf>
    <xf numFmtId="3" fontId="5" fillId="0" borderId="33" xfId="0" applyNumberFormat="1" applyFont="1" applyBorder="1" applyAlignment="1">
      <alignment horizontal="right" vertical="center"/>
    </xf>
    <xf numFmtId="3" fontId="5" fillId="0" borderId="26" xfId="0" applyNumberFormat="1" applyFont="1" applyBorder="1" applyAlignment="1">
      <alignment horizontal="right" vertical="center"/>
    </xf>
    <xf numFmtId="3" fontId="5" fillId="0" borderId="27" xfId="0" applyNumberFormat="1" applyFont="1" applyBorder="1" applyAlignment="1">
      <alignment horizontal="right" vertical="center"/>
    </xf>
    <xf numFmtId="170" fontId="6" fillId="2" borderId="28" xfId="0" applyNumberFormat="1" applyFont="1" applyFill="1" applyBorder="1" applyAlignment="1">
      <alignment horizontal="right" vertical="center"/>
    </xf>
    <xf numFmtId="3" fontId="6" fillId="2" borderId="18" xfId="0" applyNumberFormat="1" applyFont="1" applyFill="1" applyBorder="1" applyAlignment="1">
      <alignment horizontal="right" vertical="center"/>
    </xf>
    <xf numFmtId="170" fontId="6" fillId="2" borderId="48" xfId="0" applyNumberFormat="1" applyFont="1" applyFill="1" applyBorder="1" applyAlignment="1">
      <alignment horizontal="right" vertical="center"/>
    </xf>
    <xf numFmtId="3" fontId="6" fillId="0" borderId="9" xfId="0" applyNumberFormat="1" applyFont="1" applyBorder="1" applyAlignment="1">
      <alignment horizontal="right" vertical="center"/>
    </xf>
    <xf numFmtId="3" fontId="5" fillId="2" borderId="3" xfId="0" applyNumberFormat="1" applyFont="1" applyFill="1" applyBorder="1" applyAlignment="1">
      <alignment horizontal="right" vertical="center"/>
    </xf>
    <xf numFmtId="3" fontId="5" fillId="2" borderId="10" xfId="0" applyNumberFormat="1" applyFont="1" applyFill="1" applyBorder="1" applyAlignment="1">
      <alignment horizontal="right" vertical="center"/>
    </xf>
    <xf numFmtId="0" fontId="13" fillId="0" borderId="10" xfId="0" applyFont="1" applyBorder="1" applyAlignment="1">
      <alignment vertical="center" wrapText="1"/>
    </xf>
    <xf numFmtId="0" fontId="7" fillId="0" borderId="9" xfId="0" applyFont="1" applyBorder="1" applyAlignment="1">
      <alignment horizontal="left" vertical="center" wrapText="1"/>
    </xf>
    <xf numFmtId="0" fontId="14" fillId="0" borderId="26" xfId="0" applyFont="1" applyBorder="1" applyAlignment="1">
      <alignment horizontal="left" vertical="center"/>
    </xf>
    <xf numFmtId="0" fontId="7" fillId="0" borderId="28" xfId="0" applyFont="1" applyBorder="1" applyAlignment="1">
      <alignment vertical="center" wrapText="1"/>
    </xf>
    <xf numFmtId="170" fontId="5" fillId="0" borderId="28" xfId="0" applyNumberFormat="1" applyFont="1" applyBorder="1" applyAlignment="1">
      <alignment horizontal="right" vertical="center"/>
    </xf>
    <xf numFmtId="0" fontId="5" fillId="0" borderId="26" xfId="0" applyFont="1" applyBorder="1" applyAlignment="1">
      <alignment horizontal="left" vertical="center" wrapText="1"/>
    </xf>
    <xf numFmtId="3" fontId="6" fillId="2" borderId="27" xfId="0" applyNumberFormat="1" applyFont="1" applyFill="1" applyBorder="1" applyAlignment="1">
      <alignment horizontal="right" vertical="center"/>
    </xf>
    <xf numFmtId="170" fontId="6" fillId="2" borderId="52" xfId="0" applyNumberFormat="1" applyFont="1" applyFill="1" applyBorder="1" applyAlignment="1">
      <alignment horizontal="right" vertical="center"/>
    </xf>
    <xf numFmtId="0" fontId="12" fillId="0" borderId="54" xfId="0" applyFont="1" applyBorder="1" applyAlignment="1">
      <alignment horizontal="center" vertical="top" wrapText="1"/>
    </xf>
    <xf numFmtId="0" fontId="12" fillId="0" borderId="56" xfId="0" applyFont="1" applyBorder="1" applyAlignment="1">
      <alignment horizontal="center" vertical="top" wrapText="1"/>
    </xf>
    <xf numFmtId="0" fontId="12" fillId="0" borderId="7" xfId="0" applyFont="1" applyBorder="1" applyAlignment="1">
      <alignment horizontal="center"/>
    </xf>
    <xf numFmtId="0" fontId="12" fillId="0" borderId="8" xfId="0" applyFont="1" applyBorder="1" applyAlignment="1">
      <alignment horizontal="center"/>
    </xf>
    <xf numFmtId="170" fontId="6" fillId="0" borderId="10" xfId="0" applyNumberFormat="1" applyFont="1" applyBorder="1" applyAlignment="1">
      <alignment horizontal="center"/>
    </xf>
    <xf numFmtId="3" fontId="7" fillId="0" borderId="1" xfId="0" applyNumberFormat="1" applyFont="1" applyBorder="1" applyAlignment="1">
      <alignment horizontal="center" wrapText="1"/>
    </xf>
    <xf numFmtId="49" fontId="13" fillId="0" borderId="37" xfId="0" applyNumberFormat="1" applyFont="1" applyBorder="1" applyAlignment="1">
      <alignment horizontal="center" vertical="center" wrapText="1"/>
    </xf>
    <xf numFmtId="3" fontId="13" fillId="0" borderId="4" xfId="0" applyNumberFormat="1" applyFont="1" applyBorder="1" applyAlignment="1">
      <alignment horizontal="center" wrapText="1"/>
    </xf>
    <xf numFmtId="49" fontId="6" fillId="0" borderId="9" xfId="0" applyNumberFormat="1" applyFont="1" applyBorder="1" applyAlignment="1">
      <alignment horizontal="center"/>
    </xf>
    <xf numFmtId="0" fontId="6" fillId="0" borderId="1" xfId="0" applyFont="1" applyBorder="1" applyAlignment="1">
      <alignment horizontal="centerContinuous" vertical="center"/>
    </xf>
    <xf numFmtId="0" fontId="6" fillId="0" borderId="1" xfId="0" applyFont="1" applyBorder="1" applyAlignment="1">
      <alignment horizontal="left" vertical="center" wrapText="1"/>
    </xf>
    <xf numFmtId="0" fontId="5" fillId="0" borderId="12" xfId="0" applyFont="1" applyBorder="1" applyAlignment="1">
      <alignment horizontal="centerContinuous" vertical="center"/>
    </xf>
    <xf numFmtId="0" fontId="5" fillId="0" borderId="12" xfId="0" applyFont="1" applyBorder="1" applyAlignment="1">
      <alignment horizontal="left" vertical="center" wrapText="1"/>
    </xf>
    <xf numFmtId="0" fontId="0" fillId="0" borderId="0" xfId="0" applyBorder="1"/>
    <xf numFmtId="0" fontId="6" fillId="0" borderId="0" xfId="0" applyFont="1" applyBorder="1" applyAlignment="1">
      <alignment horizontal="centerContinuous" vertical="center"/>
    </xf>
    <xf numFmtId="0" fontId="6" fillId="0" borderId="0" xfId="0" applyFont="1" applyBorder="1" applyAlignment="1">
      <alignment horizontal="left" vertical="center" wrapText="1"/>
    </xf>
    <xf numFmtId="165" fontId="6" fillId="0" borderId="0" xfId="0" applyNumberFormat="1" applyFont="1" applyBorder="1" applyAlignment="1">
      <alignment horizontal="center" vertical="center"/>
    </xf>
    <xf numFmtId="0" fontId="5" fillId="0" borderId="0" xfId="0" applyFont="1" applyBorder="1" applyAlignment="1">
      <alignment horizontal="centerContinuous" vertical="center"/>
    </xf>
    <xf numFmtId="0" fontId="5" fillId="0" borderId="0" xfId="0" applyFont="1" applyBorder="1" applyAlignment="1">
      <alignment horizontal="left" vertical="center" wrapText="1"/>
    </xf>
    <xf numFmtId="165" fontId="5" fillId="0" borderId="0" xfId="0" applyNumberFormat="1" applyFont="1" applyBorder="1" applyAlignment="1">
      <alignment horizontal="center" vertical="center"/>
    </xf>
    <xf numFmtId="174" fontId="6" fillId="0" borderId="45" xfId="0" applyNumberFormat="1" applyFont="1" applyBorder="1" applyAlignment="1">
      <alignment horizontal="center"/>
    </xf>
    <xf numFmtId="3" fontId="6" fillId="0" borderId="1" xfId="0" applyNumberFormat="1" applyFont="1" applyBorder="1" applyAlignment="1">
      <alignment horizontal="center" vertical="center" wrapText="1"/>
    </xf>
    <xf numFmtId="175" fontId="6" fillId="0" borderId="10" xfId="0" applyNumberFormat="1" applyFont="1" applyBorder="1" applyAlignment="1">
      <alignment horizontal="center"/>
    </xf>
    <xf numFmtId="165" fontId="6"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168" fontId="5" fillId="2" borderId="25" xfId="0" applyNumberFormat="1" applyFont="1" applyFill="1" applyBorder="1" applyAlignment="1">
      <alignment horizontal="center" vertical="center" wrapText="1"/>
    </xf>
    <xf numFmtId="165" fontId="6" fillId="2" borderId="0" xfId="0" applyNumberFormat="1" applyFont="1" applyFill="1"/>
    <xf numFmtId="165" fontId="5" fillId="2" borderId="12" xfId="0" applyNumberFormat="1" applyFont="1" applyFill="1" applyBorder="1" applyAlignment="1">
      <alignment horizontal="right" vertical="center" wrapText="1"/>
    </xf>
    <xf numFmtId="165" fontId="7" fillId="2" borderId="1" xfId="0" applyNumberFormat="1" applyFont="1" applyFill="1" applyBorder="1" applyAlignment="1">
      <alignment vertical="center"/>
    </xf>
    <xf numFmtId="168" fontId="7" fillId="2" borderId="1" xfId="0" applyNumberFormat="1" applyFont="1" applyFill="1" applyBorder="1" applyAlignment="1">
      <alignment horizontal="center" vertical="center" wrapText="1"/>
    </xf>
    <xf numFmtId="165" fontId="7" fillId="2" borderId="1" xfId="0" applyNumberFormat="1" applyFont="1" applyFill="1" applyBorder="1" applyAlignment="1">
      <alignment horizontal="right" vertical="center"/>
    </xf>
    <xf numFmtId="165" fontId="7" fillId="2" borderId="3" xfId="0" applyNumberFormat="1" applyFont="1" applyFill="1" applyBorder="1" applyAlignment="1">
      <alignment horizontal="right" vertical="center"/>
    </xf>
    <xf numFmtId="165" fontId="13" fillId="2" borderId="0" xfId="0" applyNumberFormat="1" applyFont="1" applyFill="1"/>
    <xf numFmtId="0" fontId="13" fillId="0" borderId="9" xfId="0" applyFont="1" applyBorder="1" applyAlignment="1">
      <alignment horizontal="left" vertical="center" wrapText="1"/>
    </xf>
    <xf numFmtId="3" fontId="5" fillId="2" borderId="9" xfId="0" applyNumberFormat="1" applyFont="1" applyFill="1" applyBorder="1" applyAlignment="1">
      <alignment horizontal="right" vertical="center"/>
    </xf>
    <xf numFmtId="49" fontId="7" fillId="2" borderId="27" xfId="0" applyNumberFormat="1" applyFont="1" applyFill="1" applyBorder="1" applyAlignment="1">
      <alignment horizontal="center" vertical="center" wrapText="1"/>
    </xf>
    <xf numFmtId="165" fontId="7" fillId="2" borderId="27" xfId="0" applyNumberFormat="1" applyFont="1" applyFill="1" applyBorder="1" applyAlignment="1">
      <alignment vertical="center"/>
    </xf>
    <xf numFmtId="168" fontId="7" fillId="2" borderId="27" xfId="0" applyNumberFormat="1" applyFont="1" applyFill="1" applyBorder="1" applyAlignment="1">
      <alignment horizontal="center" vertical="center" wrapText="1"/>
    </xf>
    <xf numFmtId="165" fontId="7" fillId="2" borderId="27" xfId="0" applyNumberFormat="1" applyFont="1" applyFill="1" applyBorder="1" applyAlignment="1">
      <alignment horizontal="right" vertical="center"/>
    </xf>
    <xf numFmtId="165" fontId="7" fillId="2" borderId="52" xfId="0" applyNumberFormat="1" applyFont="1" applyFill="1" applyBorder="1" applyAlignment="1">
      <alignment horizontal="right" vertical="center"/>
    </xf>
    <xf numFmtId="168" fontId="7" fillId="2" borderId="12" xfId="0" applyNumberFormat="1" applyFont="1" applyFill="1" applyBorder="1" applyAlignment="1">
      <alignment horizontal="center" vertical="center" wrapText="1"/>
    </xf>
    <xf numFmtId="165" fontId="13" fillId="5" borderId="0" xfId="0" applyNumberFormat="1" applyFont="1" applyFill="1"/>
    <xf numFmtId="0" fontId="7" fillId="5" borderId="0" xfId="0" applyFont="1" applyFill="1"/>
    <xf numFmtId="165" fontId="6" fillId="5" borderId="0" xfId="0" applyNumberFormat="1" applyFont="1" applyFill="1"/>
    <xf numFmtId="0" fontId="5" fillId="5" borderId="0" xfId="0" applyFont="1" applyFill="1"/>
    <xf numFmtId="176" fontId="6" fillId="2" borderId="15" xfId="0" applyNumberFormat="1" applyFont="1" applyFill="1" applyBorder="1" applyAlignment="1">
      <alignment vertical="center"/>
    </xf>
    <xf numFmtId="176" fontId="6" fillId="2" borderId="15" xfId="0" applyNumberFormat="1" applyFont="1" applyFill="1" applyBorder="1" applyAlignment="1">
      <alignment horizontal="right" vertical="center" wrapText="1"/>
    </xf>
    <xf numFmtId="170" fontId="45" fillId="2" borderId="0" xfId="0" applyNumberFormat="1" applyFont="1" applyFill="1"/>
    <xf numFmtId="0" fontId="6" fillId="2" borderId="0" xfId="0" applyFont="1" applyFill="1"/>
    <xf numFmtId="0" fontId="8" fillId="2" borderId="0" xfId="0" applyFont="1" applyFill="1"/>
    <xf numFmtId="165" fontId="6" fillId="6" borderId="0" xfId="0" applyNumberFormat="1" applyFont="1" applyFill="1"/>
    <xf numFmtId="0" fontId="5" fillId="6" borderId="0" xfId="0" applyFont="1" applyFill="1"/>
    <xf numFmtId="165" fontId="6" fillId="4" borderId="0" xfId="0" applyNumberFormat="1" applyFont="1" applyFill="1"/>
    <xf numFmtId="0" fontId="5" fillId="4" borderId="0" xfId="0" applyFont="1" applyFill="1"/>
    <xf numFmtId="165" fontId="5" fillId="2" borderId="18" xfId="0" applyNumberFormat="1" applyFont="1" applyFill="1" applyBorder="1" applyAlignment="1">
      <alignment horizontal="right" vertical="center"/>
    </xf>
    <xf numFmtId="0" fontId="5" fillId="2" borderId="1" xfId="0" applyFont="1" applyFill="1" applyBorder="1"/>
    <xf numFmtId="0" fontId="37" fillId="0" borderId="12" xfId="0" applyFont="1" applyBorder="1" applyAlignment="1">
      <alignment horizontal="left" vertical="center" wrapText="1"/>
    </xf>
    <xf numFmtId="0" fontId="9" fillId="0" borderId="0" xfId="0" applyFont="1" applyFill="1" applyAlignment="1">
      <alignment vertical="center"/>
    </xf>
    <xf numFmtId="49" fontId="9" fillId="0" borderId="0" xfId="0" applyNumberFormat="1" applyFont="1" applyFill="1" applyAlignment="1">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9" fillId="0" borderId="0" xfId="0" applyFont="1" applyFill="1" applyAlignment="1">
      <alignment horizontal="right" vertical="center"/>
    </xf>
    <xf numFmtId="168" fontId="9" fillId="0" borderId="0" xfId="0" applyNumberFormat="1" applyFont="1" applyFill="1" applyAlignment="1">
      <alignment horizontal="right" vertical="center"/>
    </xf>
    <xf numFmtId="0" fontId="7" fillId="0" borderId="2" xfId="0" applyFont="1" applyFill="1" applyBorder="1" applyAlignment="1">
      <alignment horizontal="right" vertical="center"/>
    </xf>
    <xf numFmtId="0" fontId="7" fillId="0" borderId="4" xfId="0" applyFont="1" applyFill="1" applyBorder="1" applyAlignment="1">
      <alignment horizontal="right" vertical="center"/>
    </xf>
    <xf numFmtId="0" fontId="41" fillId="0" borderId="0" xfId="0" applyFont="1" applyFill="1" applyAlignment="1">
      <alignment vertical="center"/>
    </xf>
    <xf numFmtId="0" fontId="15" fillId="0" borderId="0" xfId="0" applyFont="1" applyFill="1" applyAlignment="1">
      <alignment vertical="center"/>
    </xf>
    <xf numFmtId="0" fontId="15" fillId="0" borderId="0" xfId="0" applyFont="1" applyFill="1" applyAlignment="1">
      <alignment horizontal="right" vertical="center"/>
    </xf>
    <xf numFmtId="0" fontId="41" fillId="0" borderId="0" xfId="0" applyFont="1" applyFill="1" applyAlignment="1">
      <alignment horizontal="right" vertical="center"/>
    </xf>
    <xf numFmtId="168" fontId="41" fillId="0" borderId="0" xfId="0" applyNumberFormat="1" applyFont="1" applyFill="1" applyAlignment="1">
      <alignment horizontal="right" vertical="center"/>
    </xf>
    <xf numFmtId="0" fontId="15" fillId="0" borderId="0" xfId="0" applyFont="1" applyFill="1" applyAlignment="1">
      <alignment horizontal="center" vertical="center"/>
    </xf>
    <xf numFmtId="0" fontId="13" fillId="0" borderId="0" xfId="0" applyFont="1" applyFill="1" applyAlignment="1">
      <alignment horizontal="right" vertical="center"/>
    </xf>
    <xf numFmtId="168" fontId="7" fillId="0" borderId="13" xfId="0" applyNumberFormat="1"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49" fontId="9" fillId="0" borderId="15" xfId="0" applyNumberFormat="1" applyFont="1" applyFill="1" applyBorder="1" applyAlignment="1">
      <alignment horizontal="center" vertical="center" wrapText="1"/>
    </xf>
    <xf numFmtId="0" fontId="41" fillId="0" borderId="15" xfId="0" applyFont="1" applyFill="1" applyBorder="1" applyAlignment="1">
      <alignment horizontal="center" vertical="center"/>
    </xf>
    <xf numFmtId="49" fontId="15" fillId="0" borderId="14" xfId="0" applyNumberFormat="1" applyFont="1" applyFill="1" applyBorder="1" applyAlignment="1">
      <alignment horizontal="center" vertical="center"/>
    </xf>
    <xf numFmtId="3" fontId="47" fillId="0" borderId="15" xfId="0" applyNumberFormat="1" applyFont="1" applyFill="1" applyBorder="1" applyAlignment="1">
      <alignment horizontal="right" vertical="center" wrapText="1"/>
    </xf>
    <xf numFmtId="168" fontId="47" fillId="0" borderId="16" xfId="0" applyNumberFormat="1" applyFont="1" applyFill="1" applyBorder="1" applyAlignment="1">
      <alignment horizontal="right" vertical="center"/>
    </xf>
    <xf numFmtId="3" fontId="41" fillId="0" borderId="18" xfId="0" applyNumberFormat="1" applyFont="1" applyFill="1" applyBorder="1" applyAlignment="1">
      <alignment horizontal="right" vertical="center"/>
    </xf>
    <xf numFmtId="168" fontId="41" fillId="0" borderId="19" xfId="0" applyNumberFormat="1" applyFont="1" applyFill="1" applyBorder="1" applyAlignment="1">
      <alignment horizontal="right" vertical="center"/>
    </xf>
    <xf numFmtId="3" fontId="41" fillId="0" borderId="1" xfId="0" applyNumberFormat="1" applyFont="1" applyFill="1" applyBorder="1" applyAlignment="1">
      <alignment horizontal="right" vertical="center"/>
    </xf>
    <xf numFmtId="168" fontId="41" fillId="0" borderId="10" xfId="0" applyNumberFormat="1" applyFont="1" applyFill="1" applyBorder="1" applyAlignment="1">
      <alignment horizontal="right" vertical="center"/>
    </xf>
    <xf numFmtId="0" fontId="37" fillId="0" borderId="0" xfId="0" applyFont="1" applyFill="1" applyAlignment="1">
      <alignment vertical="center"/>
    </xf>
    <xf numFmtId="3" fontId="41" fillId="0" borderId="27" xfId="0" applyNumberFormat="1" applyFont="1" applyFill="1" applyBorder="1" applyAlignment="1">
      <alignment horizontal="right" vertical="center"/>
    </xf>
    <xf numFmtId="3" fontId="47" fillId="0" borderId="15" xfId="0" applyNumberFormat="1" applyFont="1" applyFill="1" applyBorder="1" applyAlignment="1">
      <alignment horizontal="right" vertical="center"/>
    </xf>
    <xf numFmtId="9" fontId="41" fillId="0" borderId="19" xfId="0" applyNumberFormat="1" applyFont="1" applyFill="1" applyBorder="1" applyAlignment="1">
      <alignment horizontal="right" vertical="center"/>
    </xf>
    <xf numFmtId="3" fontId="41" fillId="0" borderId="1" xfId="0" applyNumberFormat="1" applyFont="1" applyFill="1" applyBorder="1" applyAlignment="1">
      <alignment horizontal="right" vertical="center" wrapText="1"/>
    </xf>
    <xf numFmtId="0" fontId="37" fillId="0" borderId="0" xfId="0" applyFont="1" applyFill="1" applyAlignment="1">
      <alignment horizontal="left" vertical="center"/>
    </xf>
    <xf numFmtId="9" fontId="41" fillId="0" borderId="10" xfId="0" applyNumberFormat="1" applyFont="1" applyFill="1" applyBorder="1" applyAlignment="1">
      <alignment horizontal="right" vertical="center"/>
    </xf>
    <xf numFmtId="0" fontId="7" fillId="0" borderId="0" xfId="0" applyFont="1" applyFill="1" applyAlignment="1">
      <alignment horizontal="left" vertical="center"/>
    </xf>
    <xf numFmtId="3" fontId="41" fillId="0" borderId="15" xfId="0" applyNumberFormat="1" applyFont="1" applyFill="1" applyBorder="1" applyAlignment="1">
      <alignment horizontal="right" vertical="center"/>
    </xf>
    <xf numFmtId="9" fontId="15" fillId="0" borderId="16" xfId="0" applyNumberFormat="1" applyFont="1" applyFill="1" applyBorder="1" applyAlignment="1">
      <alignment horizontal="right" vertical="center"/>
    </xf>
    <xf numFmtId="9" fontId="47" fillId="0" borderId="16" xfId="0" applyNumberFormat="1" applyFont="1" applyFill="1" applyBorder="1" applyAlignment="1">
      <alignment horizontal="right" vertical="center"/>
    </xf>
    <xf numFmtId="9" fontId="41" fillId="0" borderId="28" xfId="0" applyNumberFormat="1" applyFont="1" applyFill="1" applyBorder="1" applyAlignment="1">
      <alignment horizontal="right" vertical="center"/>
    </xf>
    <xf numFmtId="0" fontId="13" fillId="0" borderId="0" xfId="0" applyFont="1" applyFill="1" applyAlignment="1">
      <alignment vertical="center"/>
    </xf>
    <xf numFmtId="3" fontId="15" fillId="0" borderId="15" xfId="0" applyNumberFormat="1" applyFont="1" applyFill="1" applyBorder="1" applyAlignment="1">
      <alignment horizontal="right" vertical="center" wrapText="1"/>
    </xf>
    <xf numFmtId="3" fontId="41" fillId="0" borderId="18" xfId="0" applyNumberFormat="1" applyFont="1" applyFill="1" applyBorder="1" applyAlignment="1">
      <alignment horizontal="right" vertical="center" wrapText="1"/>
    </xf>
    <xf numFmtId="3" fontId="41" fillId="0" borderId="12" xfId="0" applyNumberFormat="1" applyFont="1" applyFill="1" applyBorder="1" applyAlignment="1">
      <alignment horizontal="right" vertical="center" wrapText="1"/>
    </xf>
    <xf numFmtId="3" fontId="41" fillId="0" borderId="12" xfId="0" applyNumberFormat="1" applyFont="1" applyFill="1" applyBorder="1" applyAlignment="1">
      <alignment horizontal="right" vertical="center"/>
    </xf>
    <xf numFmtId="9" fontId="41" fillId="0" borderId="13" xfId="0" applyNumberFormat="1" applyFont="1" applyFill="1" applyBorder="1" applyAlignment="1">
      <alignment horizontal="right" vertical="center"/>
    </xf>
    <xf numFmtId="0" fontId="41" fillId="0" borderId="17" xfId="0" applyFont="1" applyFill="1" applyBorder="1" applyAlignment="1">
      <alignment horizontal="center" vertical="center" wrapText="1"/>
    </xf>
    <xf numFmtId="49" fontId="41" fillId="0" borderId="18" xfId="0" applyNumberFormat="1" applyFont="1" applyFill="1" applyBorder="1" applyAlignment="1">
      <alignment horizontal="center" vertical="center" wrapText="1"/>
    </xf>
    <xf numFmtId="1" fontId="34" fillId="0" borderId="1" xfId="0" applyNumberFormat="1" applyFont="1" applyFill="1" applyBorder="1" applyAlignment="1">
      <alignment horizontal="right" vertical="center"/>
    </xf>
    <xf numFmtId="49" fontId="41" fillId="0" borderId="12" xfId="0" applyNumberFormat="1" applyFont="1" applyFill="1" applyBorder="1" applyAlignment="1">
      <alignment horizontal="center" vertical="center" wrapText="1"/>
    </xf>
    <xf numFmtId="1" fontId="41" fillId="0" borderId="1" xfId="0" applyNumberFormat="1" applyFont="1" applyFill="1" applyBorder="1" applyAlignment="1">
      <alignment vertical="center" wrapText="1"/>
    </xf>
    <xf numFmtId="1" fontId="41" fillId="0" borderId="12" xfId="0" applyNumberFormat="1" applyFont="1" applyFill="1" applyBorder="1" applyAlignment="1">
      <alignment vertical="center" wrapText="1"/>
    </xf>
    <xf numFmtId="1" fontId="15" fillId="0" borderId="15" xfId="0" applyNumberFormat="1" applyFont="1" applyFill="1" applyBorder="1" applyAlignment="1">
      <alignment vertical="center" wrapText="1"/>
    </xf>
    <xf numFmtId="3" fontId="15" fillId="0" borderId="15" xfId="0" applyNumberFormat="1" applyFont="1" applyFill="1" applyBorder="1" applyAlignment="1">
      <alignment vertical="center" wrapText="1"/>
    </xf>
    <xf numFmtId="1" fontId="47" fillId="0" borderId="15" xfId="0" applyNumberFormat="1" applyFont="1" applyFill="1" applyBorder="1" applyAlignment="1">
      <alignment vertical="center" wrapText="1"/>
    </xf>
    <xf numFmtId="3" fontId="47" fillId="0" borderId="15" xfId="0" applyNumberFormat="1" applyFont="1" applyFill="1" applyBorder="1" applyAlignment="1">
      <alignment vertical="center" wrapText="1"/>
    </xf>
    <xf numFmtId="0" fontId="49" fillId="0" borderId="14" xfId="0" applyFont="1" applyFill="1" applyBorder="1" applyAlignment="1">
      <alignment horizontal="center" vertical="center" wrapText="1"/>
    </xf>
    <xf numFmtId="0" fontId="49" fillId="0" borderId="15" xfId="0" applyFont="1" applyFill="1" applyBorder="1" applyAlignment="1">
      <alignment horizontal="center" vertical="center" wrapText="1"/>
    </xf>
    <xf numFmtId="0" fontId="50" fillId="0" borderId="14" xfId="0" applyFont="1" applyFill="1" applyBorder="1" applyAlignment="1">
      <alignment horizontal="center" vertical="center" wrapText="1"/>
    </xf>
    <xf numFmtId="0" fontId="50" fillId="0" borderId="15" xfId="0" applyFont="1" applyFill="1" applyBorder="1" applyAlignment="1">
      <alignment horizontal="center" vertical="center" wrapText="1"/>
    </xf>
    <xf numFmtId="49" fontId="33" fillId="0" borderId="15" xfId="0" applyNumberFormat="1" applyFont="1" applyFill="1" applyBorder="1" applyAlignment="1">
      <alignment horizontal="center" vertical="center" wrapText="1"/>
    </xf>
    <xf numFmtId="0" fontId="47" fillId="0" borderId="14" xfId="0" applyFont="1" applyFill="1" applyBorder="1" applyAlignment="1">
      <alignment horizontal="center" vertical="center" wrapText="1"/>
    </xf>
    <xf numFmtId="0" fontId="41" fillId="0" borderId="15" xfId="0" applyFont="1" applyFill="1" applyBorder="1" applyAlignment="1">
      <alignment horizontal="center" vertical="center" wrapText="1"/>
    </xf>
    <xf numFmtId="49" fontId="41" fillId="0" borderId="15" xfId="0" applyNumberFormat="1" applyFont="1" applyFill="1" applyBorder="1" applyAlignment="1">
      <alignment horizontal="center" vertical="center" wrapText="1"/>
    </xf>
    <xf numFmtId="0" fontId="41" fillId="0" borderId="11" xfId="0" applyFont="1" applyFill="1" applyBorder="1" applyAlignment="1">
      <alignment horizontal="center" vertical="center" wrapText="1"/>
    </xf>
    <xf numFmtId="3" fontId="41" fillId="0" borderId="18" xfId="0" applyNumberFormat="1" applyFont="1" applyFill="1" applyBorder="1" applyAlignment="1">
      <alignment vertical="center" wrapText="1"/>
    </xf>
    <xf numFmtId="3" fontId="41" fillId="0" borderId="1" xfId="0" applyNumberFormat="1" applyFont="1" applyFill="1" applyBorder="1" applyAlignment="1">
      <alignment vertical="center" wrapText="1"/>
    </xf>
    <xf numFmtId="3" fontId="41" fillId="0" borderId="12" xfId="0" applyNumberFormat="1" applyFont="1" applyFill="1" applyBorder="1" applyAlignment="1">
      <alignment vertical="center" wrapText="1"/>
    </xf>
    <xf numFmtId="0" fontId="15" fillId="0" borderId="15" xfId="0" applyFont="1" applyFill="1" applyBorder="1" applyAlignment="1">
      <alignment horizontal="center" vertical="center"/>
    </xf>
    <xf numFmtId="0" fontId="41" fillId="0" borderId="0" xfId="0" applyFont="1" applyFill="1" applyAlignment="1">
      <alignment horizontal="center" vertical="center"/>
    </xf>
    <xf numFmtId="3" fontId="41" fillId="0" borderId="0" xfId="0" applyNumberFormat="1" applyFont="1" applyFill="1" applyBorder="1" applyAlignment="1">
      <alignment horizontal="right" vertical="center"/>
    </xf>
    <xf numFmtId="0" fontId="16" fillId="0" borderId="0" xfId="0" applyFont="1" applyFill="1" applyAlignment="1">
      <alignment horizontal="left" vertical="center"/>
    </xf>
    <xf numFmtId="3" fontId="16" fillId="0" borderId="0" xfId="0" applyNumberFormat="1" applyFont="1" applyFill="1" applyAlignment="1">
      <alignment horizontal="left" vertical="center"/>
    </xf>
    <xf numFmtId="2" fontId="15" fillId="0" borderId="0" xfId="0" applyNumberFormat="1" applyFont="1" applyFill="1" applyAlignment="1">
      <alignment horizontal="left" vertical="center"/>
    </xf>
    <xf numFmtId="0" fontId="20" fillId="0" borderId="0" xfId="0" applyFont="1" applyFill="1"/>
    <xf numFmtId="49" fontId="13" fillId="0" borderId="0" xfId="0" applyNumberFormat="1" applyFont="1" applyFill="1" applyAlignment="1">
      <alignment horizontal="center" vertical="center"/>
    </xf>
    <xf numFmtId="49" fontId="15" fillId="0" borderId="0" xfId="0" applyNumberFormat="1" applyFont="1" applyFill="1" applyAlignment="1">
      <alignment horizontal="left" vertical="center"/>
    </xf>
    <xf numFmtId="3" fontId="13" fillId="0" borderId="0" xfId="0" applyNumberFormat="1" applyFont="1" applyFill="1" applyAlignment="1">
      <alignment horizontal="right" vertical="center"/>
    </xf>
    <xf numFmtId="0" fontId="15" fillId="0" borderId="0" xfId="0" applyFont="1" applyFill="1" applyAlignment="1">
      <alignment horizontal="center"/>
    </xf>
    <xf numFmtId="168" fontId="7" fillId="0" borderId="0" xfId="0" applyNumberFormat="1" applyFont="1" applyFill="1" applyAlignment="1">
      <alignment horizontal="right" vertical="center"/>
    </xf>
    <xf numFmtId="49" fontId="7" fillId="0" borderId="0" xfId="0" applyNumberFormat="1" applyFont="1" applyFill="1" applyAlignment="1">
      <alignment vertical="center"/>
    </xf>
    <xf numFmtId="4" fontId="7" fillId="0" borderId="0" xfId="0" applyNumberFormat="1" applyFont="1" applyFill="1" applyAlignment="1">
      <alignment horizontal="right" vertical="center"/>
    </xf>
    <xf numFmtId="170" fontId="51" fillId="0" borderId="0" xfId="0" applyNumberFormat="1" applyFont="1" applyFill="1" applyAlignment="1">
      <alignment horizontal="center"/>
    </xf>
    <xf numFmtId="3" fontId="7" fillId="0" borderId="0" xfId="0" applyNumberFormat="1" applyFont="1" applyFill="1" applyAlignment="1">
      <alignment horizontal="right" vertical="center"/>
    </xf>
    <xf numFmtId="4" fontId="9" fillId="0" borderId="0" xfId="0" applyNumberFormat="1" applyFont="1" applyFill="1" applyAlignment="1">
      <alignment horizontal="right" vertical="center"/>
    </xf>
    <xf numFmtId="3" fontId="9" fillId="0" borderId="0" xfId="0" applyNumberFormat="1" applyFont="1" applyFill="1" applyAlignment="1">
      <alignment horizontal="right" vertical="center"/>
    </xf>
    <xf numFmtId="176" fontId="45" fillId="2" borderId="0" xfId="0" applyNumberFormat="1" applyFont="1" applyFill="1"/>
    <xf numFmtId="4" fontId="6" fillId="0" borderId="1" xfId="0" applyNumberFormat="1" applyFont="1" applyBorder="1" applyAlignment="1">
      <alignment horizontal="center"/>
    </xf>
    <xf numFmtId="4" fontId="5" fillId="0" borderId="1" xfId="0" applyNumberFormat="1"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7" fillId="0" borderId="1" xfId="0" applyFont="1" applyBorder="1" applyAlignment="1">
      <alignment wrapText="1"/>
    </xf>
    <xf numFmtId="0" fontId="6" fillId="0" borderId="9" xfId="0" applyFont="1" applyBorder="1" applyAlignment="1">
      <alignment horizontal="centerContinuous" vertical="center"/>
    </xf>
    <xf numFmtId="0" fontId="5" fillId="0" borderId="11" xfId="0" applyFont="1" applyBorder="1" applyAlignment="1">
      <alignment horizontal="centerContinuous" vertical="center"/>
    </xf>
    <xf numFmtId="49" fontId="6" fillId="0" borderId="9" xfId="0" applyNumberFormat="1" applyFont="1" applyBorder="1" applyAlignment="1">
      <alignment horizontal="center" vertical="center"/>
    </xf>
    <xf numFmtId="0" fontId="5" fillId="0" borderId="9" xfId="0" applyFont="1" applyBorder="1" applyAlignment="1">
      <alignment horizontal="center" vertical="center"/>
    </xf>
    <xf numFmtId="175" fontId="6" fillId="0" borderId="22" xfId="0" applyNumberFormat="1" applyFont="1" applyBorder="1" applyAlignment="1">
      <alignment horizontal="center"/>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168" fontId="7" fillId="2" borderId="10" xfId="0" applyNumberFormat="1" applyFont="1" applyFill="1" applyBorder="1" applyAlignment="1">
      <alignment horizontal="center" vertical="center" wrapText="1"/>
    </xf>
    <xf numFmtId="49" fontId="7" fillId="2" borderId="26" xfId="0" applyNumberFormat="1" applyFont="1" applyFill="1" applyBorder="1" applyAlignment="1">
      <alignment horizontal="center" vertical="center" wrapText="1"/>
    </xf>
    <xf numFmtId="0" fontId="5" fillId="2" borderId="9" xfId="0" applyFont="1" applyFill="1" applyBorder="1"/>
    <xf numFmtId="49" fontId="5" fillId="2" borderId="11" xfId="0" applyNumberFormat="1" applyFont="1" applyFill="1" applyBorder="1" applyAlignment="1">
      <alignment horizontal="center" vertical="center" wrapText="1"/>
    </xf>
    <xf numFmtId="0" fontId="5" fillId="0" borderId="26" xfId="0" applyFont="1" applyBorder="1" applyAlignment="1">
      <alignment horizontal="center" vertical="top" wrapText="1"/>
    </xf>
    <xf numFmtId="0" fontId="5" fillId="0" borderId="27" xfId="0" applyFont="1" applyBorder="1" applyAlignment="1">
      <alignment horizontal="center" vertical="top" wrapText="1"/>
    </xf>
    <xf numFmtId="0" fontId="5" fillId="0" borderId="52" xfId="0" applyFont="1" applyBorder="1" applyAlignment="1">
      <alignment horizontal="center" vertical="top" wrapText="1"/>
    </xf>
    <xf numFmtId="0" fontId="5" fillId="0" borderId="14" xfId="0" applyFont="1" applyBorder="1" applyAlignment="1">
      <alignment horizontal="center" vertical="top" wrapText="1"/>
    </xf>
    <xf numFmtId="0" fontId="5" fillId="0" borderId="15" xfId="0" applyFont="1" applyBorder="1" applyAlignment="1">
      <alignment horizontal="center" vertical="top" wrapText="1"/>
    </xf>
    <xf numFmtId="0" fontId="5" fillId="0" borderId="15" xfId="0" applyFont="1" applyBorder="1" applyAlignment="1">
      <alignment horizontal="center" vertical="center" wrapText="1"/>
    </xf>
    <xf numFmtId="1" fontId="7" fillId="0" borderId="60" xfId="0" applyNumberFormat="1" applyFont="1" applyBorder="1" applyAlignment="1">
      <alignment horizontal="center" vertical="center" wrapText="1"/>
    </xf>
    <xf numFmtId="167" fontId="20" fillId="2" borderId="60" xfId="0" applyNumberFormat="1" applyFont="1" applyFill="1" applyBorder="1" applyAlignment="1">
      <alignment horizontal="right" vertical="center" wrapText="1"/>
    </xf>
    <xf numFmtId="167" fontId="24" fillId="0" borderId="59" xfId="1" applyNumberFormat="1" applyFont="1" applyFill="1" applyBorder="1" applyAlignment="1">
      <alignment horizontal="right" vertical="center" wrapText="1"/>
    </xf>
    <xf numFmtId="3" fontId="20" fillId="3" borderId="16" xfId="0" applyNumberFormat="1" applyFont="1" applyFill="1" applyBorder="1" applyAlignment="1">
      <alignment horizontal="center" vertical="center" wrapText="1"/>
    </xf>
    <xf numFmtId="0" fontId="7" fillId="0" borderId="0" xfId="0" applyFont="1" applyAlignment="1">
      <alignment horizontal="left"/>
    </xf>
    <xf numFmtId="167" fontId="25" fillId="0" borderId="18" xfId="1" applyNumberFormat="1" applyFont="1" applyFill="1" applyBorder="1" applyAlignment="1">
      <alignment horizontal="right" vertical="center" wrapText="1"/>
    </xf>
    <xf numFmtId="3" fontId="25" fillId="2" borderId="27" xfId="0" applyNumberFormat="1" applyFont="1" applyFill="1" applyBorder="1" applyAlignment="1">
      <alignment horizontal="right" vertical="center"/>
    </xf>
    <xf numFmtId="3" fontId="25" fillId="0" borderId="18" xfId="0" applyNumberFormat="1" applyFont="1" applyBorder="1" applyAlignment="1">
      <alignment horizontal="right" vertical="center"/>
    </xf>
    <xf numFmtId="9" fontId="25" fillId="0" borderId="18" xfId="0" applyNumberFormat="1" applyFont="1" applyBorder="1" applyAlignment="1">
      <alignment horizontal="right" vertical="center"/>
    </xf>
    <xf numFmtId="3" fontId="25" fillId="2" borderId="1" xfId="0" quotePrefix="1" applyNumberFormat="1" applyFont="1" applyFill="1" applyBorder="1" applyAlignment="1">
      <alignment horizontal="right" vertical="center" wrapText="1"/>
    </xf>
    <xf numFmtId="49" fontId="9" fillId="0" borderId="49" xfId="0" applyNumberFormat="1" applyFont="1" applyBorder="1" applyAlignment="1">
      <alignment horizontal="center" vertical="center" wrapText="1"/>
    </xf>
    <xf numFmtId="0" fontId="9" fillId="0" borderId="15" xfId="0" applyFont="1" applyBorder="1" applyAlignment="1">
      <alignment horizontal="center"/>
    </xf>
    <xf numFmtId="0" fontId="9" fillId="0" borderId="16" xfId="0" applyFont="1" applyBorder="1" applyAlignment="1">
      <alignment horizontal="center"/>
    </xf>
    <xf numFmtId="0" fontId="9" fillId="0" borderId="0" xfId="0" applyFont="1" applyAlignment="1">
      <alignment horizontal="center"/>
    </xf>
    <xf numFmtId="3" fontId="13" fillId="0" borderId="52" xfId="0" applyNumberFormat="1" applyFont="1" applyBorder="1" applyAlignment="1">
      <alignment horizontal="right" wrapText="1"/>
    </xf>
    <xf numFmtId="3" fontId="13" fillId="0" borderId="27" xfId="0" applyNumberFormat="1" applyFont="1" applyBorder="1" applyAlignment="1">
      <alignment horizontal="right"/>
    </xf>
    <xf numFmtId="9" fontId="13" fillId="0" borderId="16" xfId="0" applyNumberFormat="1" applyFont="1" applyBorder="1" applyAlignment="1">
      <alignment horizontal="right"/>
    </xf>
    <xf numFmtId="9" fontId="13" fillId="0" borderId="10" xfId="0" applyNumberFormat="1" applyFont="1" applyBorder="1" applyAlignment="1">
      <alignment horizontal="right"/>
    </xf>
    <xf numFmtId="9" fontId="37" fillId="0" borderId="10" xfId="0" applyNumberFormat="1" applyFont="1" applyBorder="1" applyAlignment="1">
      <alignment horizontal="right"/>
    </xf>
    <xf numFmtId="9" fontId="7" fillId="0" borderId="10" xfId="0" applyNumberFormat="1" applyFont="1" applyBorder="1" applyAlignment="1">
      <alignment horizontal="right"/>
    </xf>
    <xf numFmtId="9" fontId="37" fillId="0" borderId="13" xfId="0" applyNumberFormat="1" applyFont="1" applyBorder="1" applyAlignment="1">
      <alignment horizontal="right"/>
    </xf>
    <xf numFmtId="3" fontId="13" fillId="0" borderId="49" xfId="0" applyNumberFormat="1" applyFont="1" applyBorder="1" applyAlignment="1">
      <alignment horizontal="right" vertical="center" wrapText="1"/>
    </xf>
    <xf numFmtId="3" fontId="13" fillId="0" borderId="15" xfId="0" applyNumberFormat="1" applyFont="1" applyBorder="1" applyAlignment="1">
      <alignment horizontal="right"/>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168" fontId="41" fillId="0" borderId="13" xfId="0" applyNumberFormat="1" applyFont="1" applyFill="1" applyBorder="1" applyAlignment="1">
      <alignment horizontal="right" vertical="center"/>
    </xf>
    <xf numFmtId="0" fontId="7" fillId="0" borderId="0" xfId="0" applyFont="1" applyFill="1" applyAlignment="1">
      <alignment horizontal="left"/>
    </xf>
    <xf numFmtId="0" fontId="15" fillId="0" borderId="0" xfId="0" applyFont="1" applyFill="1" applyAlignment="1">
      <alignment horizontal="left" vertical="center"/>
    </xf>
    <xf numFmtId="0" fontId="7" fillId="0" borderId="0" xfId="0" applyFont="1" applyFill="1" applyAlignment="1">
      <alignment horizontal="right"/>
    </xf>
    <xf numFmtId="3" fontId="7" fillId="0" borderId="0" xfId="0" applyNumberFormat="1" applyFont="1" applyFill="1" applyAlignment="1">
      <alignment vertical="center"/>
    </xf>
    <xf numFmtId="3" fontId="47" fillId="0" borderId="0" xfId="0" applyNumberFormat="1" applyFont="1" applyFill="1" applyAlignment="1">
      <alignment horizontal="left" vertical="center"/>
    </xf>
    <xf numFmtId="49" fontId="47" fillId="0" borderId="15" xfId="0" applyNumberFormat="1" applyFont="1" applyFill="1" applyBorder="1" applyAlignment="1">
      <alignment horizontal="center" vertical="center"/>
    </xf>
    <xf numFmtId="0" fontId="41" fillId="0" borderId="18" xfId="0" applyFont="1" applyFill="1" applyBorder="1" applyAlignment="1">
      <alignment horizontal="right" vertical="center"/>
    </xf>
    <xf numFmtId="49" fontId="34" fillId="0" borderId="9" xfId="0" applyNumberFormat="1" applyFont="1" applyFill="1" applyBorder="1" applyAlignment="1">
      <alignment horizontal="center" vertical="center" wrapText="1"/>
    </xf>
    <xf numFmtId="0" fontId="41" fillId="0" borderId="1" xfId="0" applyFont="1" applyFill="1" applyBorder="1" applyAlignment="1">
      <alignment horizontal="right" vertical="center"/>
    </xf>
    <xf numFmtId="3" fontId="41" fillId="0" borderId="1" xfId="0" applyNumberFormat="1" applyFont="1" applyFill="1" applyBorder="1" applyAlignment="1">
      <alignment vertical="center"/>
    </xf>
    <xf numFmtId="0" fontId="34" fillId="0" borderId="12" xfId="0" applyFont="1" applyFill="1" applyBorder="1" applyAlignment="1">
      <alignment horizontal="center" vertical="center" wrapText="1"/>
    </xf>
    <xf numFmtId="0" fontId="34" fillId="0" borderId="1" xfId="0" applyFont="1" applyFill="1" applyBorder="1" applyAlignment="1">
      <alignment horizontal="right" vertical="center"/>
    </xf>
    <xf numFmtId="49" fontId="41" fillId="0" borderId="1" xfId="0" applyNumberFormat="1" applyFont="1" applyFill="1" applyBorder="1" applyAlignment="1">
      <alignment horizontal="center" vertical="center" wrapText="1"/>
    </xf>
    <xf numFmtId="0" fontId="41" fillId="0" borderId="12" xfId="0" applyFont="1" applyFill="1" applyBorder="1" applyAlignment="1">
      <alignment horizontal="right" vertical="center"/>
    </xf>
    <xf numFmtId="0" fontId="34" fillId="0" borderId="11" xfId="0" applyFont="1" applyFill="1" applyBorder="1" applyAlignment="1">
      <alignment horizontal="center" vertical="center" wrapText="1"/>
    </xf>
    <xf numFmtId="49" fontId="41" fillId="0" borderId="11" xfId="0" applyNumberFormat="1" applyFont="1" applyFill="1" applyBorder="1" applyAlignment="1">
      <alignment horizontal="center" vertical="center" wrapText="1"/>
    </xf>
    <xf numFmtId="0" fontId="41" fillId="0" borderId="9" xfId="0" applyFont="1" applyFill="1" applyBorder="1" applyAlignment="1">
      <alignment horizontal="center" vertical="center" wrapText="1"/>
    </xf>
    <xf numFmtId="0" fontId="55" fillId="0" borderId="10" xfId="0" applyFont="1" applyBorder="1" applyAlignment="1">
      <alignment vertical="center" wrapText="1"/>
    </xf>
    <xf numFmtId="3" fontId="7" fillId="0" borderId="0" xfId="0" applyNumberFormat="1" applyFont="1" applyBorder="1" applyAlignment="1">
      <alignment horizontal="center" wrapText="1"/>
    </xf>
    <xf numFmtId="177" fontId="6" fillId="0" borderId="10" xfId="0" applyNumberFormat="1" applyFont="1" applyBorder="1" applyAlignment="1">
      <alignment horizontal="center"/>
    </xf>
    <xf numFmtId="177" fontId="5" fillId="0" borderId="10" xfId="0" applyNumberFormat="1" applyFont="1" applyBorder="1" applyAlignment="1">
      <alignment horizontal="center"/>
    </xf>
    <xf numFmtId="2" fontId="6" fillId="0" borderId="1" xfId="0" applyNumberFormat="1" applyFont="1" applyBorder="1" applyAlignment="1">
      <alignment horizontal="center"/>
    </xf>
    <xf numFmtId="2" fontId="5" fillId="0" borderId="12" xfId="0" applyNumberFormat="1" applyFont="1" applyBorder="1" applyAlignment="1">
      <alignment horizontal="center"/>
    </xf>
    <xf numFmtId="3" fontId="13" fillId="0" borderId="1" xfId="0" applyNumberFormat="1" applyFont="1" applyBorder="1" applyAlignment="1">
      <alignment horizontal="center" wrapText="1"/>
    </xf>
    <xf numFmtId="175" fontId="5" fillId="0" borderId="10" xfId="0" applyNumberFormat="1" applyFont="1" applyBorder="1" applyAlignment="1">
      <alignment horizontal="center"/>
    </xf>
    <xf numFmtId="170" fontId="35" fillId="2" borderId="10" xfId="0" applyNumberFormat="1" applyFont="1" applyFill="1" applyBorder="1" applyAlignment="1">
      <alignment horizontal="right" vertical="center" wrapText="1"/>
    </xf>
    <xf numFmtId="170" fontId="35" fillId="2" borderId="3" xfId="0" applyNumberFormat="1" applyFont="1" applyFill="1" applyBorder="1" applyAlignment="1">
      <alignment horizontal="right" vertical="center" wrapText="1"/>
    </xf>
    <xf numFmtId="178" fontId="6" fillId="0" borderId="10" xfId="0" applyNumberFormat="1" applyFont="1" applyBorder="1" applyAlignment="1">
      <alignment horizontal="center" vertical="center"/>
    </xf>
    <xf numFmtId="178" fontId="5" fillId="0" borderId="13" xfId="0" applyNumberFormat="1" applyFont="1" applyBorder="1" applyAlignment="1">
      <alignment horizontal="center" vertical="center"/>
    </xf>
    <xf numFmtId="178" fontId="6" fillId="0" borderId="13" xfId="0" applyNumberFormat="1" applyFont="1" applyBorder="1" applyAlignment="1">
      <alignment horizontal="center" vertical="center"/>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6" fillId="2" borderId="35" xfId="0" applyFont="1" applyFill="1" applyBorder="1" applyAlignment="1">
      <alignment horizontal="center" vertical="center" wrapText="1"/>
    </xf>
    <xf numFmtId="0" fontId="56" fillId="2" borderId="36" xfId="0" applyFont="1" applyFill="1" applyBorder="1" applyAlignment="1">
      <alignment horizontal="center" vertical="center" wrapText="1"/>
    </xf>
    <xf numFmtId="165" fontId="56" fillId="2" borderId="36" xfId="0" applyNumberFormat="1" applyFont="1" applyFill="1" applyBorder="1" applyAlignment="1">
      <alignment horizontal="center" vertical="center" wrapText="1"/>
    </xf>
    <xf numFmtId="0" fontId="56" fillId="2" borderId="51" xfId="0" applyFont="1" applyFill="1" applyBorder="1" applyAlignment="1">
      <alignment horizontal="center" vertical="center" wrapText="1"/>
    </xf>
    <xf numFmtId="171" fontId="6" fillId="0" borderId="10" xfId="0" applyNumberFormat="1" applyFont="1" applyBorder="1" applyAlignment="1">
      <alignment horizontal="center"/>
    </xf>
    <xf numFmtId="171" fontId="5" fillId="0" borderId="10" xfId="0" applyNumberFormat="1" applyFont="1" applyBorder="1" applyAlignment="1">
      <alignment horizontal="center"/>
    </xf>
    <xf numFmtId="0" fontId="6" fillId="0" borderId="50" xfId="0" applyFont="1" applyBorder="1" applyAlignment="1">
      <alignment horizontal="center" vertical="center"/>
    </xf>
    <xf numFmtId="3" fontId="13" fillId="0" borderId="18" xfId="0" applyNumberFormat="1" applyFont="1" applyBorder="1" applyAlignment="1">
      <alignment horizontal="center" wrapText="1"/>
    </xf>
    <xf numFmtId="4" fontId="6" fillId="0" borderId="18" xfId="0" applyNumberFormat="1" applyFont="1" applyBorder="1" applyAlignment="1">
      <alignment horizontal="center"/>
    </xf>
    <xf numFmtId="170" fontId="6" fillId="0" borderId="19" xfId="0" applyNumberFormat="1" applyFont="1" applyBorder="1" applyAlignment="1">
      <alignment horizontal="center"/>
    </xf>
    <xf numFmtId="0" fontId="0" fillId="0" borderId="15" xfId="0" applyBorder="1"/>
    <xf numFmtId="0" fontId="0" fillId="0" borderId="16" xfId="0" applyBorder="1"/>
    <xf numFmtId="49" fontId="13" fillId="0" borderId="50" xfId="0" applyNumberFormat="1" applyFont="1" applyBorder="1" applyAlignment="1">
      <alignment horizontal="center" vertical="center" wrapText="1"/>
    </xf>
    <xf numFmtId="165" fontId="5" fillId="0" borderId="4" xfId="0" applyNumberFormat="1" applyFont="1" applyBorder="1" applyAlignment="1">
      <alignment horizontal="center" vertical="center"/>
    </xf>
    <xf numFmtId="0" fontId="6" fillId="0" borderId="50" xfId="0" applyFont="1" applyBorder="1" applyAlignment="1">
      <alignment horizontal="center"/>
    </xf>
    <xf numFmtId="0" fontId="6" fillId="0" borderId="48" xfId="0" applyFont="1" applyBorder="1" applyAlignment="1">
      <alignment horizontal="left" vertical="center"/>
    </xf>
    <xf numFmtId="0" fontId="6" fillId="0" borderId="30" xfId="0" applyFont="1" applyBorder="1" applyAlignment="1">
      <alignment horizontal="centerContinuous" vertical="center"/>
    </xf>
    <xf numFmtId="3" fontId="6" fillId="0" borderId="18" xfId="0" applyNumberFormat="1" applyFont="1" applyBorder="1" applyAlignment="1">
      <alignment horizontal="center"/>
    </xf>
    <xf numFmtId="170" fontId="5" fillId="0" borderId="19" xfId="0" applyNumberFormat="1" applyFont="1" applyBorder="1" applyAlignment="1">
      <alignment horizontal="center"/>
    </xf>
    <xf numFmtId="0" fontId="7" fillId="2" borderId="12" xfId="3" applyFont="1" applyFill="1" applyBorder="1" applyAlignment="1">
      <alignment horizontal="left" vertical="top" wrapText="1"/>
    </xf>
    <xf numFmtId="0" fontId="5" fillId="2" borderId="3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5" fillId="0" borderId="0" xfId="0" applyFont="1" applyFill="1" applyAlignment="1">
      <alignment horizontal="left" vertical="center"/>
    </xf>
    <xf numFmtId="0" fontId="41" fillId="0" borderId="12" xfId="0" applyFont="1" applyFill="1" applyBorder="1" applyAlignment="1">
      <alignment horizontal="center" vertical="center" wrapText="1"/>
    </xf>
    <xf numFmtId="0" fontId="41" fillId="0" borderId="18" xfId="0"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quotePrefix="1" applyFont="1" applyFill="1" applyBorder="1" applyAlignment="1">
      <alignment vertical="top" wrapText="1"/>
    </xf>
    <xf numFmtId="0" fontId="34" fillId="0" borderId="26" xfId="0" applyFont="1" applyFill="1" applyBorder="1" applyAlignment="1">
      <alignment horizontal="center" vertical="center" wrapText="1"/>
    </xf>
    <xf numFmtId="0" fontId="34" fillId="0" borderId="27" xfId="0" applyFont="1" applyFill="1" applyBorder="1" applyAlignment="1">
      <alignment horizontal="center" vertical="center" wrapText="1"/>
    </xf>
    <xf numFmtId="0" fontId="41" fillId="0" borderId="27" xfId="0" applyFont="1" applyFill="1" applyBorder="1" applyAlignment="1">
      <alignment horizontal="right" vertical="center"/>
    </xf>
    <xf numFmtId="0" fontId="9" fillId="0" borderId="15" xfId="0" applyFont="1" applyFill="1" applyBorder="1" applyAlignment="1">
      <alignment horizontal="center" vertical="center"/>
    </xf>
    <xf numFmtId="0" fontId="9" fillId="0" borderId="16" xfId="0" applyFont="1" applyFill="1" applyBorder="1" applyAlignment="1">
      <alignment horizontal="center" vertical="center"/>
    </xf>
    <xf numFmtId="0" fontId="7" fillId="0" borderId="27" xfId="0" quotePrefix="1" applyFont="1" applyFill="1" applyBorder="1" applyAlignment="1">
      <alignment vertical="top" wrapText="1"/>
    </xf>
    <xf numFmtId="0" fontId="5" fillId="0" borderId="18" xfId="0" quotePrefix="1" applyFont="1" applyFill="1" applyBorder="1" applyAlignment="1">
      <alignment horizontal="left" vertical="top" wrapText="1"/>
    </xf>
    <xf numFmtId="0" fontId="5" fillId="0" borderId="27" xfId="0" quotePrefix="1" applyFont="1" applyFill="1" applyBorder="1" applyAlignment="1">
      <alignment vertical="top" wrapText="1"/>
    </xf>
    <xf numFmtId="0" fontId="5" fillId="0" borderId="18" xfId="0" quotePrefix="1" applyFont="1" applyFill="1" applyBorder="1" applyAlignment="1">
      <alignment vertical="top" wrapText="1"/>
    </xf>
    <xf numFmtId="0" fontId="5" fillId="0" borderId="12" xfId="0" quotePrefix="1" applyFont="1" applyFill="1" applyBorder="1" applyAlignment="1">
      <alignment vertical="top" wrapText="1"/>
    </xf>
    <xf numFmtId="0" fontId="7" fillId="0" borderId="1" xfId="0" quotePrefix="1" applyFont="1" applyFill="1" applyBorder="1" applyAlignment="1">
      <alignment vertical="top" wrapText="1"/>
    </xf>
    <xf numFmtId="0" fontId="33" fillId="0" borderId="35" xfId="0" applyFont="1" applyFill="1" applyBorder="1" applyAlignment="1">
      <alignment horizontal="center" vertical="center" wrapText="1"/>
    </xf>
    <xf numFmtId="0" fontId="33" fillId="0" borderId="36" xfId="0" applyFont="1" applyFill="1" applyBorder="1" applyAlignment="1">
      <alignment horizontal="center" vertical="center" wrapText="1"/>
    </xf>
    <xf numFmtId="3" fontId="15" fillId="0" borderId="36" xfId="0" applyNumberFormat="1" applyFont="1" applyFill="1" applyBorder="1" applyAlignment="1">
      <alignment horizontal="right" vertical="center"/>
    </xf>
    <xf numFmtId="3" fontId="41" fillId="0" borderId="36" xfId="0" applyNumberFormat="1" applyFont="1" applyFill="1" applyBorder="1" applyAlignment="1">
      <alignment horizontal="right" vertical="center"/>
    </xf>
    <xf numFmtId="9" fontId="15" fillId="0" borderId="51" xfId="0" applyNumberFormat="1" applyFont="1" applyFill="1" applyBorder="1" applyAlignment="1">
      <alignment horizontal="right" vertical="center"/>
    </xf>
    <xf numFmtId="174" fontId="5" fillId="2" borderId="1" xfId="0" applyNumberFormat="1" applyFont="1" applyFill="1" applyBorder="1" applyAlignment="1">
      <alignment horizontal="right" vertical="center"/>
    </xf>
    <xf numFmtId="0" fontId="57" fillId="0" borderId="0" xfId="0" applyFont="1" applyAlignment="1">
      <alignment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173" fontId="6" fillId="2" borderId="15" xfId="0" applyNumberFormat="1" applyFont="1" applyFill="1" applyBorder="1" applyAlignment="1">
      <alignment vertical="center"/>
    </xf>
    <xf numFmtId="173" fontId="6" fillId="2" borderId="15" xfId="0" applyNumberFormat="1" applyFont="1" applyFill="1" applyBorder="1" applyAlignment="1">
      <alignment horizontal="right" vertical="center"/>
    </xf>
    <xf numFmtId="0" fontId="15" fillId="0" borderId="0" xfId="0" applyFont="1" applyAlignment="1">
      <alignment horizontal="left" vertical="center"/>
    </xf>
    <xf numFmtId="0" fontId="7" fillId="0" borderId="0" xfId="0" applyFont="1" applyAlignment="1">
      <alignment horizontal="left" vertical="center"/>
    </xf>
    <xf numFmtId="0" fontId="7" fillId="0" borderId="2" xfId="0" applyFont="1" applyBorder="1" applyAlignment="1">
      <alignment horizontal="left"/>
    </xf>
    <xf numFmtId="0" fontId="13" fillId="0" borderId="0" xfId="0" applyFont="1" applyAlignment="1">
      <alignment horizontal="center" vertical="center"/>
    </xf>
    <xf numFmtId="0" fontId="15" fillId="0" borderId="0" xfId="0" applyFont="1" applyAlignment="1">
      <alignment horizontal="center" vertical="center" wrapText="1"/>
    </xf>
    <xf numFmtId="167" fontId="20" fillId="2" borderId="15" xfId="0" applyNumberFormat="1" applyFont="1" applyFill="1" applyBorder="1" applyAlignment="1">
      <alignment horizontal="right" vertical="center" wrapText="1"/>
    </xf>
    <xf numFmtId="3" fontId="20" fillId="2" borderId="15" xfId="0" applyNumberFormat="1" applyFont="1" applyFill="1" applyBorder="1" applyAlignment="1">
      <alignment horizontal="right" vertical="center" wrapText="1"/>
    </xf>
    <xf numFmtId="49" fontId="3" fillId="2" borderId="18" xfId="0" applyNumberFormat="1" applyFont="1" applyFill="1" applyBorder="1" applyAlignment="1">
      <alignment horizontal="center" vertical="center" wrapText="1"/>
    </xf>
    <xf numFmtId="0" fontId="3" fillId="2" borderId="12" xfId="0" applyFont="1" applyFill="1" applyBorder="1" applyAlignment="1">
      <alignment horizontal="center" vertical="center" wrapText="1"/>
    </xf>
    <xf numFmtId="167" fontId="25" fillId="0" borderId="12" xfId="1" applyNumberFormat="1" applyFont="1" applyFill="1" applyBorder="1" applyAlignment="1">
      <alignment horizontal="right" vertical="center" wrapText="1"/>
    </xf>
    <xf numFmtId="0" fontId="13" fillId="2" borderId="0" xfId="0" applyFont="1" applyFill="1"/>
    <xf numFmtId="9" fontId="25" fillId="0" borderId="19" xfId="0" applyNumberFormat="1" applyFont="1" applyBorder="1" applyAlignment="1">
      <alignment horizontal="right" vertical="center"/>
    </xf>
    <xf numFmtId="9" fontId="25" fillId="0" borderId="10" xfId="0" applyNumberFormat="1" applyFont="1" applyBorder="1" applyAlignment="1">
      <alignment horizontal="center" vertical="center" wrapText="1"/>
    </xf>
    <xf numFmtId="3" fontId="24" fillId="0" borderId="1" xfId="0" applyNumberFormat="1" applyFont="1" applyBorder="1" applyAlignment="1">
      <alignment horizontal="center" vertical="center" wrapText="1"/>
    </xf>
    <xf numFmtId="9" fontId="24" fillId="0" borderId="10" xfId="0" applyNumberFormat="1" applyFont="1" applyBorder="1" applyAlignment="1">
      <alignment horizontal="center" vertical="center" wrapText="1"/>
    </xf>
    <xf numFmtId="3" fontId="25" fillId="0" borderId="1" xfId="0" applyNumberFormat="1" applyFont="1" applyBorder="1" applyAlignment="1">
      <alignment horizontal="center" vertical="center" wrapText="1"/>
    </xf>
    <xf numFmtId="3" fontId="24" fillId="0" borderId="1" xfId="0" quotePrefix="1" applyNumberFormat="1" applyFont="1" applyBorder="1" applyAlignment="1">
      <alignment horizontal="right" vertical="center" wrapText="1"/>
    </xf>
    <xf numFmtId="3" fontId="25" fillId="0" borderId="1" xfId="0" quotePrefix="1" applyNumberFormat="1" applyFont="1" applyBorder="1" applyAlignment="1">
      <alignment horizontal="right" vertical="center" wrapText="1"/>
    </xf>
    <xf numFmtId="3" fontId="25" fillId="0" borderId="1" xfId="0" applyNumberFormat="1" applyFont="1" applyBorder="1" applyAlignment="1">
      <alignment vertical="center" wrapText="1"/>
    </xf>
    <xf numFmtId="3" fontId="24" fillId="0" borderId="1" xfId="0" applyNumberFormat="1" applyFont="1" applyBorder="1" applyAlignment="1">
      <alignment vertical="center" wrapText="1"/>
    </xf>
    <xf numFmtId="0" fontId="25" fillId="0" borderId="0" xfId="0" applyFont="1" applyAlignment="1">
      <alignment horizontal="center" vertical="center" wrapText="1"/>
    </xf>
    <xf numFmtId="3" fontId="25" fillId="0" borderId="0" xfId="0" applyNumberFormat="1" applyFont="1"/>
    <xf numFmtId="3" fontId="3" fillId="0" borderId="1" xfId="0" applyNumberFormat="1" applyFont="1" applyBorder="1" applyAlignment="1">
      <alignment vertical="center"/>
    </xf>
    <xf numFmtId="0" fontId="60" fillId="0" borderId="0" xfId="0" applyFont="1" applyAlignment="1">
      <alignment horizontal="left" vertical="center"/>
    </xf>
    <xf numFmtId="3" fontId="13" fillId="2" borderId="0" xfId="0" applyNumberFormat="1" applyFont="1" applyFill="1"/>
    <xf numFmtId="3" fontId="24" fillId="2" borderId="1" xfId="0" applyNumberFormat="1" applyFont="1" applyFill="1" applyBorder="1" applyAlignment="1">
      <alignment horizontal="right" vertical="center" wrapText="1"/>
    </xf>
    <xf numFmtId="9" fontId="24" fillId="2" borderId="1" xfId="0" applyNumberFormat="1" applyFont="1" applyFill="1" applyBorder="1" applyAlignment="1">
      <alignment horizontal="center" vertical="center" wrapText="1"/>
    </xf>
    <xf numFmtId="9" fontId="25" fillId="2" borderId="10" xfId="0" applyNumberFormat="1" applyFont="1" applyFill="1" applyBorder="1" applyAlignment="1">
      <alignment horizontal="center" vertical="center" wrapText="1"/>
    </xf>
    <xf numFmtId="0" fontId="19" fillId="2" borderId="0" xfId="0" applyFont="1" applyFill="1"/>
    <xf numFmtId="9" fontId="24" fillId="0" borderId="10" xfId="0" applyNumberFormat="1" applyFont="1" applyBorder="1" applyAlignment="1">
      <alignment horizontal="right" vertical="center"/>
    </xf>
    <xf numFmtId="172" fontId="24" fillId="0" borderId="1" xfId="6" applyNumberFormat="1" applyFont="1" applyFill="1" applyBorder="1" applyAlignment="1">
      <alignment horizontal="right" vertical="center" wrapText="1"/>
    </xf>
    <xf numFmtId="9" fontId="25" fillId="0" borderId="1" xfId="0" applyNumberFormat="1" applyFont="1" applyBorder="1" applyAlignment="1">
      <alignment horizontal="center" vertical="center"/>
    </xf>
    <xf numFmtId="9" fontId="24" fillId="0" borderId="1" xfId="0" applyNumberFormat="1" applyFont="1" applyBorder="1" applyAlignment="1">
      <alignment horizontal="center" vertical="center"/>
    </xf>
    <xf numFmtId="168" fontId="24" fillId="0" borderId="1" xfId="0" applyNumberFormat="1" applyFont="1" applyBorder="1" applyAlignment="1">
      <alignment vertical="center"/>
    </xf>
    <xf numFmtId="168" fontId="25" fillId="0" borderId="1" xfId="0" applyNumberFormat="1" applyFont="1" applyBorder="1" applyAlignment="1">
      <alignment horizontal="center" vertical="center" wrapText="1"/>
    </xf>
    <xf numFmtId="168" fontId="25" fillId="0" borderId="10" xfId="0" applyNumberFormat="1" applyFont="1" applyBorder="1" applyAlignment="1">
      <alignment horizontal="center" vertical="center" wrapText="1"/>
    </xf>
    <xf numFmtId="0" fontId="25" fillId="0" borderId="9" xfId="0" applyFont="1" applyBorder="1" applyAlignment="1">
      <alignment horizontal="center" vertical="center"/>
    </xf>
    <xf numFmtId="0" fontId="25" fillId="0" borderId="1" xfId="0" applyFont="1" applyBorder="1" applyAlignment="1">
      <alignment horizontal="center" vertical="center"/>
    </xf>
    <xf numFmtId="49" fontId="25" fillId="0" borderId="1" xfId="0" applyNumberFormat="1" applyFont="1" applyBorder="1" applyAlignment="1">
      <alignment horizontal="center" vertical="center"/>
    </xf>
    <xf numFmtId="0" fontId="3" fillId="0" borderId="16" xfId="0" applyFont="1" applyBorder="1"/>
    <xf numFmtId="49" fontId="25" fillId="2" borderId="26" xfId="0" applyNumberFormat="1" applyFont="1" applyFill="1" applyBorder="1" applyAlignment="1">
      <alignment horizontal="center" vertical="center" wrapText="1"/>
    </xf>
    <xf numFmtId="49" fontId="3" fillId="0" borderId="27" xfId="0" applyNumberFormat="1" applyFont="1" applyBorder="1" applyAlignment="1">
      <alignment horizontal="center" vertical="center" wrapText="1"/>
    </xf>
    <xf numFmtId="0" fontId="19" fillId="0" borderId="16" xfId="0" applyFont="1" applyBorder="1"/>
    <xf numFmtId="9" fontId="19" fillId="0" borderId="16" xfId="0" applyNumberFormat="1" applyFont="1" applyBorder="1" applyAlignment="1">
      <alignment horizontal="right" vertical="center"/>
    </xf>
    <xf numFmtId="0" fontId="13" fillId="0" borderId="0" xfId="0" applyFont="1" applyBorder="1" applyAlignment="1">
      <alignment horizontal="center" vertical="center"/>
    </xf>
    <xf numFmtId="49" fontId="13" fillId="3" borderId="0" xfId="0" applyNumberFormat="1" applyFont="1" applyFill="1" applyBorder="1" applyAlignment="1">
      <alignment horizontal="center" vertical="center" wrapText="1"/>
    </xf>
    <xf numFmtId="49" fontId="13" fillId="0" borderId="0" xfId="0" applyNumberFormat="1" applyFont="1" applyBorder="1" applyAlignment="1">
      <alignment horizontal="center" vertical="center"/>
    </xf>
    <xf numFmtId="0" fontId="42" fillId="0" borderId="0" xfId="0" applyFont="1" applyBorder="1" applyAlignment="1">
      <alignment horizontal="center" vertical="center" wrapText="1"/>
    </xf>
    <xf numFmtId="0" fontId="27" fillId="0" borderId="0" xfId="0" applyFont="1" applyBorder="1" applyAlignment="1">
      <alignment horizontal="center" vertical="center" wrapText="1"/>
    </xf>
    <xf numFmtId="3" fontId="13" fillId="0" borderId="0" xfId="0" applyNumberFormat="1" applyFont="1" applyBorder="1" applyAlignment="1">
      <alignment horizontal="right" vertical="center" wrapText="1"/>
    </xf>
    <xf numFmtId="3" fontId="13" fillId="0" borderId="0" xfId="0" applyNumberFormat="1" applyFont="1" applyBorder="1" applyAlignment="1">
      <alignment horizontal="right"/>
    </xf>
    <xf numFmtId="9" fontId="13" fillId="0" borderId="0" xfId="0" applyNumberFormat="1" applyFont="1" applyBorder="1" applyAlignment="1">
      <alignment horizontal="right"/>
    </xf>
    <xf numFmtId="3" fontId="7" fillId="0" borderId="4" xfId="0" applyNumberFormat="1" applyFont="1" applyBorder="1" applyAlignment="1">
      <alignment horizontal="center" wrapText="1"/>
    </xf>
    <xf numFmtId="165" fontId="5" fillId="0" borderId="2" xfId="0" applyNumberFormat="1" applyFont="1" applyBorder="1" applyAlignment="1">
      <alignment horizontal="center" vertical="center"/>
    </xf>
    <xf numFmtId="4" fontId="5" fillId="0" borderId="18" xfId="0" applyNumberFormat="1" applyFont="1" applyBorder="1" applyAlignment="1">
      <alignment horizontal="center"/>
    </xf>
    <xf numFmtId="165" fontId="5" fillId="0" borderId="5" xfId="0" applyNumberFormat="1" applyFont="1" applyBorder="1" applyAlignment="1">
      <alignment horizontal="center" vertical="center"/>
    </xf>
    <xf numFmtId="0" fontId="6" fillId="0" borderId="55" xfId="0" applyFont="1" applyBorder="1" applyAlignment="1">
      <alignment horizontal="centerContinuous" vertical="center"/>
    </xf>
    <xf numFmtId="165" fontId="6" fillId="0" borderId="5" xfId="0" applyNumberFormat="1" applyFont="1" applyBorder="1" applyAlignment="1">
      <alignment horizontal="center" vertical="center"/>
    </xf>
    <xf numFmtId="3" fontId="6" fillId="0" borderId="1" xfId="0" applyNumberFormat="1" applyFont="1" applyBorder="1" applyAlignment="1">
      <alignment horizontal="center" vertical="center"/>
    </xf>
    <xf numFmtId="175" fontId="6" fillId="0" borderId="10" xfId="0" applyNumberFormat="1" applyFont="1" applyBorder="1" applyAlignment="1">
      <alignment horizontal="center" vertical="center"/>
    </xf>
    <xf numFmtId="0" fontId="36" fillId="0" borderId="0" xfId="0" applyFont="1" applyAlignment="1">
      <alignment horizontal="center"/>
    </xf>
    <xf numFmtId="0" fontId="7" fillId="0" borderId="0" xfId="0" applyFont="1" applyAlignment="1">
      <alignment horizontal="left"/>
    </xf>
    <xf numFmtId="0" fontId="15"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top" wrapText="1"/>
    </xf>
    <xf numFmtId="0" fontId="34" fillId="0" borderId="0" xfId="0" applyFont="1" applyAlignment="1">
      <alignment horizontal="center"/>
    </xf>
    <xf numFmtId="170" fontId="35" fillId="0" borderId="16" xfId="0" applyNumberFormat="1" applyFont="1" applyBorder="1" applyAlignment="1">
      <alignment horizontal="right" vertical="center" wrapText="1"/>
    </xf>
    <xf numFmtId="0" fontId="5" fillId="0" borderId="6" xfId="0" applyFont="1" applyBorder="1" applyAlignment="1">
      <alignment horizontal="left" vertical="center" wrapText="1"/>
    </xf>
    <xf numFmtId="0" fontId="5" fillId="0" borderId="8" xfId="0" applyFont="1" applyBorder="1" applyAlignment="1">
      <alignment vertical="center" wrapText="1"/>
    </xf>
    <xf numFmtId="3" fontId="5" fillId="0" borderId="6" xfId="0" applyNumberFormat="1" applyFont="1" applyBorder="1" applyAlignment="1">
      <alignment horizontal="right" vertical="center"/>
    </xf>
    <xf numFmtId="3" fontId="5" fillId="2" borderId="7" xfId="0" applyNumberFormat="1" applyFont="1" applyFill="1" applyBorder="1" applyAlignment="1">
      <alignment horizontal="right" vertical="center"/>
    </xf>
    <xf numFmtId="170" fontId="5" fillId="2" borderId="41" xfId="0" applyNumberFormat="1" applyFont="1" applyFill="1" applyBorder="1" applyAlignment="1">
      <alignment horizontal="right" vertical="center"/>
    </xf>
    <xf numFmtId="3" fontId="5" fillId="0" borderId="7" xfId="0" applyNumberFormat="1" applyFont="1" applyBorder="1" applyAlignment="1">
      <alignment horizontal="right" vertical="center"/>
    </xf>
    <xf numFmtId="170" fontId="5" fillId="2" borderId="8" xfId="0" applyNumberFormat="1" applyFont="1" applyFill="1" applyBorder="1" applyAlignment="1">
      <alignment horizontal="right" vertical="center"/>
    </xf>
    <xf numFmtId="3" fontId="5" fillId="0" borderId="31" xfId="0" applyNumberFormat="1" applyFont="1" applyBorder="1" applyAlignment="1">
      <alignment horizontal="right" vertical="center"/>
    </xf>
    <xf numFmtId="3" fontId="5" fillId="0" borderId="8" xfId="0" applyNumberFormat="1" applyFont="1" applyBorder="1" applyAlignment="1">
      <alignment horizontal="right" vertical="center" wrapText="1"/>
    </xf>
    <xf numFmtId="3" fontId="35" fillId="0" borderId="50" xfId="0" applyNumberFormat="1" applyFont="1" applyBorder="1" applyAlignment="1">
      <alignment horizontal="right" vertical="center"/>
    </xf>
    <xf numFmtId="3" fontId="35" fillId="0" borderId="7" xfId="0" applyNumberFormat="1" applyFont="1" applyBorder="1" applyAlignment="1">
      <alignment horizontal="right" vertical="center"/>
    </xf>
    <xf numFmtId="0" fontId="12" fillId="0" borderId="10" xfId="0" applyFont="1" applyBorder="1" applyAlignment="1">
      <alignment vertical="top" wrapText="1"/>
    </xf>
    <xf numFmtId="0" fontId="7" fillId="0" borderId="0" xfId="0" applyFont="1" applyAlignment="1"/>
    <xf numFmtId="0" fontId="7" fillId="0" borderId="2" xfId="0" applyFont="1" applyBorder="1" applyAlignment="1"/>
    <xf numFmtId="0" fontId="7" fillId="0" borderId="4" xfId="0" applyFont="1" applyBorder="1" applyAlignment="1"/>
    <xf numFmtId="0" fontId="6" fillId="0" borderId="24" xfId="0" applyFont="1" applyBorder="1" applyAlignment="1">
      <alignment vertical="center" wrapText="1"/>
    </xf>
    <xf numFmtId="0" fontId="6" fillId="0" borderId="29" xfId="0" applyFont="1" applyBorder="1" applyAlignment="1">
      <alignment vertical="center" wrapText="1"/>
    </xf>
    <xf numFmtId="3" fontId="6" fillId="0" borderId="34" xfId="0" applyNumberFormat="1" applyFont="1" applyBorder="1" applyAlignment="1">
      <alignment horizontal="right" vertical="center"/>
    </xf>
    <xf numFmtId="3" fontId="6" fillId="2" borderId="25" xfId="0" applyNumberFormat="1" applyFont="1" applyFill="1" applyBorder="1" applyAlignment="1">
      <alignment horizontal="right" vertical="center"/>
    </xf>
    <xf numFmtId="170" fontId="6" fillId="2" borderId="53" xfId="0" applyNumberFormat="1" applyFont="1" applyFill="1" applyBorder="1" applyAlignment="1">
      <alignment horizontal="right" vertical="center"/>
    </xf>
    <xf numFmtId="3" fontId="6" fillId="0" borderId="24" xfId="0" applyNumberFormat="1" applyFont="1" applyBorder="1" applyAlignment="1">
      <alignment horizontal="right" vertical="center"/>
    </xf>
    <xf numFmtId="3" fontId="6" fillId="0" borderId="25" xfId="0" applyNumberFormat="1" applyFont="1" applyBorder="1" applyAlignment="1">
      <alignment horizontal="right" vertical="center"/>
    </xf>
    <xf numFmtId="170" fontId="6" fillId="2" borderId="29" xfId="0" applyNumberFormat="1" applyFont="1" applyFill="1" applyBorder="1" applyAlignment="1">
      <alignment horizontal="right" vertical="center"/>
    </xf>
    <xf numFmtId="170" fontId="6" fillId="0" borderId="29" xfId="0" applyNumberFormat="1" applyFont="1" applyBorder="1" applyAlignment="1">
      <alignment horizontal="right" vertical="center"/>
    </xf>
    <xf numFmtId="170" fontId="5" fillId="0" borderId="10" xfId="0" applyNumberFormat="1" applyFont="1" applyBorder="1" applyAlignment="1">
      <alignment horizontal="right" vertical="center" wrapText="1"/>
    </xf>
    <xf numFmtId="49" fontId="5" fillId="2" borderId="1" xfId="0" applyNumberFormat="1" applyFont="1" applyFill="1" applyBorder="1" applyAlignment="1">
      <alignment horizontal="right" vertical="center"/>
    </xf>
    <xf numFmtId="49" fontId="8" fillId="2" borderId="3" xfId="0" applyNumberFormat="1" applyFont="1" applyFill="1" applyBorder="1" applyAlignment="1">
      <alignment horizontal="right" vertical="center"/>
    </xf>
    <xf numFmtId="49" fontId="8" fillId="2" borderId="1" xfId="0" applyNumberFormat="1" applyFont="1" applyFill="1" applyBorder="1" applyAlignment="1">
      <alignment horizontal="right" vertical="center"/>
    </xf>
    <xf numFmtId="49" fontId="8" fillId="2" borderId="10" xfId="0" applyNumberFormat="1" applyFont="1" applyFill="1" applyBorder="1" applyAlignment="1">
      <alignment horizontal="right" vertical="center"/>
    </xf>
    <xf numFmtId="0" fontId="6" fillId="2" borderId="3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1" xfId="0" applyFont="1" applyFill="1" applyBorder="1" applyAlignment="1">
      <alignment horizontal="center" vertical="center" wrapText="1"/>
    </xf>
    <xf numFmtId="49" fontId="25" fillId="0" borderId="11" xfId="0" applyNumberFormat="1" applyFont="1" applyBorder="1" applyAlignment="1">
      <alignment horizontal="center" vertical="center"/>
    </xf>
    <xf numFmtId="49" fontId="25" fillId="0" borderId="17" xfId="0" applyNumberFormat="1" applyFont="1" applyBorder="1" applyAlignment="1">
      <alignment horizontal="center" vertical="center"/>
    </xf>
    <xf numFmtId="49" fontId="25" fillId="0" borderId="12" xfId="0" applyNumberFormat="1" applyFont="1" applyBorder="1" applyAlignment="1">
      <alignment horizontal="center" vertical="center" wrapText="1"/>
    </xf>
    <xf numFmtId="49" fontId="25" fillId="0" borderId="18" xfId="0" applyNumberFormat="1" applyFont="1" applyBorder="1" applyAlignment="1">
      <alignment horizontal="center" vertical="center" wrapText="1"/>
    </xf>
    <xf numFmtId="3" fontId="25" fillId="0" borderId="18" xfId="0" applyNumberFormat="1" applyFont="1" applyBorder="1" applyAlignment="1">
      <alignment horizontal="center" vertical="center" wrapText="1"/>
    </xf>
    <xf numFmtId="49" fontId="25" fillId="0" borderId="1" xfId="0" applyNumberFormat="1" applyFont="1" applyBorder="1" applyAlignment="1">
      <alignment horizontal="center" vertical="center" wrapText="1"/>
    </xf>
    <xf numFmtId="0" fontId="25" fillId="0" borderId="12" xfId="0" applyFont="1" applyBorder="1" applyAlignment="1">
      <alignment horizontal="center" vertical="center" wrapText="1"/>
    </xf>
    <xf numFmtId="49" fontId="25" fillId="0" borderId="27" xfId="0" applyNumberFormat="1" applyFont="1" applyBorder="1" applyAlignment="1">
      <alignment horizontal="center" vertical="center" wrapText="1"/>
    </xf>
    <xf numFmtId="49" fontId="3" fillId="2" borderId="11" xfId="0" applyNumberFormat="1" applyFont="1" applyFill="1" applyBorder="1" applyAlignment="1">
      <alignment horizontal="center" vertical="center" wrapText="1"/>
    </xf>
    <xf numFmtId="49" fontId="3" fillId="2" borderId="26" xfId="0" applyNumberFormat="1" applyFont="1" applyFill="1" applyBorder="1" applyAlignment="1">
      <alignment horizontal="center" vertical="center" wrapText="1"/>
    </xf>
    <xf numFmtId="49" fontId="3" fillId="2" borderId="12" xfId="0" applyNumberFormat="1" applyFont="1" applyFill="1" applyBorder="1" applyAlignment="1">
      <alignment horizontal="center" vertical="center" wrapText="1"/>
    </xf>
    <xf numFmtId="49" fontId="3" fillId="2" borderId="27" xfId="0" applyNumberFormat="1" applyFont="1" applyFill="1" applyBorder="1" applyAlignment="1">
      <alignment horizontal="center" vertical="center" wrapText="1"/>
    </xf>
    <xf numFmtId="49" fontId="25" fillId="2" borderId="27" xfId="0" applyNumberFormat="1"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7" fillId="2" borderId="18" xfId="3" applyFont="1" applyFill="1" applyBorder="1" applyAlignment="1">
      <alignment vertical="center" wrapText="1"/>
    </xf>
    <xf numFmtId="165" fontId="5" fillId="2" borderId="18" xfId="0" applyNumberFormat="1" applyFont="1" applyFill="1" applyBorder="1" applyAlignment="1">
      <alignment horizontal="center" vertical="center" wrapText="1"/>
    </xf>
    <xf numFmtId="0" fontId="27" fillId="2" borderId="21" xfId="3" applyFont="1" applyFill="1" applyBorder="1" applyAlignment="1">
      <alignment vertical="center" wrapText="1"/>
    </xf>
    <xf numFmtId="165" fontId="5" fillId="2" borderId="21" xfId="0" applyNumberFormat="1" applyFont="1" applyFill="1" applyBorder="1" applyAlignment="1">
      <alignment vertical="center"/>
    </xf>
    <xf numFmtId="168" fontId="5" fillId="2" borderId="21" xfId="0" applyNumberFormat="1" applyFont="1" applyFill="1" applyBorder="1" applyAlignment="1">
      <alignment horizontal="center" vertical="center" wrapText="1"/>
    </xf>
    <xf numFmtId="165" fontId="5" fillId="2" borderId="21" xfId="0" applyNumberFormat="1" applyFont="1" applyFill="1" applyBorder="1" applyAlignment="1">
      <alignment horizontal="right" vertical="center"/>
    </xf>
    <xf numFmtId="168" fontId="5" fillId="2" borderId="22" xfId="0" applyNumberFormat="1" applyFont="1" applyFill="1" applyBorder="1" applyAlignment="1">
      <alignment horizontal="center" vertical="center" wrapText="1"/>
    </xf>
    <xf numFmtId="165" fontId="5" fillId="2" borderId="12" xfId="0" applyNumberFormat="1" applyFont="1" applyFill="1" applyBorder="1" applyAlignment="1">
      <alignment horizontal="center" vertical="center" wrapText="1"/>
    </xf>
    <xf numFmtId="49" fontId="57" fillId="0" borderId="55" xfId="0" applyNumberFormat="1" applyFont="1" applyBorder="1" applyAlignment="1">
      <alignment horizontal="center" vertical="center"/>
    </xf>
    <xf numFmtId="0" fontId="7" fillId="2" borderId="1" xfId="3" applyFont="1" applyFill="1" applyBorder="1" applyAlignment="1">
      <alignment horizontal="left" wrapText="1"/>
    </xf>
    <xf numFmtId="168" fontId="5" fillId="2" borderId="27"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5" fillId="2" borderId="21" xfId="0" applyNumberFormat="1" applyFont="1" applyFill="1" applyBorder="1" applyAlignment="1">
      <alignment horizontal="center" vertical="center" wrapText="1"/>
    </xf>
    <xf numFmtId="165" fontId="5" fillId="2" borderId="45" xfId="0" applyNumberFormat="1" applyFont="1" applyFill="1" applyBorder="1" applyAlignment="1">
      <alignment horizontal="right" vertical="center"/>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7" xfId="0" quotePrefix="1" applyFont="1" applyFill="1" applyBorder="1" applyAlignment="1">
      <alignment vertical="center" wrapText="1"/>
    </xf>
    <xf numFmtId="165" fontId="5" fillId="2" borderId="27" xfId="0" applyNumberFormat="1" applyFont="1" applyFill="1" applyBorder="1" applyAlignment="1">
      <alignment horizontal="right" vertical="center"/>
    </xf>
    <xf numFmtId="165" fontId="5" fillId="2" borderId="48" xfId="0" applyNumberFormat="1" applyFont="1" applyFill="1" applyBorder="1" applyAlignment="1">
      <alignment horizontal="right" vertical="center"/>
    </xf>
    <xf numFmtId="49" fontId="7" fillId="2" borderId="20" xfId="0" applyNumberFormat="1" applyFont="1" applyFill="1" applyBorder="1" applyAlignment="1">
      <alignment horizontal="center" vertical="center" wrapText="1"/>
    </xf>
    <xf numFmtId="49" fontId="7" fillId="2" borderId="21" xfId="0" applyNumberFormat="1" applyFont="1" applyFill="1" applyBorder="1" applyAlignment="1">
      <alignment horizontal="center" vertical="center" wrapText="1"/>
    </xf>
    <xf numFmtId="0" fontId="7" fillId="2" borderId="21" xfId="3" applyFont="1" applyFill="1" applyBorder="1" applyAlignment="1">
      <alignment vertical="center" wrapText="1"/>
    </xf>
    <xf numFmtId="0" fontId="27" fillId="2" borderId="18" xfId="3" applyFont="1" applyFill="1" applyBorder="1" applyAlignment="1">
      <alignment vertical="center" wrapText="1"/>
    </xf>
    <xf numFmtId="0" fontId="5" fillId="2" borderId="21" xfId="0" quotePrefix="1" applyFont="1" applyFill="1" applyBorder="1" applyAlignment="1">
      <alignment vertical="center" wrapText="1"/>
    </xf>
    <xf numFmtId="0" fontId="6" fillId="0" borderId="38" xfId="0" applyFont="1" applyBorder="1" applyAlignment="1">
      <alignment horizontal="center"/>
    </xf>
    <xf numFmtId="0" fontId="6" fillId="0" borderId="43" xfId="0" applyFont="1" applyBorder="1" applyAlignment="1">
      <alignment horizontal="left" vertical="center"/>
    </xf>
    <xf numFmtId="0" fontId="6" fillId="0" borderId="23" xfId="0" applyFont="1" applyBorder="1" applyAlignment="1">
      <alignment horizontal="centerContinuous" vertical="center"/>
    </xf>
    <xf numFmtId="165" fontId="6" fillId="0" borderId="55" xfId="0" applyNumberFormat="1" applyFont="1" applyBorder="1" applyAlignment="1">
      <alignment horizontal="center" vertical="center"/>
    </xf>
    <xf numFmtId="170" fontId="5" fillId="0" borderId="13" xfId="0" applyNumberFormat="1" applyFont="1" applyBorder="1" applyAlignment="1">
      <alignment horizontal="center"/>
    </xf>
    <xf numFmtId="0" fontId="5" fillId="0" borderId="58" xfId="0" applyFont="1" applyBorder="1" applyAlignment="1">
      <alignment horizontal="left"/>
    </xf>
    <xf numFmtId="0" fontId="5" fillId="0" borderId="61" xfId="0" applyFont="1" applyBorder="1"/>
    <xf numFmtId="0" fontId="5" fillId="0" borderId="61" xfId="0" applyFont="1" applyBorder="1" applyAlignment="1">
      <alignment horizontal="right"/>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9" xfId="0" applyFont="1" applyBorder="1" applyAlignment="1">
      <alignment horizontal="centerContinuous" vertical="center"/>
    </xf>
    <xf numFmtId="0" fontId="5" fillId="0" borderId="1" xfId="0" applyFont="1" applyBorder="1" applyAlignment="1">
      <alignment horizontal="centerContinuous" vertical="center"/>
    </xf>
    <xf numFmtId="178" fontId="5" fillId="0" borderId="10" xfId="0" applyNumberFormat="1" applyFont="1" applyBorder="1" applyAlignment="1">
      <alignment horizontal="center" vertical="center"/>
    </xf>
    <xf numFmtId="0" fontId="13" fillId="0" borderId="15" xfId="0" applyFont="1" applyFill="1" applyBorder="1" applyAlignment="1">
      <alignment vertical="top" wrapText="1"/>
    </xf>
    <xf numFmtId="0" fontId="27" fillId="0" borderId="15" xfId="0" applyFont="1" applyFill="1" applyBorder="1" applyAlignment="1">
      <alignment horizontal="left" vertical="top" wrapText="1"/>
    </xf>
    <xf numFmtId="0" fontId="37" fillId="0" borderId="15" xfId="0" applyFont="1" applyFill="1" applyBorder="1" applyAlignment="1">
      <alignment horizontal="center" vertical="top" wrapText="1"/>
    </xf>
    <xf numFmtId="0" fontId="6" fillId="0" borderId="36" xfId="0" quotePrefix="1" applyFont="1" applyFill="1" applyBorder="1" applyAlignment="1">
      <alignment vertical="top" wrapText="1"/>
    </xf>
    <xf numFmtId="0" fontId="8" fillId="0" borderId="15" xfId="0" quotePrefix="1" applyFont="1" applyFill="1" applyBorder="1" applyAlignment="1">
      <alignment vertical="top" wrapText="1"/>
    </xf>
    <xf numFmtId="0" fontId="6" fillId="0" borderId="15" xfId="0" quotePrefix="1" applyFont="1" applyFill="1" applyBorder="1" applyAlignment="1">
      <alignment vertical="top" wrapText="1"/>
    </xf>
    <xf numFmtId="0" fontId="5" fillId="0" borderId="15" xfId="0" quotePrefix="1" applyFont="1" applyFill="1" applyBorder="1" applyAlignment="1">
      <alignment vertical="top" wrapText="1"/>
    </xf>
    <xf numFmtId="0" fontId="7" fillId="0" borderId="15" xfId="0" quotePrefix="1" applyFont="1" applyFill="1" applyBorder="1" applyAlignment="1">
      <alignment vertical="top" wrapText="1"/>
    </xf>
    <xf numFmtId="0" fontId="13" fillId="0" borderId="15" xfId="0" applyFont="1" applyFill="1" applyBorder="1" applyAlignment="1">
      <alignment horizontal="left" vertical="top" wrapText="1"/>
    </xf>
    <xf numFmtId="0" fontId="37" fillId="0" borderId="15" xfId="0" applyFont="1" applyFill="1" applyBorder="1" applyAlignment="1">
      <alignment horizontal="left" vertical="top" wrapText="1"/>
    </xf>
    <xf numFmtId="0" fontId="7" fillId="0" borderId="18" xfId="0" quotePrefix="1" applyFont="1" applyFill="1" applyBorder="1" applyAlignment="1">
      <alignment vertical="top" wrapText="1"/>
    </xf>
    <xf numFmtId="49" fontId="5" fillId="0" borderId="1" xfId="0" quotePrefix="1" applyNumberFormat="1" applyFont="1" applyFill="1" applyBorder="1" applyAlignment="1">
      <alignment vertical="top" wrapText="1"/>
    </xf>
    <xf numFmtId="0" fontId="7" fillId="0" borderId="12" xfId="0" quotePrefix="1" applyFont="1" applyFill="1" applyBorder="1" applyAlignment="1">
      <alignment vertical="top" wrapText="1"/>
    </xf>
    <xf numFmtId="0" fontId="37" fillId="0" borderId="15" xfId="0" applyFont="1" applyFill="1" applyBorder="1" applyAlignment="1">
      <alignment vertical="top" wrapText="1"/>
    </xf>
    <xf numFmtId="0" fontId="5" fillId="0" borderId="1" xfId="0" applyFont="1" applyFill="1" applyBorder="1" applyAlignment="1">
      <alignment vertical="top" wrapText="1"/>
    </xf>
    <xf numFmtId="0" fontId="7" fillId="0" borderId="1" xfId="0" applyFont="1" applyFill="1" applyBorder="1" applyAlignment="1">
      <alignment vertical="top" wrapText="1"/>
    </xf>
    <xf numFmtId="0" fontId="17" fillId="0" borderId="15" xfId="0" applyFont="1" applyFill="1" applyBorder="1" applyAlignment="1">
      <alignment horizontal="left" vertical="top" wrapText="1"/>
    </xf>
    <xf numFmtId="0" fontId="18" fillId="0" borderId="15" xfId="0" applyFont="1" applyFill="1" applyBorder="1" applyAlignment="1">
      <alignment horizontal="left" vertical="top" wrapText="1"/>
    </xf>
    <xf numFmtId="49" fontId="34" fillId="0" borderId="6" xfId="0" applyNumberFormat="1" applyFont="1" applyFill="1" applyBorder="1" applyAlignment="1">
      <alignment horizontal="center" vertical="center" wrapText="1"/>
    </xf>
    <xf numFmtId="49" fontId="34" fillId="0" borderId="7" xfId="0" applyNumberFormat="1" applyFont="1" applyFill="1" applyBorder="1" applyAlignment="1">
      <alignment horizontal="center" vertical="center" wrapText="1"/>
    </xf>
    <xf numFmtId="49" fontId="5" fillId="0" borderId="7" xfId="0" quotePrefix="1" applyNumberFormat="1" applyFont="1" applyFill="1" applyBorder="1" applyAlignment="1">
      <alignment vertical="top" wrapText="1"/>
    </xf>
    <xf numFmtId="0" fontId="5" fillId="0" borderId="7" xfId="0" quotePrefix="1" applyFont="1" applyFill="1" applyBorder="1" applyAlignment="1">
      <alignment vertical="top" wrapText="1"/>
    </xf>
    <xf numFmtId="0" fontId="7" fillId="0" borderId="7" xfId="0" quotePrefix="1" applyFont="1" applyFill="1" applyBorder="1" applyAlignment="1">
      <alignment vertical="top" wrapText="1"/>
    </xf>
    <xf numFmtId="3" fontId="41" fillId="0" borderId="7" xfId="0" applyNumberFormat="1" applyFont="1" applyFill="1" applyBorder="1" applyAlignment="1">
      <alignment horizontal="right" vertical="center"/>
    </xf>
    <xf numFmtId="0" fontId="41" fillId="0" borderId="7" xfId="0" applyFont="1" applyFill="1" applyBorder="1" applyAlignment="1">
      <alignment horizontal="right" vertical="center"/>
    </xf>
    <xf numFmtId="168" fontId="41" fillId="0" borderId="8" xfId="0" applyNumberFormat="1" applyFont="1" applyFill="1" applyBorder="1" applyAlignment="1">
      <alignment horizontal="right" vertical="center"/>
    </xf>
    <xf numFmtId="0" fontId="34" fillId="0" borderId="21" xfId="0" applyFont="1" applyFill="1" applyBorder="1" applyAlignment="1">
      <alignment horizontal="center" vertical="center" wrapText="1"/>
    </xf>
    <xf numFmtId="0" fontId="5" fillId="0" borderId="21" xfId="0" quotePrefix="1" applyFont="1" applyFill="1" applyBorder="1" applyAlignment="1">
      <alignment vertical="top" wrapText="1"/>
    </xf>
    <xf numFmtId="3" fontId="41" fillId="0" borderId="21" xfId="0" applyNumberFormat="1" applyFont="1" applyFill="1" applyBorder="1" applyAlignment="1">
      <alignment horizontal="right" vertical="center"/>
    </xf>
    <xf numFmtId="168" fontId="41" fillId="0" borderId="22" xfId="0" applyNumberFormat="1" applyFont="1" applyFill="1" applyBorder="1" applyAlignment="1">
      <alignment horizontal="right" vertical="center"/>
    </xf>
    <xf numFmtId="0" fontId="34"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49" fontId="34" fillId="0" borderId="20" xfId="0" applyNumberFormat="1" applyFont="1" applyFill="1" applyBorder="1" applyAlignment="1">
      <alignment horizontal="center" vertical="center" wrapText="1"/>
    </xf>
    <xf numFmtId="49" fontId="41" fillId="0" borderId="6" xfId="0" applyNumberFormat="1" applyFont="1" applyFill="1" applyBorder="1" applyAlignment="1">
      <alignment horizontal="center" vertical="center"/>
    </xf>
    <xf numFmtId="49" fontId="34" fillId="0" borderId="21" xfId="0" applyNumberFormat="1" applyFont="1" applyFill="1" applyBorder="1" applyAlignment="1">
      <alignment horizontal="center" vertical="center" wrapText="1"/>
    </xf>
    <xf numFmtId="9" fontId="41" fillId="0" borderId="8" xfId="0" applyNumberFormat="1" applyFont="1" applyFill="1" applyBorder="1" applyAlignment="1">
      <alignment horizontal="right" vertical="center"/>
    </xf>
    <xf numFmtId="3" fontId="41" fillId="0" borderId="7" xfId="0" applyNumberFormat="1" applyFont="1" applyFill="1" applyBorder="1" applyAlignment="1">
      <alignment horizontal="right" vertical="center" wrapText="1"/>
    </xf>
    <xf numFmtId="0" fontId="34" fillId="0" borderId="24" xfId="0" applyFont="1" applyFill="1" applyBorder="1" applyAlignment="1">
      <alignment horizontal="center" vertical="center" wrapText="1"/>
    </xf>
    <xf numFmtId="49" fontId="34" fillId="0" borderId="25" xfId="0" applyNumberFormat="1" applyFont="1" applyFill="1" applyBorder="1" applyAlignment="1">
      <alignment horizontal="center" vertical="center" wrapText="1"/>
    </xf>
    <xf numFmtId="0" fontId="34" fillId="0" borderId="25" xfId="0" applyFont="1" applyFill="1" applyBorder="1" applyAlignment="1">
      <alignment horizontal="center" vertical="center" wrapText="1"/>
    </xf>
    <xf numFmtId="0" fontId="5" fillId="0" borderId="25" xfId="0" quotePrefix="1" applyFont="1" applyFill="1" applyBorder="1" applyAlignment="1">
      <alignment vertical="top" wrapText="1"/>
    </xf>
    <xf numFmtId="3" fontId="47" fillId="0" borderId="25" xfId="0" applyNumberFormat="1" applyFont="1" applyFill="1" applyBorder="1" applyAlignment="1">
      <alignment horizontal="right" vertical="center" wrapText="1"/>
    </xf>
    <xf numFmtId="3" fontId="47" fillId="0" borderId="25" xfId="0" applyNumberFormat="1" applyFont="1" applyFill="1" applyBorder="1" applyAlignment="1">
      <alignment horizontal="right" vertical="center"/>
    </xf>
    <xf numFmtId="3" fontId="41" fillId="0" borderId="25" xfId="0" applyNumberFormat="1" applyFont="1" applyFill="1" applyBorder="1" applyAlignment="1">
      <alignment horizontal="right" vertical="center" wrapText="1"/>
    </xf>
    <xf numFmtId="3" fontId="41" fillId="0" borderId="25" xfId="0" applyNumberFormat="1" applyFont="1" applyFill="1" applyBorder="1" applyAlignment="1">
      <alignment horizontal="right" vertical="center"/>
    </xf>
    <xf numFmtId="168" fontId="47" fillId="0" borderId="29" xfId="0" applyNumberFormat="1" applyFont="1" applyFill="1" applyBorder="1" applyAlignment="1">
      <alignment horizontal="right" vertical="center"/>
    </xf>
    <xf numFmtId="49" fontId="41" fillId="0" borderId="7" xfId="0" applyNumberFormat="1" applyFont="1" applyFill="1" applyBorder="1" applyAlignment="1">
      <alignment horizontal="center" vertical="center"/>
    </xf>
    <xf numFmtId="49" fontId="34" fillId="0" borderId="24" xfId="0" applyNumberFormat="1" applyFont="1" applyFill="1" applyBorder="1" applyAlignment="1">
      <alignment horizontal="center" vertical="center" wrapText="1"/>
    </xf>
    <xf numFmtId="0" fontId="57" fillId="0" borderId="25" xfId="0" applyFont="1" applyFill="1" applyBorder="1" applyAlignment="1">
      <alignment vertical="top" wrapText="1"/>
    </xf>
    <xf numFmtId="1" fontId="41" fillId="0" borderId="25" xfId="0" applyNumberFormat="1" applyFont="1" applyFill="1" applyBorder="1" applyAlignment="1">
      <alignment vertical="center" wrapText="1"/>
    </xf>
    <xf numFmtId="9" fontId="41" fillId="0" borderId="29" xfId="0" applyNumberFormat="1" applyFont="1" applyFill="1" applyBorder="1" applyAlignment="1">
      <alignment horizontal="right" vertical="center"/>
    </xf>
    <xf numFmtId="49" fontId="41" fillId="0" borderId="24" xfId="0" applyNumberFormat="1" applyFont="1" applyFill="1" applyBorder="1" applyAlignment="1">
      <alignment horizontal="center" vertical="center"/>
    </xf>
    <xf numFmtId="49" fontId="41" fillId="0" borderId="25" xfId="0" applyNumberFormat="1" applyFont="1" applyFill="1" applyBorder="1" applyAlignment="1">
      <alignment horizontal="center" vertical="center"/>
    </xf>
    <xf numFmtId="0" fontId="7" fillId="0" borderId="25" xfId="0" quotePrefix="1" applyFont="1" applyFill="1" applyBorder="1" applyAlignment="1">
      <alignment vertical="top" wrapText="1"/>
    </xf>
    <xf numFmtId="0" fontId="41" fillId="0" borderId="25" xfId="0" applyFont="1" applyFill="1" applyBorder="1" applyAlignment="1">
      <alignment horizontal="right" vertical="center"/>
    </xf>
    <xf numFmtId="168" fontId="41" fillId="0" borderId="29" xfId="0" applyNumberFormat="1" applyFont="1" applyFill="1" applyBorder="1" applyAlignment="1">
      <alignment horizontal="right" vertical="center"/>
    </xf>
    <xf numFmtId="3" fontId="25"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25" fillId="2" borderId="1" xfId="0" applyFont="1" applyFill="1" applyBorder="1" applyAlignment="1">
      <alignment horizontal="left" vertical="top" wrapText="1"/>
    </xf>
    <xf numFmtId="0" fontId="25" fillId="3" borderId="1" xfId="0" applyFont="1" applyFill="1" applyBorder="1" applyAlignment="1">
      <alignment horizontal="left" vertical="top" wrapText="1"/>
    </xf>
    <xf numFmtId="0" fontId="25" fillId="3" borderId="27" xfId="0" applyFont="1" applyFill="1" applyBorder="1" applyAlignment="1">
      <alignment horizontal="left" vertical="top" wrapText="1"/>
    </xf>
    <xf numFmtId="0" fontId="25" fillId="3" borderId="15" xfId="0" applyFont="1" applyFill="1" applyBorder="1" applyAlignment="1">
      <alignment horizontal="left" vertical="top" wrapText="1"/>
    </xf>
    <xf numFmtId="0" fontId="25" fillId="0" borderId="1" xfId="0" applyFont="1" applyBorder="1" applyAlignment="1">
      <alignment horizontal="left" vertical="top" wrapText="1"/>
    </xf>
    <xf numFmtId="0" fontId="25" fillId="3" borderId="18" xfId="0" applyFont="1" applyFill="1" applyBorder="1" applyAlignment="1">
      <alignment horizontal="left" vertical="top" wrapText="1"/>
    </xf>
    <xf numFmtId="0" fontId="25" fillId="2" borderId="12" xfId="0" applyFont="1" applyFill="1" applyBorder="1" applyAlignment="1">
      <alignment horizontal="left" vertical="top" wrapText="1"/>
    </xf>
    <xf numFmtId="0" fontId="25" fillId="3" borderId="12" xfId="0" applyFont="1" applyFill="1" applyBorder="1" applyAlignment="1">
      <alignment horizontal="left" vertical="top" wrapText="1"/>
    </xf>
    <xf numFmtId="0" fontId="20" fillId="3" borderId="15" xfId="0" applyFont="1" applyFill="1" applyBorder="1" applyAlignment="1">
      <alignment horizontal="left" vertical="top"/>
    </xf>
    <xf numFmtId="0" fontId="20" fillId="2" borderId="15" xfId="0" applyFont="1" applyFill="1" applyBorder="1" applyAlignment="1">
      <alignment horizontal="left" vertical="top" wrapText="1"/>
    </xf>
    <xf numFmtId="3" fontId="24" fillId="0" borderId="1" xfId="0" applyNumberFormat="1" applyFont="1" applyBorder="1" applyAlignment="1">
      <alignment horizontal="left" vertical="top" wrapText="1"/>
    </xf>
    <xf numFmtId="0" fontId="26" fillId="0" borderId="1" xfId="0" applyFont="1" applyBorder="1" applyAlignment="1">
      <alignment horizontal="left" vertical="top" wrapText="1"/>
    </xf>
    <xf numFmtId="0" fontId="25" fillId="0" borderId="15" xfId="0" applyFont="1" applyBorder="1" applyAlignment="1">
      <alignment horizontal="left" vertical="top" wrapText="1"/>
    </xf>
    <xf numFmtId="0" fontId="25" fillId="0" borderId="18" xfId="0" applyFont="1" applyBorder="1" applyAlignment="1">
      <alignment horizontal="left" vertical="top" wrapText="1"/>
    </xf>
    <xf numFmtId="0" fontId="20" fillId="3" borderId="15" xfId="0" applyFont="1" applyFill="1" applyBorder="1" applyAlignment="1">
      <alignment horizontal="left" vertical="top" wrapText="1"/>
    </xf>
    <xf numFmtId="0" fontId="24" fillId="0" borderId="1" xfId="0" applyFont="1" applyBorder="1" applyAlignment="1">
      <alignment horizontal="left" vertical="top" wrapText="1"/>
    </xf>
    <xf numFmtId="0" fontId="13" fillId="0" borderId="1" xfId="0" applyFont="1" applyBorder="1" applyAlignment="1">
      <alignment horizontal="left" vertical="top"/>
    </xf>
    <xf numFmtId="0" fontId="25" fillId="0" borderId="27" xfId="0" applyFont="1" applyBorder="1" applyAlignment="1">
      <alignment horizontal="left" vertical="top" wrapText="1"/>
    </xf>
    <xf numFmtId="1" fontId="7" fillId="0" borderId="19" xfId="0" applyNumberFormat="1" applyFont="1" applyBorder="1" applyAlignment="1">
      <alignment horizontal="center" vertical="center" wrapText="1"/>
    </xf>
    <xf numFmtId="1" fontId="7" fillId="0" borderId="10" xfId="0" applyNumberFormat="1" applyFont="1" applyBorder="1" applyAlignment="1">
      <alignment horizontal="center" vertical="center" wrapText="1"/>
    </xf>
    <xf numFmtId="1" fontId="7" fillId="0" borderId="13" xfId="0" applyNumberFormat="1" applyFont="1" applyBorder="1" applyAlignment="1">
      <alignment horizontal="center" vertical="center" wrapText="1"/>
    </xf>
    <xf numFmtId="0" fontId="3" fillId="2" borderId="18" xfId="0" applyFont="1" applyFill="1" applyBorder="1" applyAlignment="1">
      <alignment horizontal="center" vertical="center" wrapText="1"/>
    </xf>
    <xf numFmtId="49" fontId="24" fillId="0" borderId="6" xfId="0" applyNumberFormat="1" applyFont="1" applyBorder="1" applyAlignment="1">
      <alignment horizontal="center" vertical="center"/>
    </xf>
    <xf numFmtId="49" fontId="26" fillId="2" borderId="7" xfId="0" applyNumberFormat="1" applyFont="1" applyFill="1" applyBorder="1" applyAlignment="1">
      <alignment horizontal="center" vertical="center" wrapText="1"/>
    </xf>
    <xf numFmtId="0" fontId="24" fillId="3" borderId="7" xfId="0" applyFont="1" applyFill="1" applyBorder="1" applyAlignment="1">
      <alignment horizontal="left" vertical="top" wrapText="1"/>
    </xf>
    <xf numFmtId="49" fontId="24" fillId="0" borderId="7" xfId="0" applyNumberFormat="1" applyFont="1" applyBorder="1" applyAlignment="1">
      <alignment horizontal="center" vertical="center" wrapText="1"/>
    </xf>
    <xf numFmtId="3" fontId="24" fillId="0" borderId="7" xfId="0" applyNumberFormat="1" applyFont="1" applyBorder="1" applyAlignment="1">
      <alignment horizontal="right" vertical="center" wrapText="1"/>
    </xf>
    <xf numFmtId="167" fontId="24" fillId="0" borderId="7" xfId="1" applyNumberFormat="1" applyFont="1" applyFill="1" applyBorder="1" applyAlignment="1">
      <alignment horizontal="right" vertical="center" wrapText="1"/>
    </xf>
    <xf numFmtId="1" fontId="7" fillId="0" borderId="8" xfId="0" applyNumberFormat="1" applyFont="1" applyBorder="1" applyAlignment="1">
      <alignment horizontal="center" vertical="center" wrapText="1"/>
    </xf>
    <xf numFmtId="0" fontId="3" fillId="2" borderId="21" xfId="0" applyFont="1" applyFill="1" applyBorder="1" applyAlignment="1">
      <alignment horizontal="center" vertical="center" wrapText="1"/>
    </xf>
    <xf numFmtId="1" fontId="7" fillId="0" borderId="22" xfId="0" applyNumberFormat="1" applyFont="1" applyBorder="1" applyAlignment="1">
      <alignment horizontal="center" vertical="center" wrapText="1"/>
    </xf>
    <xf numFmtId="49" fontId="24" fillId="0" borderId="21" xfId="0" applyNumberFormat="1" applyFont="1" applyBorder="1" applyAlignment="1">
      <alignment horizontal="center" vertical="center" wrapText="1"/>
    </xf>
    <xf numFmtId="3" fontId="24" fillId="0" borderId="21" xfId="0" applyNumberFormat="1" applyFont="1" applyBorder="1" applyAlignment="1">
      <alignment horizontal="right" vertical="center" wrapText="1"/>
    </xf>
    <xf numFmtId="167" fontId="25" fillId="0" borderId="21" xfId="1" applyNumberFormat="1" applyFont="1" applyFill="1" applyBorder="1" applyAlignment="1">
      <alignment horizontal="right" vertical="center" wrapText="1"/>
    </xf>
    <xf numFmtId="0" fontId="3" fillId="2" borderId="20" xfId="0" applyFont="1" applyFill="1" applyBorder="1" applyAlignment="1">
      <alignment horizontal="center" vertical="center" wrapText="1"/>
    </xf>
    <xf numFmtId="0" fontId="25" fillId="2" borderId="27" xfId="0" applyFont="1" applyFill="1" applyBorder="1" applyAlignment="1">
      <alignment horizontal="left" vertical="top" wrapText="1"/>
    </xf>
    <xf numFmtId="0" fontId="25" fillId="0" borderId="7" xfId="0" applyFont="1" applyBorder="1" applyAlignment="1">
      <alignment horizontal="left" vertical="top" wrapText="1"/>
    </xf>
    <xf numFmtId="49" fontId="25" fillId="0" borderId="7" xfId="0" applyNumberFormat="1" applyFont="1" applyBorder="1" applyAlignment="1">
      <alignment horizontal="center" vertical="center" wrapText="1"/>
    </xf>
    <xf numFmtId="3" fontId="25" fillId="0" borderId="7" xfId="0" applyNumberFormat="1" applyFont="1" applyBorder="1" applyAlignment="1">
      <alignment horizontal="right" vertical="center" wrapText="1"/>
    </xf>
    <xf numFmtId="0" fontId="25" fillId="3" borderId="21" xfId="0" applyFont="1" applyFill="1" applyBorder="1" applyAlignment="1">
      <alignment horizontal="left" vertical="top" wrapText="1"/>
    </xf>
    <xf numFmtId="9" fontId="25" fillId="0" borderId="18" xfId="0" applyNumberFormat="1" applyFont="1" applyBorder="1" applyAlignment="1">
      <alignment horizontal="center" vertical="center" wrapText="1"/>
    </xf>
    <xf numFmtId="9" fontId="25" fillId="0" borderId="19" xfId="0" applyNumberFormat="1" applyFont="1" applyBorder="1" applyAlignment="1">
      <alignment horizontal="center" vertical="center" wrapText="1"/>
    </xf>
    <xf numFmtId="0" fontId="3" fillId="0" borderId="18" xfId="0" applyFont="1" applyBorder="1" applyAlignment="1">
      <alignment horizontal="left" vertical="top" wrapText="1"/>
    </xf>
    <xf numFmtId="3" fontId="25" fillId="0" borderId="21" xfId="0" applyNumberFormat="1" applyFont="1" applyBorder="1" applyAlignment="1">
      <alignment horizontal="right" vertical="center" wrapText="1"/>
    </xf>
    <xf numFmtId="0" fontId="20" fillId="0" borderId="15" xfId="0" quotePrefix="1" applyFont="1" applyBorder="1" applyAlignment="1">
      <alignment horizontal="left" vertical="top" wrapText="1"/>
    </xf>
    <xf numFmtId="0" fontId="3" fillId="2" borderId="1" xfId="0" quotePrefix="1" applyFont="1" applyFill="1" applyBorder="1" applyAlignment="1">
      <alignment horizontal="left" vertical="top" wrapText="1"/>
    </xf>
    <xf numFmtId="0" fontId="3" fillId="2" borderId="12" xfId="0" quotePrefix="1" applyFont="1" applyFill="1" applyBorder="1" applyAlignment="1">
      <alignment horizontal="left" vertical="top" wrapText="1"/>
    </xf>
    <xf numFmtId="0" fontId="2" fillId="2" borderId="15" xfId="0" quotePrefix="1" applyFont="1" applyFill="1" applyBorder="1" applyAlignment="1">
      <alignment horizontal="left" vertical="top" wrapText="1"/>
    </xf>
    <xf numFmtId="0" fontId="24" fillId="2" borderId="7" xfId="0" quotePrefix="1" applyFont="1" applyFill="1" applyBorder="1" applyAlignment="1">
      <alignment horizontal="left" vertical="top" wrapText="1"/>
    </xf>
    <xf numFmtId="0" fontId="3" fillId="2" borderId="21" xfId="0" quotePrefix="1" applyFont="1" applyFill="1" applyBorder="1" applyAlignment="1">
      <alignment horizontal="left" vertical="top" wrapText="1"/>
    </xf>
    <xf numFmtId="0" fontId="3" fillId="2" borderId="18" xfId="0" quotePrefix="1" applyFont="1" applyFill="1" applyBorder="1" applyAlignment="1">
      <alignment horizontal="left" vertical="top" wrapText="1"/>
    </xf>
    <xf numFmtId="49" fontId="20" fillId="0" borderId="15" xfId="0" quotePrefix="1" applyNumberFormat="1" applyFont="1" applyBorder="1" applyAlignment="1">
      <alignment horizontal="left" vertical="top" wrapText="1"/>
    </xf>
    <xf numFmtId="3" fontId="20" fillId="2" borderId="15" xfId="0" quotePrefix="1" applyNumberFormat="1" applyFont="1" applyFill="1" applyBorder="1" applyAlignment="1">
      <alignment horizontal="left" vertical="top" wrapText="1"/>
    </xf>
    <xf numFmtId="0" fontId="25" fillId="0" borderId="1" xfId="0" quotePrefix="1" applyFont="1" applyBorder="1" applyAlignment="1">
      <alignment horizontal="left" vertical="top" wrapText="1"/>
    </xf>
    <xf numFmtId="0" fontId="2" fillId="0" borderId="15" xfId="0" quotePrefix="1" applyFont="1" applyBorder="1" applyAlignment="1">
      <alignment horizontal="left" vertical="top" wrapText="1"/>
    </xf>
    <xf numFmtId="49" fontId="3" fillId="0" borderId="1" xfId="0" applyNumberFormat="1" applyFont="1" applyBorder="1" applyAlignment="1">
      <alignment horizontal="center" vertical="center" wrapText="1"/>
    </xf>
    <xf numFmtId="0" fontId="25" fillId="2" borderId="1" xfId="0" quotePrefix="1" applyFont="1" applyFill="1" applyBorder="1" applyAlignment="1">
      <alignment horizontal="left" vertical="top" wrapText="1"/>
    </xf>
    <xf numFmtId="49" fontId="3" fillId="0" borderId="9" xfId="0" applyNumberFormat="1" applyFont="1" applyBorder="1" applyAlignment="1">
      <alignment horizontal="center" vertical="center" wrapText="1"/>
    </xf>
    <xf numFmtId="0" fontId="41" fillId="2" borderId="9" xfId="0" applyFont="1" applyFill="1" applyBorder="1" applyAlignment="1">
      <alignment horizontal="center" vertical="center" wrapText="1"/>
    </xf>
    <xf numFmtId="9" fontId="25" fillId="2" borderId="10" xfId="0" applyNumberFormat="1" applyFont="1" applyFill="1" applyBorder="1" applyAlignment="1">
      <alignment horizontal="center" vertical="center"/>
    </xf>
    <xf numFmtId="49" fontId="7" fillId="0" borderId="26" xfId="0" applyNumberFormat="1" applyFont="1" applyBorder="1" applyAlignment="1">
      <alignment horizontal="center" vertical="center" wrapText="1"/>
    </xf>
    <xf numFmtId="49" fontId="7" fillId="0" borderId="27" xfId="0" applyNumberFormat="1" applyFont="1" applyBorder="1" applyAlignment="1">
      <alignment horizontal="center" vertical="center" wrapText="1"/>
    </xf>
    <xf numFmtId="1" fontId="7" fillId="0" borderId="27" xfId="0" applyNumberFormat="1" applyFont="1" applyBorder="1" applyAlignment="1">
      <alignment horizontal="center" vertical="center" wrapText="1"/>
    </xf>
    <xf numFmtId="1" fontId="7" fillId="0" borderId="28" xfId="0" applyNumberFormat="1" applyFont="1" applyBorder="1" applyAlignment="1">
      <alignment horizontal="center" vertical="center" wrapText="1"/>
    </xf>
    <xf numFmtId="49" fontId="25" fillId="2" borderId="17" xfId="0" applyNumberFormat="1" applyFont="1" applyFill="1" applyBorder="1" applyAlignment="1">
      <alignment horizontal="center" vertical="center"/>
    </xf>
    <xf numFmtId="49" fontId="25" fillId="2" borderId="18" xfId="0" applyNumberFormat="1" applyFont="1" applyFill="1" applyBorder="1" applyAlignment="1">
      <alignment horizontal="center" vertical="center"/>
    </xf>
    <xf numFmtId="0" fontId="25" fillId="2" borderId="18" xfId="0" applyFont="1" applyFill="1" applyBorder="1" applyAlignment="1">
      <alignment horizontal="left" vertical="top" wrapText="1"/>
    </xf>
    <xf numFmtId="167" fontId="25" fillId="2" borderId="12" xfId="1" applyNumberFormat="1" applyFont="1" applyFill="1" applyBorder="1" applyAlignment="1">
      <alignment horizontal="right" vertical="center" wrapText="1"/>
    </xf>
    <xf numFmtId="0" fontId="3" fillId="2" borderId="17" xfId="0" applyFont="1" applyFill="1" applyBorder="1" applyAlignment="1">
      <alignment horizontal="center" vertical="center" wrapText="1"/>
    </xf>
    <xf numFmtId="49" fontId="25" fillId="0" borderId="11" xfId="0" applyNumberFormat="1" applyFont="1" applyBorder="1" applyAlignment="1">
      <alignment horizontal="center" vertical="center" wrapText="1"/>
    </xf>
    <xf numFmtId="0" fontId="25" fillId="0" borderId="12" xfId="0" quotePrefix="1" applyFont="1" applyBorder="1" applyAlignment="1">
      <alignment horizontal="left" vertical="top" wrapText="1"/>
    </xf>
    <xf numFmtId="0" fontId="3" fillId="2" borderId="27" xfId="0" quotePrefix="1" applyFont="1" applyFill="1" applyBorder="1" applyAlignment="1">
      <alignment horizontal="left" vertical="top" wrapText="1"/>
    </xf>
    <xf numFmtId="0" fontId="3" fillId="2" borderId="18" xfId="0" applyFont="1" applyFill="1" applyBorder="1" applyAlignment="1">
      <alignment vertical="center" wrapText="1"/>
    </xf>
    <xf numFmtId="3" fontId="25" fillId="3" borderId="18" xfId="0" applyNumberFormat="1" applyFont="1" applyFill="1" applyBorder="1" applyAlignment="1">
      <alignment horizontal="right" vertical="center" wrapText="1"/>
    </xf>
    <xf numFmtId="49" fontId="25" fillId="2" borderId="12" xfId="0" applyNumberFormat="1" applyFont="1" applyFill="1" applyBorder="1" applyAlignment="1">
      <alignment horizontal="center" vertical="center"/>
    </xf>
    <xf numFmtId="0" fontId="3" fillId="2" borderId="12" xfId="0" applyFont="1" applyFill="1" applyBorder="1" applyAlignment="1">
      <alignment vertical="center" wrapText="1"/>
    </xf>
    <xf numFmtId="0" fontId="20" fillId="3" borderId="12" xfId="0" applyFont="1" applyFill="1" applyBorder="1" applyAlignment="1">
      <alignment horizontal="right" vertical="center" wrapText="1"/>
    </xf>
    <xf numFmtId="3" fontId="25" fillId="3" borderId="12" xfId="0" applyNumberFormat="1" applyFont="1" applyFill="1" applyBorder="1" applyAlignment="1">
      <alignment horizontal="right" vertical="center" wrapText="1"/>
    </xf>
    <xf numFmtId="9" fontId="20" fillId="2" borderId="16" xfId="0" applyNumberFormat="1" applyFont="1" applyFill="1" applyBorder="1" applyAlignment="1">
      <alignment horizontal="right" vertical="center"/>
    </xf>
    <xf numFmtId="3" fontId="25" fillId="0" borderId="18" xfId="0" applyNumberFormat="1" applyFont="1" applyBorder="1" applyAlignment="1">
      <alignment horizontal="left" vertical="top" wrapText="1"/>
    </xf>
    <xf numFmtId="3" fontId="25" fillId="2" borderId="18" xfId="0" applyNumberFormat="1" applyFont="1" applyFill="1" applyBorder="1" applyAlignment="1">
      <alignment horizontal="right" vertical="center"/>
    </xf>
    <xf numFmtId="3" fontId="24" fillId="2" borderId="12" xfId="0" applyNumberFormat="1" applyFont="1" applyFill="1" applyBorder="1" applyAlignment="1">
      <alignment horizontal="left" vertical="top" wrapText="1"/>
    </xf>
    <xf numFmtId="9" fontId="25" fillId="0" borderId="28" xfId="0" applyNumberFormat="1" applyFont="1" applyBorder="1" applyAlignment="1">
      <alignment horizontal="right" vertical="center"/>
    </xf>
    <xf numFmtId="9" fontId="19" fillId="0" borderId="28" xfId="0" applyNumberFormat="1" applyFont="1" applyBorder="1" applyAlignment="1">
      <alignment horizontal="right" vertical="center"/>
    </xf>
    <xf numFmtId="4" fontId="25" fillId="0" borderId="27" xfId="0" applyNumberFormat="1" applyFont="1" applyBorder="1" applyAlignment="1">
      <alignment horizontal="right" vertical="center" wrapText="1"/>
    </xf>
    <xf numFmtId="0" fontId="20" fillId="0" borderId="14" xfId="0" applyFont="1" applyBorder="1" applyAlignment="1">
      <alignment horizontal="center" vertical="center"/>
    </xf>
    <xf numFmtId="167" fontId="20" fillId="3" borderId="15" xfId="1" applyNumberFormat="1" applyFont="1" applyFill="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7" xfId="0" quotePrefix="1" applyFont="1" applyBorder="1" applyAlignment="1">
      <alignment horizontal="left" vertical="top" wrapText="1"/>
    </xf>
    <xf numFmtId="49" fontId="25" fillId="2" borderId="7" xfId="0" applyNumberFormat="1" applyFont="1" applyFill="1" applyBorder="1" applyAlignment="1">
      <alignment horizontal="center" vertical="center" wrapText="1"/>
    </xf>
    <xf numFmtId="3" fontId="24" fillId="2" borderId="7" xfId="0" applyNumberFormat="1" applyFont="1" applyFill="1" applyBorder="1" applyAlignment="1">
      <alignment horizontal="right" vertical="center" wrapText="1"/>
    </xf>
    <xf numFmtId="3" fontId="24" fillId="2" borderId="7" xfId="0" applyNumberFormat="1" applyFont="1" applyFill="1" applyBorder="1" applyAlignment="1">
      <alignment horizontal="right" vertical="center"/>
    </xf>
    <xf numFmtId="9" fontId="24" fillId="2" borderId="7" xfId="0" applyNumberFormat="1" applyFont="1" applyFill="1" applyBorder="1" applyAlignment="1">
      <alignment horizontal="right" vertical="center" wrapText="1"/>
    </xf>
    <xf numFmtId="9" fontId="19" fillId="0" borderId="8" xfId="0" applyNumberFormat="1" applyFont="1" applyBorder="1" applyAlignment="1">
      <alignment horizontal="right" vertical="center"/>
    </xf>
    <xf numFmtId="0" fontId="19" fillId="0" borderId="8" xfId="0" applyFont="1" applyBorder="1"/>
    <xf numFmtId="49" fontId="24" fillId="0" borderId="7" xfId="0" applyNumberFormat="1" applyFont="1" applyBorder="1" applyAlignment="1">
      <alignment horizontal="center" vertical="center"/>
    </xf>
    <xf numFmtId="0" fontId="24" fillId="0" borderId="7" xfId="0" applyFont="1" applyBorder="1" applyAlignment="1">
      <alignment horizontal="left" vertical="top" wrapText="1"/>
    </xf>
    <xf numFmtId="0" fontId="20" fillId="3" borderId="7" xfId="0" applyFont="1" applyFill="1" applyBorder="1" applyAlignment="1">
      <alignment horizontal="left" vertical="top" wrapText="1"/>
    </xf>
    <xf numFmtId="49" fontId="20" fillId="3" borderId="7" xfId="0" applyNumberFormat="1" applyFont="1" applyFill="1" applyBorder="1" applyAlignment="1">
      <alignment horizontal="center" vertical="center" wrapText="1"/>
    </xf>
    <xf numFmtId="3" fontId="24" fillId="3" borderId="7" xfId="0" applyNumberFormat="1" applyFont="1" applyFill="1" applyBorder="1" applyAlignment="1">
      <alignment horizontal="right" vertical="center" wrapText="1"/>
    </xf>
    <xf numFmtId="3" fontId="24" fillId="0" borderId="7" xfId="1" applyNumberFormat="1" applyFont="1" applyFill="1" applyBorder="1" applyAlignment="1">
      <alignment horizontal="right" vertical="center" wrapText="1"/>
    </xf>
    <xf numFmtId="0" fontId="26" fillId="2" borderId="6"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7" xfId="0" quotePrefix="1" applyFont="1" applyFill="1" applyBorder="1" applyAlignment="1">
      <alignment horizontal="left" vertical="top" wrapText="1"/>
    </xf>
    <xf numFmtId="0" fontId="25" fillId="3" borderId="7" xfId="0" applyFont="1" applyFill="1" applyBorder="1" applyAlignment="1">
      <alignment horizontal="left" vertical="top" wrapText="1"/>
    </xf>
    <xf numFmtId="49" fontId="26" fillId="2" borderId="6" xfId="0" applyNumberFormat="1" applyFont="1" applyFill="1" applyBorder="1" applyAlignment="1">
      <alignment horizontal="center" vertical="center" wrapText="1"/>
    </xf>
    <xf numFmtId="49" fontId="24" fillId="0" borderId="7" xfId="0" applyNumberFormat="1" applyFont="1" applyBorder="1" applyAlignment="1">
      <alignment horizontal="left" vertical="top" wrapText="1"/>
    </xf>
    <xf numFmtId="0" fontId="20" fillId="3" borderId="7" xfId="0" applyFont="1" applyFill="1" applyBorder="1" applyAlignment="1">
      <alignment horizontal="right" vertical="center" wrapText="1"/>
    </xf>
    <xf numFmtId="167" fontId="24" fillId="3" borderId="7" xfId="1" applyNumberFormat="1" applyFont="1" applyFill="1" applyBorder="1" applyAlignment="1">
      <alignment horizontal="right" vertical="center" wrapText="1"/>
    </xf>
    <xf numFmtId="3" fontId="24" fillId="0" borderId="7" xfId="0" applyNumberFormat="1" applyFont="1" applyBorder="1" applyAlignment="1">
      <alignment horizontal="left" vertical="top" wrapText="1"/>
    </xf>
    <xf numFmtId="0" fontId="20" fillId="0" borderId="7" xfId="0" applyFont="1" applyBorder="1" applyAlignment="1">
      <alignment horizontal="left" vertical="top" wrapText="1"/>
    </xf>
    <xf numFmtId="49" fontId="20" fillId="0" borderId="7" xfId="0" applyNumberFormat="1" applyFont="1" applyBorder="1" applyAlignment="1">
      <alignment horizontal="center" vertical="center" wrapText="1"/>
    </xf>
    <xf numFmtId="3" fontId="24" fillId="0" borderId="7" xfId="0" applyNumberFormat="1" applyFont="1" applyBorder="1" applyAlignment="1">
      <alignment horizontal="right" vertical="center"/>
    </xf>
    <xf numFmtId="9" fontId="24" fillId="0" borderId="8" xfId="0" applyNumberFormat="1" applyFont="1" applyBorder="1" applyAlignment="1">
      <alignment horizontal="right" vertical="center"/>
    </xf>
    <xf numFmtId="0" fontId="30" fillId="0" borderId="8" xfId="0" applyFont="1" applyBorder="1"/>
    <xf numFmtId="0" fontId="15" fillId="0" borderId="0" xfId="0" applyFont="1" applyAlignment="1">
      <alignment wrapText="1"/>
    </xf>
    <xf numFmtId="3" fontId="25" fillId="0" borderId="18" xfId="0" quotePrefix="1" applyNumberFormat="1" applyFont="1" applyBorder="1" applyAlignment="1">
      <alignment horizontal="right" vertical="center" wrapText="1"/>
    </xf>
    <xf numFmtId="3" fontId="25" fillId="2" borderId="18" xfId="0" quotePrefix="1" applyNumberFormat="1" applyFont="1" applyFill="1" applyBorder="1" applyAlignment="1">
      <alignment horizontal="right" vertical="center" wrapText="1"/>
    </xf>
    <xf numFmtId="3" fontId="7" fillId="0" borderId="18" xfId="0" applyNumberFormat="1" applyFont="1" applyBorder="1" applyAlignment="1">
      <alignment horizontal="right"/>
    </xf>
    <xf numFmtId="3" fontId="37" fillId="0" borderId="1" xfId="0" applyNumberFormat="1" applyFont="1" applyBorder="1" applyAlignment="1">
      <alignment horizontal="right"/>
    </xf>
    <xf numFmtId="3" fontId="7" fillId="0" borderId="1" xfId="0" applyNumberFormat="1" applyFont="1" applyBorder="1" applyAlignment="1">
      <alignment horizontal="right"/>
    </xf>
    <xf numFmtId="3" fontId="37" fillId="0" borderId="12" xfId="0" applyNumberFormat="1" applyFont="1" applyBorder="1" applyAlignment="1">
      <alignment horizontal="right"/>
    </xf>
    <xf numFmtId="0" fontId="7" fillId="0" borderId="12" xfId="0" applyFont="1" applyFill="1" applyBorder="1" applyAlignment="1">
      <alignment horizontal="center" vertical="center" wrapText="1"/>
    </xf>
    <xf numFmtId="3" fontId="41" fillId="0" borderId="12" xfId="0" applyNumberFormat="1" applyFont="1" applyFill="1" applyBorder="1" applyAlignment="1">
      <alignment vertical="center"/>
    </xf>
    <xf numFmtId="168" fontId="41" fillId="0" borderId="1" xfId="0" applyNumberFormat="1" applyFont="1" applyFill="1" applyBorder="1" applyAlignment="1">
      <alignment horizontal="right" vertical="center"/>
    </xf>
    <xf numFmtId="0" fontId="5" fillId="0" borderId="1" xfId="0" quotePrefix="1" applyFont="1" applyFill="1" applyBorder="1" applyAlignment="1">
      <alignment horizontal="left" vertical="top" wrapText="1"/>
    </xf>
    <xf numFmtId="49" fontId="41" fillId="0" borderId="11" xfId="0" applyNumberFormat="1" applyFont="1" applyFill="1" applyBorder="1" applyAlignment="1">
      <alignment horizontal="center" vertical="center"/>
    </xf>
    <xf numFmtId="49" fontId="41" fillId="0" borderId="12" xfId="0" applyNumberFormat="1" applyFont="1" applyFill="1" applyBorder="1" applyAlignment="1">
      <alignment horizontal="center" vertical="center"/>
    </xf>
    <xf numFmtId="1" fontId="34" fillId="0" borderId="12" xfId="0" applyNumberFormat="1" applyFont="1" applyFill="1" applyBorder="1" applyAlignment="1">
      <alignment horizontal="right" vertical="center"/>
    </xf>
    <xf numFmtId="0" fontId="15" fillId="0" borderId="0" xfId="0" applyFont="1" applyAlignment="1">
      <alignment horizontal="left" vertical="center"/>
    </xf>
    <xf numFmtId="0" fontId="43" fillId="0" borderId="12" xfId="0" applyFont="1" applyBorder="1" applyAlignment="1">
      <alignment horizontal="center" vertical="center" wrapText="1"/>
    </xf>
    <xf numFmtId="0" fontId="43" fillId="0" borderId="18"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9"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30" xfId="0" applyFont="1" applyBorder="1" applyAlignment="1">
      <alignment horizontal="center" vertical="center" wrapText="1"/>
    </xf>
    <xf numFmtId="0" fontId="36" fillId="0" borderId="0" xfId="0" applyFont="1" applyAlignment="1">
      <alignment horizontal="center"/>
    </xf>
    <xf numFmtId="0" fontId="7" fillId="0" borderId="0" xfId="0" applyFont="1" applyAlignment="1">
      <alignment horizontal="left"/>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2" xfId="0" applyFont="1" applyBorder="1" applyAlignment="1">
      <alignment horizontal="center" vertical="center" wrapText="1"/>
    </xf>
    <xf numFmtId="0" fontId="43" fillId="0" borderId="43" xfId="0" applyFont="1" applyBorder="1" applyAlignment="1">
      <alignment horizontal="center" vertical="center" wrapText="1"/>
    </xf>
    <xf numFmtId="0" fontId="43" fillId="0" borderId="48"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17" xfId="0" applyFont="1" applyBorder="1" applyAlignment="1">
      <alignment horizontal="center" vertical="center" wrapText="1"/>
    </xf>
    <xf numFmtId="0" fontId="7" fillId="0" borderId="0" xfId="0" applyFont="1" applyAlignment="1">
      <alignment horizontal="left" vertical="center"/>
    </xf>
    <xf numFmtId="0" fontId="33" fillId="0" borderId="0" xfId="0" applyFont="1" applyAlignment="1">
      <alignment horizontal="center"/>
    </xf>
    <xf numFmtId="0" fontId="34" fillId="0" borderId="0" xfId="0" applyFont="1" applyAlignment="1">
      <alignment horizontal="center"/>
    </xf>
    <xf numFmtId="0" fontId="31" fillId="0" borderId="0" xfId="0" applyFont="1" applyAlignment="1">
      <alignment horizontal="left"/>
    </xf>
    <xf numFmtId="0" fontId="4" fillId="0" borderId="0" xfId="0" quotePrefix="1" applyFont="1" applyAlignment="1">
      <alignment horizontal="left"/>
    </xf>
    <xf numFmtId="0" fontId="7" fillId="0" borderId="0" xfId="0" applyFont="1" applyAlignment="1">
      <alignment horizontal="left" vertical="top" wrapText="1"/>
    </xf>
    <xf numFmtId="0" fontId="7" fillId="0" borderId="0" xfId="0" applyFont="1" applyAlignment="1">
      <alignment horizontal="left" vertical="center" wrapText="1"/>
    </xf>
    <xf numFmtId="0" fontId="6" fillId="2" borderId="50" xfId="0" applyFont="1" applyFill="1" applyBorder="1" applyAlignment="1">
      <alignment horizontal="left" vertical="center"/>
    </xf>
    <xf numFmtId="0" fontId="5" fillId="2" borderId="2" xfId="0" applyFont="1" applyFill="1" applyBorder="1" applyAlignment="1">
      <alignment horizontal="left"/>
    </xf>
    <xf numFmtId="165" fontId="6" fillId="2" borderId="50" xfId="0" applyNumberFormat="1" applyFont="1" applyFill="1" applyBorder="1" applyAlignment="1">
      <alignment horizontal="left" vertical="center"/>
    </xf>
    <xf numFmtId="165" fontId="5" fillId="2" borderId="2" xfId="0" applyNumberFormat="1" applyFont="1" applyFill="1" applyBorder="1" applyAlignment="1">
      <alignment horizontal="left"/>
    </xf>
    <xf numFmtId="0" fontId="13" fillId="0" borderId="0" xfId="0" applyFont="1" applyAlignment="1">
      <alignment horizontal="left"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7" fillId="0" borderId="2" xfId="0" applyFont="1" applyBorder="1" applyAlignment="1">
      <alignment horizontal="left"/>
    </xf>
    <xf numFmtId="0" fontId="43" fillId="0" borderId="25" xfId="0" applyFont="1" applyBorder="1" applyAlignment="1">
      <alignment horizontal="center" vertical="center" wrapText="1"/>
    </xf>
    <xf numFmtId="0" fontId="43" fillId="0" borderId="29" xfId="0" applyFont="1" applyBorder="1" applyAlignment="1">
      <alignment horizontal="center" vertical="center" wrapText="1"/>
    </xf>
    <xf numFmtId="0" fontId="6" fillId="2" borderId="41"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44" fillId="2" borderId="13" xfId="0" applyFont="1" applyFill="1" applyBorder="1" applyAlignment="1">
      <alignment horizontal="center" vertical="center" wrapText="1"/>
    </xf>
    <xf numFmtId="0" fontId="44" fillId="2" borderId="28" xfId="0" applyFont="1" applyFill="1" applyBorder="1" applyAlignment="1">
      <alignment horizontal="center" vertical="center" wrapText="1"/>
    </xf>
    <xf numFmtId="0" fontId="44" fillId="2" borderId="29"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44" fillId="2" borderId="21"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27" xfId="0" applyFont="1" applyFill="1" applyBorder="1" applyAlignment="1">
      <alignment horizontal="center" vertical="center" wrapText="1"/>
    </xf>
    <xf numFmtId="0" fontId="44" fillId="2" borderId="25" xfId="0" applyFont="1" applyFill="1" applyBorder="1" applyAlignment="1">
      <alignment horizontal="center" vertical="center" wrapText="1"/>
    </xf>
    <xf numFmtId="0" fontId="15" fillId="2" borderId="0" xfId="0" applyFont="1" applyFill="1" applyAlignment="1">
      <alignment horizontal="left" vertical="center"/>
    </xf>
    <xf numFmtId="0" fontId="6" fillId="2" borderId="0" xfId="0" applyFont="1" applyFill="1" applyAlignment="1">
      <alignment horizontal="center"/>
    </xf>
    <xf numFmtId="0" fontId="5" fillId="2" borderId="0" xfId="0" applyFont="1" applyFill="1" applyAlignment="1">
      <alignment horizontal="center"/>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44" fillId="2" borderId="7" xfId="0" applyFont="1" applyFill="1" applyBorder="1" applyAlignment="1">
      <alignment horizontal="center" vertical="center" wrapText="1"/>
    </xf>
    <xf numFmtId="165" fontId="44" fillId="2" borderId="1" xfId="0" applyNumberFormat="1" applyFont="1" applyFill="1" applyBorder="1" applyAlignment="1">
      <alignment horizontal="center" vertical="center" wrapText="1"/>
    </xf>
    <xf numFmtId="165" fontId="44" fillId="2" borderId="21" xfId="0" applyNumberFormat="1" applyFont="1" applyFill="1" applyBorder="1" applyAlignment="1">
      <alignment horizontal="center" vertical="center" wrapText="1"/>
    </xf>
    <xf numFmtId="0" fontId="44" fillId="2" borderId="41" xfId="0" applyFont="1" applyFill="1" applyBorder="1" applyAlignment="1">
      <alignment horizontal="center" vertical="center" wrapText="1"/>
    </xf>
    <xf numFmtId="0" fontId="44" fillId="2" borderId="47" xfId="0" applyFont="1" applyFill="1" applyBorder="1" applyAlignment="1">
      <alignment horizontal="center" vertical="center" wrapText="1"/>
    </xf>
    <xf numFmtId="0" fontId="44" fillId="2" borderId="31" xfId="0" applyFont="1" applyFill="1" applyBorder="1" applyAlignment="1">
      <alignment horizontal="center" vertical="center" wrapText="1"/>
    </xf>
    <xf numFmtId="0" fontId="44" fillId="2" borderId="42" xfId="0" applyFont="1" applyFill="1" applyBorder="1" applyAlignment="1">
      <alignment horizontal="center" vertical="center" wrapText="1"/>
    </xf>
    <xf numFmtId="0" fontId="14" fillId="0" borderId="10" xfId="3" applyFont="1" applyBorder="1" applyAlignment="1">
      <alignment horizontal="center" vertical="center" textRotation="90" wrapText="1"/>
    </xf>
    <xf numFmtId="0" fontId="14" fillId="0" borderId="22" xfId="3" applyFont="1" applyBorder="1" applyAlignment="1">
      <alignment horizontal="center" vertical="center" textRotation="90" wrapText="1"/>
    </xf>
    <xf numFmtId="0" fontId="38" fillId="0" borderId="0" xfId="3" applyFont="1" applyAlignment="1">
      <alignment horizontal="center" vertical="center"/>
    </xf>
    <xf numFmtId="1" fontId="4" fillId="0" borderId="0" xfId="3" quotePrefix="1" applyNumberFormat="1" applyFont="1" applyAlignment="1">
      <alignment horizontal="left"/>
    </xf>
    <xf numFmtId="0" fontId="14" fillId="0" borderId="35" xfId="3" applyFont="1" applyBorder="1" applyAlignment="1">
      <alignment horizontal="center" vertical="center" textRotation="90" wrapText="1"/>
    </xf>
    <xf numFmtId="0" fontId="14" fillId="0" borderId="26" xfId="3" applyFont="1" applyBorder="1" applyAlignment="1">
      <alignment horizontal="center" vertical="center" textRotation="90" wrapText="1"/>
    </xf>
    <xf numFmtId="0" fontId="14" fillId="0" borderId="24" xfId="3" applyFont="1" applyBorder="1" applyAlignment="1">
      <alignment horizontal="center" vertical="center" textRotation="90" wrapText="1"/>
    </xf>
    <xf numFmtId="0" fontId="14" fillId="0" borderId="36" xfId="3" applyFont="1" applyBorder="1" applyAlignment="1">
      <alignment horizontal="center" vertical="center" textRotation="90" wrapText="1"/>
    </xf>
    <xf numFmtId="0" fontId="14" fillId="0" borderId="27" xfId="3" applyFont="1" applyBorder="1" applyAlignment="1">
      <alignment horizontal="center" vertical="center" textRotation="90" wrapText="1"/>
    </xf>
    <xf numFmtId="0" fontId="14" fillId="0" borderId="25" xfId="3" applyFont="1" applyBorder="1" applyAlignment="1">
      <alignment horizontal="center" vertical="center" textRotation="90" wrapText="1"/>
    </xf>
    <xf numFmtId="2" fontId="14" fillId="0" borderId="7" xfId="3" applyNumberFormat="1" applyFont="1" applyBorder="1" applyAlignment="1">
      <alignment horizontal="center" vertical="center" wrapText="1"/>
    </xf>
    <xf numFmtId="2" fontId="14" fillId="0" borderId="1" xfId="3" applyNumberFormat="1" applyFont="1" applyBorder="1" applyAlignment="1">
      <alignment horizontal="center" vertical="center" wrapText="1"/>
    </xf>
    <xf numFmtId="2" fontId="14" fillId="0" borderId="21" xfId="3" applyNumberFormat="1" applyFont="1" applyBorder="1" applyAlignment="1">
      <alignment horizontal="center" vertical="center" wrapText="1"/>
    </xf>
    <xf numFmtId="0" fontId="14" fillId="0" borderId="41" xfId="3" applyFont="1" applyBorder="1" applyAlignment="1">
      <alignment horizontal="center" vertical="center" wrapText="1"/>
    </xf>
    <xf numFmtId="0" fontId="14" fillId="0" borderId="47" xfId="3" applyFont="1" applyBorder="1" applyAlignment="1">
      <alignment horizontal="center" vertical="center" wrapText="1"/>
    </xf>
    <xf numFmtId="0" fontId="14" fillId="0" borderId="42" xfId="3" applyFont="1" applyBorder="1" applyAlignment="1">
      <alignment horizontal="center" vertical="center" wrapText="1"/>
    </xf>
    <xf numFmtId="0" fontId="13" fillId="0" borderId="1" xfId="3" applyFont="1" applyBorder="1" applyAlignment="1">
      <alignment horizontal="center"/>
    </xf>
    <xf numFmtId="0" fontId="13" fillId="0" borderId="3" xfId="3" applyFont="1" applyBorder="1" applyAlignment="1">
      <alignment horizontal="center" wrapText="1"/>
    </xf>
    <xf numFmtId="0" fontId="13" fillId="0" borderId="4" xfId="3" applyFont="1" applyBorder="1" applyAlignment="1">
      <alignment horizontal="center" wrapText="1"/>
    </xf>
    <xf numFmtId="0" fontId="13" fillId="0" borderId="39" xfId="3" applyFont="1" applyBorder="1" applyAlignment="1">
      <alignment horizontal="center" wrapText="1"/>
    </xf>
    <xf numFmtId="0" fontId="7" fillId="2" borderId="0" xfId="3" applyFont="1" applyFill="1" applyAlignment="1">
      <alignment horizontal="left"/>
    </xf>
    <xf numFmtId="0" fontId="7" fillId="2" borderId="4" xfId="3" applyFont="1" applyFill="1" applyBorder="1" applyAlignment="1">
      <alignment horizontal="left"/>
    </xf>
    <xf numFmtId="0" fontId="7" fillId="2" borderId="2" xfId="3" applyFont="1" applyFill="1" applyBorder="1" applyAlignment="1">
      <alignment horizontal="left" vertical="center"/>
    </xf>
    <xf numFmtId="0" fontId="15" fillId="0" borderId="0" xfId="3" applyFont="1" applyAlignment="1">
      <alignment horizontal="left" vertical="center"/>
    </xf>
    <xf numFmtId="0" fontId="14" fillId="0" borderId="1" xfId="3" applyFont="1" applyBorder="1" applyAlignment="1">
      <alignment horizontal="center" vertical="center" textRotation="90" wrapText="1"/>
    </xf>
    <xf numFmtId="0" fontId="14" fillId="0" borderId="21" xfId="3" applyFont="1" applyBorder="1" applyAlignment="1">
      <alignment horizontal="center" vertical="center" textRotation="90" wrapText="1"/>
    </xf>
    <xf numFmtId="0" fontId="14" fillId="0" borderId="5" xfId="3" applyFont="1" applyBorder="1" applyAlignment="1">
      <alignment horizontal="center" vertical="center" wrapText="1"/>
    </xf>
    <xf numFmtId="0" fontId="14" fillId="0" borderId="1" xfId="3" applyFont="1" applyBorder="1" applyAlignment="1">
      <alignment horizontal="center" vertical="center" wrapText="1"/>
    </xf>
    <xf numFmtId="0" fontId="5" fillId="0" borderId="37"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13" fillId="0" borderId="0" xfId="0" applyFont="1" applyAlignment="1">
      <alignment horizontal="center" wrapText="1"/>
    </xf>
    <xf numFmtId="0" fontId="7" fillId="0" borderId="3" xfId="0" applyFont="1" applyBorder="1" applyAlignment="1">
      <alignment horizontal="left" wrapText="1"/>
    </xf>
    <xf numFmtId="0" fontId="7" fillId="0" borderId="5" xfId="0" applyFont="1" applyBorder="1" applyAlignment="1">
      <alignment horizontal="left" wrapText="1"/>
    </xf>
    <xf numFmtId="0" fontId="5" fillId="0" borderId="44" xfId="0" applyFont="1" applyBorder="1" applyAlignment="1">
      <alignment horizontal="center" vertical="center"/>
    </xf>
    <xf numFmtId="0" fontId="5" fillId="0" borderId="0" xfId="0" applyFont="1" applyBorder="1" applyAlignment="1">
      <alignment horizontal="center" vertical="center"/>
    </xf>
    <xf numFmtId="0" fontId="5" fillId="0" borderId="59" xfId="0" applyFont="1" applyBorder="1" applyAlignment="1">
      <alignment horizontal="center" vertic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49" xfId="0" applyFont="1" applyBorder="1" applyAlignment="1">
      <alignment horizontal="center"/>
    </xf>
    <xf numFmtId="0" fontId="6" fillId="0" borderId="48" xfId="0" applyFont="1" applyBorder="1" applyAlignment="1">
      <alignment horizontal="left" vertical="center" wrapText="1"/>
    </xf>
    <xf numFmtId="0" fontId="6" fillId="0" borderId="30"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13" fillId="0" borderId="48" xfId="0" applyFont="1" applyBorder="1" applyAlignment="1">
      <alignment horizontal="left" vertical="center" wrapText="1"/>
    </xf>
    <xf numFmtId="0" fontId="13" fillId="0" borderId="30"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3" fillId="0" borderId="3" xfId="0" applyFont="1" applyBorder="1" applyAlignment="1">
      <alignment horizontal="left" wrapText="1"/>
    </xf>
    <xf numFmtId="0" fontId="13" fillId="0" borderId="5" xfId="0" applyFont="1" applyBorder="1" applyAlignment="1">
      <alignment horizontal="left"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5" fillId="0" borderId="0" xfId="0" applyFont="1" applyAlignment="1">
      <alignment horizontal="left"/>
    </xf>
    <xf numFmtId="0" fontId="1" fillId="0" borderId="49" xfId="0" applyFont="1" applyBorder="1" applyAlignment="1">
      <alignment horizontal="center" vertical="center" wrapText="1"/>
    </xf>
    <xf numFmtId="0" fontId="1" fillId="0" borderId="32" xfId="0" applyFont="1" applyBorder="1" applyAlignment="1">
      <alignment horizontal="center" vertical="center" wrapText="1"/>
    </xf>
    <xf numFmtId="0" fontId="12" fillId="0" borderId="57" xfId="0" applyFont="1" applyBorder="1" applyAlignment="1">
      <alignment horizontal="center" vertical="top" wrapText="1"/>
    </xf>
    <xf numFmtId="0" fontId="12" fillId="0" borderId="46" xfId="0" applyFont="1" applyBorder="1" applyAlignment="1">
      <alignment horizontal="center" vertical="top" wrapText="1"/>
    </xf>
    <xf numFmtId="0" fontId="5" fillId="0" borderId="11" xfId="0" applyFont="1" applyBorder="1" applyAlignment="1">
      <alignment horizontal="center"/>
    </xf>
    <xf numFmtId="0" fontId="5" fillId="0" borderId="12" xfId="0" applyFont="1" applyBorder="1" applyAlignment="1">
      <alignment horizontal="center"/>
    </xf>
    <xf numFmtId="0" fontId="5" fillId="0" borderId="43" xfId="0" applyFont="1" applyBorder="1" applyAlignment="1">
      <alignment horizontal="center"/>
    </xf>
    <xf numFmtId="0" fontId="6" fillId="0" borderId="3" xfId="0" applyFont="1" applyBorder="1" applyAlignment="1">
      <alignment horizontal="left" wrapText="1"/>
    </xf>
    <xf numFmtId="0" fontId="6" fillId="0" borderId="5" xfId="0" applyFont="1" applyBorder="1" applyAlignment="1">
      <alignment horizontal="left" wrapText="1"/>
    </xf>
    <xf numFmtId="0" fontId="15" fillId="0" borderId="0" xfId="0" applyFont="1" applyAlignment="1">
      <alignment horizontal="center" wrapText="1"/>
    </xf>
    <xf numFmtId="49" fontId="7" fillId="0" borderId="36" xfId="0" applyNumberFormat="1" applyFont="1" applyBorder="1" applyAlignment="1">
      <alignment horizontal="center" vertical="center" wrapText="1"/>
    </xf>
    <xf numFmtId="49" fontId="7" fillId="0" borderId="25" xfId="0" applyNumberFormat="1" applyFont="1" applyBorder="1" applyAlignment="1">
      <alignment horizontal="center" vertical="center" wrapText="1"/>
    </xf>
    <xf numFmtId="0" fontId="23" fillId="0" borderId="0" xfId="0" applyFont="1" applyAlignment="1">
      <alignment horizontal="left" vertical="center" wrapText="1"/>
    </xf>
    <xf numFmtId="49" fontId="7" fillId="0" borderId="35" xfId="0"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21" xfId="0" applyNumberFormat="1" applyFont="1" applyBorder="1" applyAlignment="1">
      <alignment horizontal="center" vertical="center" wrapText="1"/>
    </xf>
    <xf numFmtId="9" fontId="7" fillId="0" borderId="7" xfId="0" applyNumberFormat="1" applyFont="1" applyBorder="1" applyAlignment="1">
      <alignment horizontal="center" vertical="center" wrapText="1"/>
    </xf>
    <xf numFmtId="9" fontId="7" fillId="0" borderId="21" xfId="0"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9" fontId="7" fillId="0" borderId="22" xfId="0" applyNumberFormat="1" applyFont="1" applyBorder="1" applyAlignment="1">
      <alignment horizontal="center" vertical="center" wrapText="1"/>
    </xf>
    <xf numFmtId="0" fontId="7" fillId="2" borderId="55" xfId="3" applyFont="1" applyFill="1" applyBorder="1" applyAlignment="1">
      <alignment horizontal="left"/>
    </xf>
    <xf numFmtId="0" fontId="7" fillId="0" borderId="0" xfId="0" applyFont="1" applyBorder="1" applyAlignment="1">
      <alignment horizontal="left" vertical="center"/>
    </xf>
    <xf numFmtId="0" fontId="20" fillId="0" borderId="0" xfId="0" applyFont="1" applyAlignment="1">
      <alignment horizontal="center" vertical="top" wrapText="1"/>
    </xf>
    <xf numFmtId="0" fontId="21" fillId="0" borderId="0" xfId="0" applyFont="1" applyAlignment="1">
      <alignment horizontal="left" vertical="center" wrapText="1"/>
    </xf>
    <xf numFmtId="0" fontId="22" fillId="0" borderId="0" xfId="0" applyFont="1" applyAlignment="1">
      <alignment horizontal="center" vertical="center" wrapText="1"/>
    </xf>
    <xf numFmtId="0" fontId="7" fillId="0" borderId="7"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5" fillId="0" borderId="0" xfId="0" applyFont="1" applyFill="1" applyAlignment="1">
      <alignment horizontal="left" vertical="center"/>
    </xf>
    <xf numFmtId="0" fontId="7" fillId="0" borderId="0" xfId="0" applyFont="1" applyFill="1" applyAlignment="1">
      <alignment horizontal="left"/>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0" xfId="0" applyFont="1" applyFill="1" applyAlignment="1">
      <alignment horizontal="right"/>
    </xf>
    <xf numFmtId="0" fontId="21" fillId="0" borderId="0" xfId="0" applyFont="1" applyFill="1" applyAlignment="1">
      <alignment horizontal="left" vertical="center" wrapText="1"/>
    </xf>
    <xf numFmtId="0" fontId="23" fillId="0" borderId="0" xfId="0" applyFont="1" applyFill="1" applyAlignment="1">
      <alignment horizontal="left" vertical="center" wrapText="1"/>
    </xf>
    <xf numFmtId="0" fontId="9" fillId="0" borderId="6"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2" xfId="0"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49" fontId="7" fillId="0" borderId="6" xfId="0" applyNumberFormat="1" applyFont="1" applyBorder="1" applyAlignment="1">
      <alignment horizontal="center" vertical="center" wrapText="1"/>
    </xf>
    <xf numFmtId="49" fontId="7" fillId="0" borderId="20" xfId="0" applyNumberFormat="1" applyFont="1" applyBorder="1" applyAlignment="1">
      <alignment horizontal="center" vertical="center" wrapText="1"/>
    </xf>
    <xf numFmtId="0" fontId="20" fillId="0" borderId="0" xfId="0" applyFont="1" applyAlignment="1">
      <alignment horizontal="center" vertical="center" wrapText="1"/>
    </xf>
    <xf numFmtId="49" fontId="25" fillId="0" borderId="9" xfId="0" applyNumberFormat="1" applyFont="1" applyBorder="1" applyAlignment="1">
      <alignment horizontal="center" vertical="center"/>
    </xf>
    <xf numFmtId="49" fontId="25" fillId="0" borderId="1" xfId="0" applyNumberFormat="1" applyFont="1" applyBorder="1" applyAlignment="1">
      <alignment horizontal="center" vertical="center" wrapText="1"/>
    </xf>
    <xf numFmtId="3" fontId="25" fillId="0" borderId="1" xfId="0" applyNumberFormat="1" applyFont="1" applyBorder="1" applyAlignment="1">
      <alignment horizontal="left" vertical="top" wrapText="1"/>
    </xf>
    <xf numFmtId="3" fontId="25" fillId="0" borderId="1" xfId="0" applyNumberFormat="1" applyFont="1" applyBorder="1" applyAlignment="1">
      <alignment horizontal="center" vertical="center" wrapText="1"/>
    </xf>
    <xf numFmtId="1" fontId="25" fillId="0" borderId="1" xfId="0" applyNumberFormat="1" applyFont="1" applyBorder="1" applyAlignment="1">
      <alignment horizontal="center" vertical="center" wrapText="1"/>
    </xf>
    <xf numFmtId="0" fontId="25" fillId="0" borderId="1" xfId="0" quotePrefix="1" applyFont="1" applyBorder="1" applyAlignment="1">
      <alignment horizontal="left" vertical="top" wrapText="1"/>
    </xf>
    <xf numFmtId="49" fontId="25" fillId="0" borderId="17" xfId="0" applyNumberFormat="1" applyFont="1" applyBorder="1" applyAlignment="1">
      <alignment horizontal="center" vertical="center"/>
    </xf>
    <xf numFmtId="49" fontId="25" fillId="0" borderId="18" xfId="0" applyNumberFormat="1" applyFont="1" applyBorder="1" applyAlignment="1">
      <alignment horizontal="center" vertical="center" wrapText="1"/>
    </xf>
    <xf numFmtId="3" fontId="25" fillId="0" borderId="18" xfId="0" applyNumberFormat="1" applyFont="1" applyBorder="1" applyAlignment="1">
      <alignment horizontal="left" vertical="top" wrapText="1"/>
    </xf>
    <xf numFmtId="0" fontId="25" fillId="0" borderId="9" xfId="0" applyFont="1" applyBorder="1" applyAlignment="1">
      <alignment horizontal="center" vertical="center" wrapText="1"/>
    </xf>
    <xf numFmtId="0" fontId="25" fillId="0" borderId="1" xfId="0" applyFont="1" applyBorder="1" applyAlignment="1">
      <alignment horizontal="center" vertical="center" wrapText="1"/>
    </xf>
    <xf numFmtId="3" fontId="25" fillId="0" borderId="18" xfId="0" quotePrefix="1" applyNumberFormat="1" applyFont="1" applyBorder="1" applyAlignment="1">
      <alignment horizontal="left" vertical="top" wrapText="1"/>
    </xf>
    <xf numFmtId="3" fontId="25" fillId="0" borderId="18" xfId="0" applyNumberFormat="1" applyFont="1" applyBorder="1" applyAlignment="1">
      <alignment horizontal="center" vertical="center" wrapText="1"/>
    </xf>
    <xf numFmtId="49" fontId="25" fillId="0" borderId="1" xfId="0" applyNumberFormat="1" applyFont="1" applyBorder="1" applyAlignment="1">
      <alignment horizontal="center" vertical="center"/>
    </xf>
    <xf numFmtId="0" fontId="25" fillId="0" borderId="1" xfId="0" applyFont="1" applyBorder="1" applyAlignment="1">
      <alignment horizontal="left" vertical="top" wrapText="1"/>
    </xf>
    <xf numFmtId="0" fontId="25" fillId="0" borderId="9" xfId="0" applyFont="1" applyBorder="1" applyAlignment="1">
      <alignment horizontal="center" vertical="center"/>
    </xf>
    <xf numFmtId="0" fontId="25" fillId="0" borderId="1" xfId="0" applyFont="1" applyBorder="1" applyAlignment="1">
      <alignment horizontal="center" vertical="center"/>
    </xf>
    <xf numFmtId="0" fontId="25" fillId="2" borderId="9" xfId="0" applyFont="1" applyFill="1" applyBorder="1" applyAlignment="1">
      <alignment horizontal="center" vertical="center" wrapText="1"/>
    </xf>
    <xf numFmtId="0" fontId="25" fillId="2" borderId="1" xfId="0"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0" fontId="25" fillId="2" borderId="1" xfId="0" quotePrefix="1" applyFont="1" applyFill="1" applyBorder="1" applyAlignment="1">
      <alignment horizontal="left" vertical="top" wrapText="1"/>
    </xf>
    <xf numFmtId="49" fontId="3" fillId="2" borderId="9" xfId="0" applyNumberFormat="1" applyFont="1" applyFill="1" applyBorder="1" applyAlignment="1">
      <alignment horizontal="center" vertical="center" wrapText="1"/>
    </xf>
    <xf numFmtId="49" fontId="3" fillId="2" borderId="1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2" xfId="0" applyNumberFormat="1"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2" borderId="12" xfId="0" applyFont="1" applyFill="1" applyBorder="1" applyAlignment="1">
      <alignment horizontal="left" vertical="top" wrapText="1"/>
    </xf>
    <xf numFmtId="49" fontId="25" fillId="2" borderId="12" xfId="0" applyNumberFormat="1" applyFont="1" applyFill="1" applyBorder="1" applyAlignment="1">
      <alignment horizontal="center" vertical="center" wrapText="1"/>
    </xf>
    <xf numFmtId="0" fontId="13" fillId="0" borderId="27" xfId="0" applyFont="1" applyBorder="1" applyAlignment="1">
      <alignment horizontal="left" vertical="center" wrapText="1"/>
    </xf>
    <xf numFmtId="0" fontId="15" fillId="0" borderId="0" xfId="0" applyFont="1" applyAlignment="1">
      <alignment horizontal="center" vertical="center" wrapText="1"/>
    </xf>
    <xf numFmtId="49" fontId="9" fillId="0" borderId="35" xfId="0" applyNumberFormat="1" applyFont="1" applyBorder="1" applyAlignment="1">
      <alignment horizontal="center" vertical="center" wrapText="1"/>
    </xf>
    <xf numFmtId="49" fontId="9" fillId="0" borderId="24" xfId="0" applyNumberFormat="1" applyFont="1" applyBorder="1" applyAlignment="1">
      <alignment horizontal="center" vertical="center" wrapText="1"/>
    </xf>
    <xf numFmtId="49" fontId="9" fillId="0" borderId="46" xfId="0" applyNumberFormat="1" applyFont="1" applyBorder="1" applyAlignment="1">
      <alignment horizontal="center" vertical="center" wrapText="1"/>
    </xf>
    <xf numFmtId="49" fontId="9" fillId="0" borderId="34"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36" xfId="0" applyNumberFormat="1" applyFont="1" applyBorder="1" applyAlignment="1">
      <alignment horizontal="center" vertical="center" wrapText="1"/>
    </xf>
    <xf numFmtId="49" fontId="9" fillId="0" borderId="25" xfId="0" applyNumberFormat="1" applyFont="1" applyBorder="1" applyAlignment="1">
      <alignment horizontal="center" vertical="center" wrapText="1"/>
    </xf>
    <xf numFmtId="9" fontId="9" fillId="0" borderId="41" xfId="0" applyNumberFormat="1" applyFont="1" applyBorder="1" applyAlignment="1">
      <alignment horizontal="center" vertical="center" wrapText="1"/>
    </xf>
    <xf numFmtId="9" fontId="9" fillId="0" borderId="45" xfId="0" applyNumberFormat="1" applyFont="1" applyBorder="1" applyAlignment="1">
      <alignment horizontal="center" vertical="center" wrapText="1"/>
    </xf>
    <xf numFmtId="2" fontId="9" fillId="0" borderId="36" xfId="0" applyNumberFormat="1" applyFont="1" applyBorder="1" applyAlignment="1">
      <alignment horizontal="center" vertical="center" wrapText="1"/>
    </xf>
    <xf numFmtId="2" fontId="9" fillId="0" borderId="25" xfId="0" applyNumberFormat="1" applyFont="1" applyBorder="1" applyAlignment="1">
      <alignment horizontal="center" vertical="center" wrapText="1"/>
    </xf>
    <xf numFmtId="0" fontId="9" fillId="0" borderId="51" xfId="0" applyFont="1" applyBorder="1" applyAlignment="1">
      <alignment horizontal="center" vertical="center"/>
    </xf>
    <xf numFmtId="0" fontId="9" fillId="0" borderId="29" xfId="0" applyFont="1" applyBorder="1" applyAlignment="1">
      <alignment horizontal="center" vertical="center"/>
    </xf>
    <xf numFmtId="0" fontId="37" fillId="0" borderId="15" xfId="0" applyFont="1" applyBorder="1" applyAlignment="1">
      <alignment horizontal="left" vertical="center" wrapText="1"/>
    </xf>
    <xf numFmtId="49" fontId="7" fillId="0" borderId="26" xfId="0" applyNumberFormat="1" applyFont="1" applyBorder="1" applyAlignment="1">
      <alignment horizontal="center" vertical="center"/>
    </xf>
    <xf numFmtId="1" fontId="7" fillId="0" borderId="27" xfId="0" applyNumberFormat="1" applyFont="1" applyBorder="1" applyAlignment="1">
      <alignment horizontal="center" vertical="center"/>
    </xf>
    <xf numFmtId="49" fontId="7" fillId="0" borderId="27" xfId="0" applyNumberFormat="1" applyFont="1" applyBorder="1" applyAlignment="1">
      <alignment horizontal="center" vertical="center"/>
    </xf>
    <xf numFmtId="0" fontId="7" fillId="0" borderId="27" xfId="0" applyFont="1" applyBorder="1" applyAlignment="1">
      <alignment horizontal="center" vertical="center" wrapText="1"/>
    </xf>
  </cellXfs>
  <cellStyles count="7">
    <cellStyle name="Денежный 2" xfId="5"/>
    <cellStyle name="Звичайний" xfId="0" builtinId="0"/>
    <cellStyle name="Обычный 2" xfId="3"/>
    <cellStyle name="Обычный 9 2 4 2 2" xfId="2"/>
    <cellStyle name="Процентный 2" xfId="4"/>
    <cellStyle name="Финансовый 2" xfId="1"/>
    <cellStyle name="Фінансовий" xfId="6"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1054;&#1082;&#1089;&#1072;&#1085;&#1072;/&#1044;&#1086;&#1075;&#1086;&#1074;&#1086;&#1088;&#1072;%20&#1059;&#1050;&#1041;/2024/&#1057;&#1090;&#1072;&#1085;%20&#1074;&#1080;&#1082;&#1086;&#1085;&#1072;&#1085;&#1085;&#1103;%20&#1076;&#1086;&#1075;&#1086;&#1074;&#1086;&#1088;&#1110;&#1074;%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
      <sheetName val="Закриті договори на 01.09.2024"/>
    </sheetNames>
    <sheetDataSet>
      <sheetData sheetId="0" refreshError="1">
        <row r="11">
          <cell r="I11">
            <v>5038022.59</v>
          </cell>
        </row>
        <row r="13">
          <cell r="I13">
            <v>62304.800000000003</v>
          </cell>
        </row>
        <row r="15">
          <cell r="I15">
            <v>234332.96</v>
          </cell>
        </row>
        <row r="18">
          <cell r="I18">
            <v>835857.26</v>
          </cell>
        </row>
        <row r="42">
          <cell r="I42">
            <v>2383901.56</v>
          </cell>
        </row>
        <row r="43">
          <cell r="I43">
            <v>49062.16</v>
          </cell>
        </row>
        <row r="44">
          <cell r="I44">
            <v>30392.03</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zakon.rada.gov.ua/rada/show/988-2016-%D1%80" TargetMode="External"/><Relationship Id="rId1" Type="http://schemas.openxmlformats.org/officeDocument/2006/relationships/hyperlink" Target="https://zakon.rada.gov.ua/rada/show/988-2016-%D1%80"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zakon.rada.gov.ua/rada/show/988-2016-%D1%80" TargetMode="External"/><Relationship Id="rId1" Type="http://schemas.openxmlformats.org/officeDocument/2006/relationships/hyperlink" Target="https://zakon.rada.gov.ua/rada/show/988-2016-%D1%80"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97"/>
  <sheetViews>
    <sheetView view="pageBreakPreview" zoomScaleNormal="100" zoomScaleSheetLayoutView="100" workbookViewId="0">
      <selection activeCell="D64" sqref="D64"/>
    </sheetView>
  </sheetViews>
  <sheetFormatPr defaultColWidth="8.85546875" defaultRowHeight="12.75" x14ac:dyDescent="0.2"/>
  <cols>
    <col min="1" max="1" width="13.7109375" customWidth="1"/>
    <col min="2" max="2" width="59.42578125" customWidth="1"/>
    <col min="3" max="3" width="13.5703125" customWidth="1"/>
    <col min="4" max="4" width="13.28515625" customWidth="1"/>
    <col min="5" max="5" width="13.7109375" customWidth="1"/>
    <col min="6" max="6" width="14.85546875" customWidth="1"/>
    <col min="7" max="7" width="14.42578125" customWidth="1"/>
    <col min="8" max="8" width="14.140625" customWidth="1"/>
    <col min="9" max="9" width="13.7109375" customWidth="1"/>
    <col min="10" max="10" width="12.7109375" customWidth="1"/>
    <col min="11" max="11" width="15.5703125" customWidth="1"/>
  </cols>
  <sheetData>
    <row r="1" spans="1:14" ht="15.75" x14ac:dyDescent="0.2">
      <c r="G1" s="216"/>
      <c r="H1" s="1191" t="s">
        <v>142</v>
      </c>
      <c r="I1" s="1191"/>
      <c r="J1" s="1191"/>
      <c r="K1" s="1191"/>
      <c r="L1" s="1191"/>
      <c r="M1" s="1191"/>
      <c r="N1" s="1191"/>
    </row>
    <row r="2" spans="1:14" ht="15.6" customHeight="1" x14ac:dyDescent="0.2">
      <c r="G2" s="331"/>
      <c r="H2" s="1192" t="s">
        <v>453</v>
      </c>
      <c r="I2" s="1192"/>
      <c r="J2" s="1192"/>
      <c r="K2" s="1192"/>
      <c r="L2" s="889"/>
      <c r="M2" s="889"/>
      <c r="N2" s="889"/>
    </row>
    <row r="3" spans="1:14" ht="15.6" customHeight="1" x14ac:dyDescent="0.2">
      <c r="G3" s="331"/>
      <c r="H3" s="1192" t="s">
        <v>619</v>
      </c>
      <c r="I3" s="1192"/>
      <c r="J3" s="1192"/>
      <c r="K3" s="888"/>
      <c r="L3" s="889"/>
      <c r="M3" s="889"/>
      <c r="N3" s="889"/>
    </row>
    <row r="4" spans="1:14" ht="15.75" x14ac:dyDescent="0.25">
      <c r="G4" s="5"/>
      <c r="H4" s="905" t="s">
        <v>740</v>
      </c>
      <c r="I4" s="905"/>
      <c r="J4" s="905"/>
      <c r="K4" s="904"/>
      <c r="L4" s="889"/>
      <c r="M4" s="889"/>
      <c r="N4" s="889"/>
    </row>
    <row r="5" spans="1:14" ht="15.75" x14ac:dyDescent="0.25">
      <c r="G5" s="5"/>
      <c r="H5" s="906" t="s">
        <v>741</v>
      </c>
      <c r="I5" s="906"/>
      <c r="J5" s="906"/>
      <c r="K5" s="904"/>
      <c r="L5" s="889"/>
      <c r="M5" s="889"/>
      <c r="N5" s="889"/>
    </row>
    <row r="6" spans="1:14" ht="15" customHeight="1" x14ac:dyDescent="0.25">
      <c r="G6" s="332"/>
      <c r="H6" s="332"/>
      <c r="J6" s="67"/>
      <c r="K6" s="886"/>
      <c r="L6" s="1186"/>
      <c r="M6" s="1186"/>
      <c r="N6" s="1186"/>
    </row>
    <row r="7" spans="1:14" ht="15.75" hidden="1" x14ac:dyDescent="0.25">
      <c r="G7" s="67"/>
      <c r="H7" s="67"/>
      <c r="I7" s="67"/>
      <c r="J7" s="67"/>
      <c r="K7" s="886"/>
      <c r="L7" s="1186"/>
      <c r="M7" s="1186"/>
      <c r="N7" s="1186"/>
    </row>
    <row r="8" spans="1:14" ht="18.75" customHeight="1" x14ac:dyDescent="0.3">
      <c r="A8" s="1187" t="s">
        <v>730</v>
      </c>
      <c r="B8" s="1188"/>
      <c r="C8" s="1188"/>
      <c r="D8" s="1188"/>
      <c r="E8" s="1188"/>
      <c r="F8" s="1188"/>
      <c r="G8" s="1188"/>
      <c r="H8" s="1188"/>
      <c r="I8" s="1188"/>
      <c r="J8" s="1188"/>
      <c r="K8" s="890"/>
      <c r="L8" s="1189"/>
      <c r="M8" s="1189"/>
      <c r="N8" s="1189"/>
    </row>
    <row r="9" spans="1:14" ht="15.75" x14ac:dyDescent="0.25">
      <c r="A9" s="1190" t="s">
        <v>143</v>
      </c>
      <c r="B9" s="1190"/>
      <c r="C9" s="1"/>
      <c r="D9" s="1"/>
      <c r="E9" s="1"/>
      <c r="F9" s="1"/>
      <c r="G9" s="1"/>
      <c r="H9" s="1"/>
      <c r="I9" s="1"/>
      <c r="J9" s="1"/>
      <c r="K9" s="1"/>
      <c r="L9" s="1174"/>
      <c r="M9" s="1174"/>
      <c r="N9" s="1174"/>
    </row>
    <row r="10" spans="1:14" ht="16.5" thickBot="1" x14ac:dyDescent="0.3">
      <c r="A10" s="1" t="s">
        <v>0</v>
      </c>
      <c r="B10" s="1"/>
      <c r="C10" s="1"/>
      <c r="D10" s="1"/>
      <c r="E10" s="1"/>
      <c r="F10" s="1"/>
      <c r="G10" s="1"/>
      <c r="H10" s="1"/>
      <c r="I10" s="1"/>
      <c r="J10" s="2" t="s">
        <v>235</v>
      </c>
      <c r="K10" s="2"/>
      <c r="L10" s="1174"/>
      <c r="M10" s="1174"/>
      <c r="N10" s="1174"/>
    </row>
    <row r="11" spans="1:14" ht="15.6" customHeight="1" x14ac:dyDescent="0.2">
      <c r="A11" s="1175" t="s">
        <v>260</v>
      </c>
      <c r="B11" s="1177" t="s">
        <v>261</v>
      </c>
      <c r="C11" s="1179" t="s">
        <v>1</v>
      </c>
      <c r="D11" s="1179"/>
      <c r="E11" s="1179"/>
      <c r="F11" s="1180" t="s">
        <v>2</v>
      </c>
      <c r="G11" s="1179"/>
      <c r="H11" s="1181"/>
      <c r="I11" s="1179" t="s">
        <v>3</v>
      </c>
      <c r="J11" s="1179"/>
      <c r="K11" s="1181"/>
    </row>
    <row r="12" spans="1:14" ht="15.6" customHeight="1" x14ac:dyDescent="0.2">
      <c r="A12" s="1176"/>
      <c r="B12" s="1178"/>
      <c r="C12" s="1171" t="s">
        <v>451</v>
      </c>
      <c r="D12" s="1167" t="s">
        <v>731</v>
      </c>
      <c r="E12" s="1182" t="s">
        <v>402</v>
      </c>
      <c r="F12" s="1184" t="s">
        <v>451</v>
      </c>
      <c r="G12" s="1167" t="s">
        <v>719</v>
      </c>
      <c r="H12" s="1169" t="s">
        <v>402</v>
      </c>
      <c r="I12" s="1171" t="s">
        <v>451</v>
      </c>
      <c r="J12" s="1167" t="s">
        <v>721</v>
      </c>
      <c r="K12" s="1169" t="s">
        <v>402</v>
      </c>
    </row>
    <row r="13" spans="1:14" ht="31.15" customHeight="1" x14ac:dyDescent="0.2">
      <c r="A13" s="1176"/>
      <c r="B13" s="1178"/>
      <c r="C13" s="1172"/>
      <c r="D13" s="1168"/>
      <c r="E13" s="1183"/>
      <c r="F13" s="1185"/>
      <c r="G13" s="1168"/>
      <c r="H13" s="1170"/>
      <c r="I13" s="1172"/>
      <c r="J13" s="1168"/>
      <c r="K13" s="1170"/>
    </row>
    <row r="14" spans="1:14" ht="16.5" thickBot="1" x14ac:dyDescent="0.25">
      <c r="A14" s="8">
        <v>1</v>
      </c>
      <c r="B14" s="287">
        <v>2</v>
      </c>
      <c r="C14" s="298">
        <v>3</v>
      </c>
      <c r="D14" s="9">
        <v>4</v>
      </c>
      <c r="E14" s="297">
        <v>5</v>
      </c>
      <c r="F14" s="8">
        <v>6</v>
      </c>
      <c r="G14" s="9">
        <v>7</v>
      </c>
      <c r="H14" s="287">
        <v>8</v>
      </c>
      <c r="I14" s="298">
        <v>9</v>
      </c>
      <c r="J14" s="9">
        <v>10</v>
      </c>
      <c r="K14" s="287">
        <v>11</v>
      </c>
    </row>
    <row r="15" spans="1:14" ht="16.5" thickBot="1" x14ac:dyDescent="0.25">
      <c r="A15" s="282" t="s">
        <v>262</v>
      </c>
      <c r="B15" s="299" t="s">
        <v>263</v>
      </c>
      <c r="C15" s="481">
        <f>F15+I15</f>
        <v>556300600</v>
      </c>
      <c r="D15" s="286">
        <f>G15+J15</f>
        <v>570746799.06999993</v>
      </c>
      <c r="E15" s="482">
        <f>D15/C15*100</f>
        <v>102.59683327143634</v>
      </c>
      <c r="F15" s="483">
        <f>F16+F21+F25</f>
        <v>555906500</v>
      </c>
      <c r="G15" s="286">
        <f>G16+G21+G25+G19</f>
        <v>570352514.23999989</v>
      </c>
      <c r="H15" s="484">
        <f>G15/F15*100</f>
        <v>102.59864100167921</v>
      </c>
      <c r="I15" s="485">
        <f>I40</f>
        <v>394100</v>
      </c>
      <c r="J15" s="486">
        <f>J40</f>
        <v>394284.83</v>
      </c>
      <c r="K15" s="487">
        <f>J15/I15*100</f>
        <v>100.04689926414616</v>
      </c>
      <c r="L15" s="118"/>
    </row>
    <row r="16" spans="1:14" ht="31.5" x14ac:dyDescent="0.2">
      <c r="A16" s="288" t="s">
        <v>264</v>
      </c>
      <c r="B16" s="300" t="s">
        <v>265</v>
      </c>
      <c r="C16" s="488">
        <f>F16+I16</f>
        <v>338544700</v>
      </c>
      <c r="D16" s="489">
        <f t="shared" ref="D16:D91" si="0">G16+J16</f>
        <v>348905202.49000001</v>
      </c>
      <c r="E16" s="490">
        <f t="shared" ref="E16:E90" si="1">D16/C16*100</f>
        <v>103.06030562286162</v>
      </c>
      <c r="F16" s="491">
        <f>F17+F18</f>
        <v>338544700</v>
      </c>
      <c r="G16" s="489">
        <f>G17+G18</f>
        <v>348905202.49000001</v>
      </c>
      <c r="H16" s="492">
        <f t="shared" ref="H16:H93" si="2">G16/F16*100</f>
        <v>103.06030562286162</v>
      </c>
      <c r="I16" s="493"/>
      <c r="J16" s="494"/>
      <c r="K16" s="495"/>
      <c r="L16" s="118"/>
    </row>
    <row r="17" spans="1:12" ht="16.5" customHeight="1" x14ac:dyDescent="0.2">
      <c r="A17" s="289" t="s">
        <v>266</v>
      </c>
      <c r="B17" s="301" t="s">
        <v>267</v>
      </c>
      <c r="C17" s="496">
        <f t="shared" ref="C17:C24" si="3">F17</f>
        <v>338282740</v>
      </c>
      <c r="D17" s="497">
        <f t="shared" si="0"/>
        <v>348643235.81999999</v>
      </c>
      <c r="E17" s="498">
        <f t="shared" si="1"/>
        <v>103.06267349614113</v>
      </c>
      <c r="F17" s="499">
        <v>338282740</v>
      </c>
      <c r="G17" s="281">
        <v>348643235.81999999</v>
      </c>
      <c r="H17" s="500">
        <f t="shared" si="2"/>
        <v>103.06267349614113</v>
      </c>
      <c r="I17" s="501"/>
      <c r="J17" s="502"/>
      <c r="K17" s="503"/>
      <c r="L17" s="118"/>
    </row>
    <row r="18" spans="1:12" ht="18" customHeight="1" x14ac:dyDescent="0.2">
      <c r="A18" s="289" t="s">
        <v>268</v>
      </c>
      <c r="B18" s="301" t="s">
        <v>269</v>
      </c>
      <c r="C18" s="496">
        <f t="shared" si="3"/>
        <v>261960</v>
      </c>
      <c r="D18" s="497">
        <f t="shared" si="0"/>
        <v>261966.67</v>
      </c>
      <c r="E18" s="498">
        <f t="shared" si="1"/>
        <v>100.00254619025806</v>
      </c>
      <c r="F18" s="499">
        <v>261960</v>
      </c>
      <c r="G18" s="281">
        <v>261966.67</v>
      </c>
      <c r="H18" s="500">
        <f t="shared" si="2"/>
        <v>100.00254619025806</v>
      </c>
      <c r="I18" s="496"/>
      <c r="J18" s="502"/>
      <c r="K18" s="503"/>
      <c r="L18" s="118"/>
    </row>
    <row r="19" spans="1:12" ht="31.5" x14ac:dyDescent="0.2">
      <c r="A19" s="290">
        <v>13000000</v>
      </c>
      <c r="B19" s="302" t="s">
        <v>424</v>
      </c>
      <c r="C19" s="504">
        <v>0</v>
      </c>
      <c r="D19" s="280">
        <f t="shared" si="0"/>
        <v>2417.1799999999998</v>
      </c>
      <c r="E19" s="505" t="s">
        <v>255</v>
      </c>
      <c r="F19" s="506">
        <v>0</v>
      </c>
      <c r="G19" s="507">
        <f>G20</f>
        <v>2417.1799999999998</v>
      </c>
      <c r="H19" s="508" t="s">
        <v>255</v>
      </c>
      <c r="I19" s="504"/>
      <c r="J19" s="507"/>
      <c r="K19" s="509"/>
      <c r="L19" s="118"/>
    </row>
    <row r="20" spans="1:12" ht="30.75" customHeight="1" x14ac:dyDescent="0.2">
      <c r="A20" s="277">
        <v>13030000</v>
      </c>
      <c r="B20" s="303" t="s">
        <v>430</v>
      </c>
      <c r="C20" s="496">
        <v>0</v>
      </c>
      <c r="D20" s="497">
        <f t="shared" si="0"/>
        <v>2417.1799999999998</v>
      </c>
      <c r="E20" s="498" t="s">
        <v>255</v>
      </c>
      <c r="F20" s="499">
        <v>0</v>
      </c>
      <c r="G20" s="281">
        <v>2417.1799999999998</v>
      </c>
      <c r="H20" s="508" t="s">
        <v>255</v>
      </c>
      <c r="I20" s="496"/>
      <c r="J20" s="502"/>
      <c r="K20" s="503"/>
      <c r="L20" s="118"/>
    </row>
    <row r="21" spans="1:12" ht="15.75" x14ac:dyDescent="0.2">
      <c r="A21" s="291" t="s">
        <v>270</v>
      </c>
      <c r="B21" s="302" t="s">
        <v>271</v>
      </c>
      <c r="C21" s="504">
        <f>F21</f>
        <v>31113700</v>
      </c>
      <c r="D21" s="280">
        <f t="shared" si="0"/>
        <v>32832333.579999998</v>
      </c>
      <c r="E21" s="505">
        <f>H21</f>
        <v>105.52371971189541</v>
      </c>
      <c r="F21" s="506">
        <f>F22+F23+F24</f>
        <v>31113700</v>
      </c>
      <c r="G21" s="507">
        <f>G22+G23+G24</f>
        <v>32832333.579999998</v>
      </c>
      <c r="H21" s="510">
        <f t="shared" si="2"/>
        <v>105.52371971189541</v>
      </c>
      <c r="I21" s="501"/>
      <c r="J21" s="502"/>
      <c r="K21" s="503"/>
      <c r="L21" s="118"/>
    </row>
    <row r="22" spans="1:12" ht="33.75" customHeight="1" x14ac:dyDescent="0.2">
      <c r="A22" s="289" t="s">
        <v>272</v>
      </c>
      <c r="B22" s="301" t="s">
        <v>273</v>
      </c>
      <c r="C22" s="496">
        <f t="shared" si="3"/>
        <v>1040800</v>
      </c>
      <c r="D22" s="497">
        <f t="shared" si="0"/>
        <v>1272262.3</v>
      </c>
      <c r="E22" s="498">
        <f t="shared" si="1"/>
        <v>122.23888355111454</v>
      </c>
      <c r="F22" s="499">
        <v>1040800</v>
      </c>
      <c r="G22" s="281">
        <v>1272262.3</v>
      </c>
      <c r="H22" s="500">
        <f t="shared" si="2"/>
        <v>122.23888355111454</v>
      </c>
      <c r="I22" s="496"/>
      <c r="J22" s="502"/>
      <c r="K22" s="503"/>
      <c r="L22" s="118"/>
    </row>
    <row r="23" spans="1:12" ht="31.5" x14ac:dyDescent="0.2">
      <c r="A23" s="289" t="s">
        <v>274</v>
      </c>
      <c r="B23" s="301" t="s">
        <v>275</v>
      </c>
      <c r="C23" s="496">
        <f t="shared" si="3"/>
        <v>10442600</v>
      </c>
      <c r="D23" s="497">
        <f t="shared" si="0"/>
        <v>11227243.060000001</v>
      </c>
      <c r="E23" s="498">
        <f t="shared" si="1"/>
        <v>107.51386685308258</v>
      </c>
      <c r="F23" s="499">
        <v>10442600</v>
      </c>
      <c r="G23" s="281">
        <v>11227243.060000001</v>
      </c>
      <c r="H23" s="500">
        <f t="shared" si="2"/>
        <v>107.51386685308258</v>
      </c>
      <c r="I23" s="496"/>
      <c r="J23" s="502"/>
      <c r="K23" s="503"/>
      <c r="L23" s="118"/>
    </row>
    <row r="24" spans="1:12" ht="31.5" x14ac:dyDescent="0.2">
      <c r="A24" s="289" t="s">
        <v>276</v>
      </c>
      <c r="B24" s="301" t="s">
        <v>277</v>
      </c>
      <c r="C24" s="496">
        <f t="shared" si="3"/>
        <v>19630300</v>
      </c>
      <c r="D24" s="497">
        <f t="shared" si="0"/>
        <v>20332828.219999999</v>
      </c>
      <c r="E24" s="498">
        <f t="shared" si="1"/>
        <v>103.57879512793997</v>
      </c>
      <c r="F24" s="499">
        <v>19630300</v>
      </c>
      <c r="G24" s="281">
        <v>20332828.219999999</v>
      </c>
      <c r="H24" s="500">
        <f t="shared" si="2"/>
        <v>103.57879512793997</v>
      </c>
      <c r="I24" s="496"/>
      <c r="J24" s="502"/>
      <c r="K24" s="503"/>
      <c r="L24" s="118"/>
    </row>
    <row r="25" spans="1:12" ht="50.25" customHeight="1" x14ac:dyDescent="0.2">
      <c r="A25" s="291" t="s">
        <v>278</v>
      </c>
      <c r="B25" s="302" t="s">
        <v>279</v>
      </c>
      <c r="C25" s="504">
        <f>F25</f>
        <v>186248100</v>
      </c>
      <c r="D25" s="280">
        <f t="shared" si="0"/>
        <v>188612560.99000001</v>
      </c>
      <c r="E25" s="505">
        <f t="shared" si="1"/>
        <v>101.26952220720642</v>
      </c>
      <c r="F25" s="506">
        <f>F26+F38+F39</f>
        <v>186248100</v>
      </c>
      <c r="G25" s="507">
        <f>G26+G38+G39</f>
        <v>188612560.99000001</v>
      </c>
      <c r="H25" s="510">
        <f t="shared" si="2"/>
        <v>101.26952220720642</v>
      </c>
      <c r="I25" s="501"/>
      <c r="J25" s="502"/>
      <c r="K25" s="503"/>
      <c r="L25" s="118"/>
    </row>
    <row r="26" spans="1:12" ht="15.75" x14ac:dyDescent="0.2">
      <c r="A26" s="289" t="s">
        <v>280</v>
      </c>
      <c r="B26" s="301" t="s">
        <v>281</v>
      </c>
      <c r="C26" s="496">
        <f>F26</f>
        <v>145118200</v>
      </c>
      <c r="D26" s="497">
        <f t="shared" si="0"/>
        <v>146093570.90000001</v>
      </c>
      <c r="E26" s="498">
        <f t="shared" si="1"/>
        <v>100.67212169114556</v>
      </c>
      <c r="F26" s="499">
        <f>F27+F32+F37</f>
        <v>145118200</v>
      </c>
      <c r="G26" s="281">
        <f>G27+G32+G37</f>
        <v>146093570.90000001</v>
      </c>
      <c r="H26" s="500">
        <f t="shared" si="2"/>
        <v>100.67212169114556</v>
      </c>
      <c r="I26" s="496"/>
      <c r="J26" s="502"/>
      <c r="K26" s="503"/>
      <c r="L26" s="118"/>
    </row>
    <row r="27" spans="1:12" ht="27" customHeight="1" x14ac:dyDescent="0.2">
      <c r="A27" s="289"/>
      <c r="B27" s="301" t="s">
        <v>282</v>
      </c>
      <c r="C27" s="496">
        <f>F27+I27</f>
        <v>9718800</v>
      </c>
      <c r="D27" s="497">
        <f t="shared" si="0"/>
        <v>10214519.57</v>
      </c>
      <c r="E27" s="498">
        <f t="shared" si="1"/>
        <v>105.10062528295674</v>
      </c>
      <c r="F27" s="499">
        <f>F28+F29+F30+F31</f>
        <v>9718800</v>
      </c>
      <c r="G27" s="499">
        <f>G28+G29+G30+G31</f>
        <v>10214519.57</v>
      </c>
      <c r="H27" s="500">
        <f t="shared" si="2"/>
        <v>105.10062528295674</v>
      </c>
      <c r="I27" s="496"/>
      <c r="J27" s="502"/>
      <c r="K27" s="503"/>
      <c r="L27" s="118"/>
    </row>
    <row r="28" spans="1:12" ht="51.75" customHeight="1" x14ac:dyDescent="0.2">
      <c r="A28" s="277">
        <v>18010100</v>
      </c>
      <c r="B28" s="301" t="s">
        <v>283</v>
      </c>
      <c r="C28" s="496">
        <f t="shared" ref="C28:C31" si="4">F28+I28</f>
        <v>22000</v>
      </c>
      <c r="D28" s="497">
        <f t="shared" si="0"/>
        <v>36481.769999999997</v>
      </c>
      <c r="E28" s="498">
        <f t="shared" si="1"/>
        <v>165.82622727272727</v>
      </c>
      <c r="F28" s="499">
        <v>22000</v>
      </c>
      <c r="G28" s="281">
        <v>36481.769999999997</v>
      </c>
      <c r="H28" s="500">
        <f t="shared" si="2"/>
        <v>165.82622727272727</v>
      </c>
      <c r="I28" s="496"/>
      <c r="J28" s="502"/>
      <c r="K28" s="503"/>
      <c r="L28" s="118"/>
    </row>
    <row r="29" spans="1:12" ht="47.25" x14ac:dyDescent="0.2">
      <c r="A29" s="277">
        <v>18010200</v>
      </c>
      <c r="B29" s="301" t="s">
        <v>284</v>
      </c>
      <c r="C29" s="496">
        <f t="shared" si="4"/>
        <v>786300</v>
      </c>
      <c r="D29" s="497">
        <f t="shared" si="0"/>
        <v>914273.56</v>
      </c>
      <c r="E29" s="498">
        <f t="shared" si="1"/>
        <v>116.2754114205774</v>
      </c>
      <c r="F29" s="499">
        <v>786300</v>
      </c>
      <c r="G29" s="281">
        <v>914273.56</v>
      </c>
      <c r="H29" s="500">
        <f t="shared" si="2"/>
        <v>116.2754114205774</v>
      </c>
      <c r="I29" s="496"/>
      <c r="J29" s="502"/>
      <c r="K29" s="503"/>
      <c r="L29" s="118"/>
    </row>
    <row r="30" spans="1:12" ht="51" customHeight="1" x14ac:dyDescent="0.2">
      <c r="A30" s="277">
        <v>18010300</v>
      </c>
      <c r="B30" s="301" t="s">
        <v>285</v>
      </c>
      <c r="C30" s="496">
        <f t="shared" si="4"/>
        <v>2804500</v>
      </c>
      <c r="D30" s="497">
        <f t="shared" si="0"/>
        <v>2929063.64</v>
      </c>
      <c r="E30" s="498">
        <f t="shared" si="1"/>
        <v>104.4415632019968</v>
      </c>
      <c r="F30" s="499">
        <v>2804500</v>
      </c>
      <c r="G30" s="281">
        <v>2929063.64</v>
      </c>
      <c r="H30" s="500">
        <f t="shared" si="2"/>
        <v>104.4415632019968</v>
      </c>
      <c r="I30" s="496"/>
      <c r="J30" s="502"/>
      <c r="K30" s="503"/>
      <c r="L30" s="118"/>
    </row>
    <row r="31" spans="1:12" ht="47.25" customHeight="1" x14ac:dyDescent="0.2">
      <c r="A31" s="277">
        <v>18010400</v>
      </c>
      <c r="B31" s="301" t="s">
        <v>286</v>
      </c>
      <c r="C31" s="496">
        <f t="shared" si="4"/>
        <v>6106000</v>
      </c>
      <c r="D31" s="497">
        <f t="shared" si="0"/>
        <v>6334700.5999999996</v>
      </c>
      <c r="E31" s="498">
        <f t="shared" si="1"/>
        <v>103.74550605961348</v>
      </c>
      <c r="F31" s="499">
        <v>6106000</v>
      </c>
      <c r="G31" s="281">
        <v>6334700.5999999996</v>
      </c>
      <c r="H31" s="500">
        <f t="shared" si="2"/>
        <v>103.74550605961348</v>
      </c>
      <c r="I31" s="496"/>
      <c r="J31" s="502"/>
      <c r="K31" s="503"/>
      <c r="L31" s="118"/>
    </row>
    <row r="32" spans="1:12" ht="15.75" x14ac:dyDescent="0.2">
      <c r="A32" s="277"/>
      <c r="B32" s="301" t="s">
        <v>287</v>
      </c>
      <c r="C32" s="496">
        <f>F32+I32</f>
        <v>135366100</v>
      </c>
      <c r="D32" s="497">
        <f t="shared" si="0"/>
        <v>135845717.99000001</v>
      </c>
      <c r="E32" s="498">
        <f t="shared" si="1"/>
        <v>100.35431174422548</v>
      </c>
      <c r="F32" s="499">
        <f>F33+F34+F35+F36</f>
        <v>135366100</v>
      </c>
      <c r="G32" s="281">
        <f>G33+G34+G35+G36</f>
        <v>135845717.99000001</v>
      </c>
      <c r="H32" s="500">
        <f t="shared" si="2"/>
        <v>100.35431174422548</v>
      </c>
      <c r="I32" s="496"/>
      <c r="J32" s="502"/>
      <c r="K32" s="503"/>
      <c r="L32" s="118"/>
    </row>
    <row r="33" spans="1:12" ht="15.75" x14ac:dyDescent="0.2">
      <c r="A33" s="277">
        <v>18010500</v>
      </c>
      <c r="B33" s="301" t="s">
        <v>288</v>
      </c>
      <c r="C33" s="496">
        <f t="shared" ref="C33:C37" si="5">F33+I33</f>
        <v>92829300</v>
      </c>
      <c r="D33" s="497">
        <f t="shared" si="0"/>
        <v>91727568.079999998</v>
      </c>
      <c r="E33" s="498">
        <f t="shared" si="1"/>
        <v>98.813163602440184</v>
      </c>
      <c r="F33" s="499">
        <v>92829300</v>
      </c>
      <c r="G33" s="281">
        <v>91727568.079999998</v>
      </c>
      <c r="H33" s="500">
        <f t="shared" si="2"/>
        <v>98.813163602440184</v>
      </c>
      <c r="I33" s="496"/>
      <c r="J33" s="502"/>
      <c r="K33" s="503"/>
      <c r="L33" s="118"/>
    </row>
    <row r="34" spans="1:12" ht="15.75" x14ac:dyDescent="0.2">
      <c r="A34" s="277">
        <v>18010600</v>
      </c>
      <c r="B34" s="301" t="s">
        <v>289</v>
      </c>
      <c r="C34" s="496">
        <f t="shared" si="5"/>
        <v>39043000</v>
      </c>
      <c r="D34" s="497">
        <f t="shared" si="0"/>
        <v>40071393.890000001</v>
      </c>
      <c r="E34" s="498">
        <f t="shared" si="1"/>
        <v>102.63400325282382</v>
      </c>
      <c r="F34" s="499">
        <v>39043000</v>
      </c>
      <c r="G34" s="281">
        <v>40071393.890000001</v>
      </c>
      <c r="H34" s="500">
        <f t="shared" si="2"/>
        <v>102.63400325282382</v>
      </c>
      <c r="I34" s="496"/>
      <c r="J34" s="502"/>
      <c r="K34" s="503"/>
      <c r="L34" s="118"/>
    </row>
    <row r="35" spans="1:12" ht="15.75" x14ac:dyDescent="0.2">
      <c r="A35" s="277">
        <v>18010700</v>
      </c>
      <c r="B35" s="301" t="s">
        <v>290</v>
      </c>
      <c r="C35" s="496">
        <f t="shared" si="5"/>
        <v>1474200</v>
      </c>
      <c r="D35" s="497">
        <f t="shared" si="0"/>
        <v>1977591.36</v>
      </c>
      <c r="E35" s="498">
        <f t="shared" si="1"/>
        <v>134.14674806674807</v>
      </c>
      <c r="F35" s="499">
        <v>1474200</v>
      </c>
      <c r="G35" s="281">
        <v>1977591.36</v>
      </c>
      <c r="H35" s="500">
        <f t="shared" si="2"/>
        <v>134.14674806674807</v>
      </c>
      <c r="I35" s="496"/>
      <c r="J35" s="502"/>
      <c r="K35" s="503"/>
      <c r="L35" s="118"/>
    </row>
    <row r="36" spans="1:12" ht="15.75" x14ac:dyDescent="0.2">
      <c r="A36" s="277">
        <v>18010900</v>
      </c>
      <c r="B36" s="301" t="s">
        <v>291</v>
      </c>
      <c r="C36" s="496">
        <f t="shared" si="5"/>
        <v>2019600</v>
      </c>
      <c r="D36" s="497">
        <f t="shared" si="0"/>
        <v>2069164.66</v>
      </c>
      <c r="E36" s="498">
        <f t="shared" si="1"/>
        <v>102.45418201624084</v>
      </c>
      <c r="F36" s="499">
        <v>2019600</v>
      </c>
      <c r="G36" s="281">
        <v>2069164.66</v>
      </c>
      <c r="H36" s="500">
        <f t="shared" si="2"/>
        <v>102.45418201624084</v>
      </c>
      <c r="I36" s="496"/>
      <c r="J36" s="502"/>
      <c r="K36" s="503"/>
      <c r="L36" s="118"/>
    </row>
    <row r="37" spans="1:12" ht="15.75" x14ac:dyDescent="0.2">
      <c r="A37" s="277">
        <v>18011000</v>
      </c>
      <c r="B37" s="301" t="s">
        <v>423</v>
      </c>
      <c r="C37" s="496">
        <f t="shared" si="5"/>
        <v>33300</v>
      </c>
      <c r="D37" s="497">
        <f>G37</f>
        <v>33333.339999999997</v>
      </c>
      <c r="E37" s="498">
        <f>H37</f>
        <v>100.10012012012011</v>
      </c>
      <c r="F37" s="511">
        <v>33300</v>
      </c>
      <c r="G37" s="281">
        <v>33333.339999999997</v>
      </c>
      <c r="H37" s="500">
        <f>G37/F37*100</f>
        <v>100.10012012012011</v>
      </c>
      <c r="I37" s="496"/>
      <c r="J37" s="502"/>
      <c r="K37" s="503"/>
      <c r="L37" s="118"/>
    </row>
    <row r="38" spans="1:12" ht="31.5" x14ac:dyDescent="0.2">
      <c r="A38" s="289" t="s">
        <v>292</v>
      </c>
      <c r="B38" s="301" t="s">
        <v>293</v>
      </c>
      <c r="C38" s="496">
        <f>F38</f>
        <v>35900</v>
      </c>
      <c r="D38" s="497">
        <f t="shared" si="0"/>
        <v>100731</v>
      </c>
      <c r="E38" s="525" t="str">
        <f>H38</f>
        <v>збільшення у 2,8 разів</v>
      </c>
      <c r="F38" s="499">
        <v>35900</v>
      </c>
      <c r="G38" s="281">
        <v>100731</v>
      </c>
      <c r="H38" s="526" t="s">
        <v>732</v>
      </c>
      <c r="I38" s="496"/>
      <c r="J38" s="502"/>
      <c r="K38" s="503"/>
      <c r="L38" s="118"/>
    </row>
    <row r="39" spans="1:12" ht="15.75" x14ac:dyDescent="0.2">
      <c r="A39" s="289" t="s">
        <v>294</v>
      </c>
      <c r="B39" s="301" t="s">
        <v>295</v>
      </c>
      <c r="C39" s="496">
        <f>F39</f>
        <v>41094000</v>
      </c>
      <c r="D39" s="497">
        <f t="shared" si="0"/>
        <v>42418259.090000004</v>
      </c>
      <c r="E39" s="498">
        <f t="shared" si="1"/>
        <v>103.22251202121966</v>
      </c>
      <c r="F39" s="499">
        <v>41094000</v>
      </c>
      <c r="G39" s="281">
        <v>42418259.090000004</v>
      </c>
      <c r="H39" s="500">
        <f t="shared" si="2"/>
        <v>103.22251202121966</v>
      </c>
      <c r="I39" s="496"/>
      <c r="J39" s="502"/>
      <c r="K39" s="503"/>
      <c r="L39" s="118"/>
    </row>
    <row r="40" spans="1:12" ht="15.75" x14ac:dyDescent="0.2">
      <c r="A40" s="291" t="s">
        <v>296</v>
      </c>
      <c r="B40" s="302" t="s">
        <v>297</v>
      </c>
      <c r="C40" s="504">
        <f>I40</f>
        <v>394100</v>
      </c>
      <c r="D40" s="512">
        <f t="shared" si="0"/>
        <v>394284.83</v>
      </c>
      <c r="E40" s="513">
        <f t="shared" si="1"/>
        <v>100.04689926414616</v>
      </c>
      <c r="F40" s="506"/>
      <c r="G40" s="507"/>
      <c r="H40" s="508"/>
      <c r="I40" s="504">
        <f>I41</f>
        <v>394100</v>
      </c>
      <c r="J40" s="507">
        <f>J41</f>
        <v>394284.83</v>
      </c>
      <c r="K40" s="509">
        <f>J40/I40*100</f>
        <v>100.04689926414616</v>
      </c>
      <c r="L40" s="118"/>
    </row>
    <row r="41" spans="1:12" ht="16.5" thickBot="1" x14ac:dyDescent="0.25">
      <c r="A41" s="292" t="s">
        <v>298</v>
      </c>
      <c r="B41" s="304" t="s">
        <v>299</v>
      </c>
      <c r="C41" s="514">
        <f>I41</f>
        <v>394100</v>
      </c>
      <c r="D41" s="515">
        <f t="shared" si="0"/>
        <v>394284.83</v>
      </c>
      <c r="E41" s="516">
        <f t="shared" si="1"/>
        <v>100.04689926414616</v>
      </c>
      <c r="F41" s="517"/>
      <c r="G41" s="284"/>
      <c r="H41" s="518"/>
      <c r="I41" s="514">
        <v>394100</v>
      </c>
      <c r="J41" s="284">
        <v>394284.83</v>
      </c>
      <c r="K41" s="519">
        <f t="shared" ref="K41:K42" si="6">J41/I41*100</f>
        <v>100.04689926414616</v>
      </c>
      <c r="L41" s="118"/>
    </row>
    <row r="42" spans="1:12" ht="16.5" thickBot="1" x14ac:dyDescent="0.25">
      <c r="A42" s="282" t="s">
        <v>300</v>
      </c>
      <c r="B42" s="299" t="s">
        <v>301</v>
      </c>
      <c r="C42" s="485">
        <f>F42+I42</f>
        <v>16954000</v>
      </c>
      <c r="D42" s="286">
        <f t="shared" si="0"/>
        <v>21333691.32</v>
      </c>
      <c r="E42" s="482">
        <f t="shared" si="1"/>
        <v>125.83279060988556</v>
      </c>
      <c r="F42" s="520">
        <f>F43+F48+F55</f>
        <v>5238600</v>
      </c>
      <c r="G42" s="486">
        <f>G43+G48+G55</f>
        <v>5848090.0599999996</v>
      </c>
      <c r="H42" s="484">
        <f t="shared" si="2"/>
        <v>111.63459817508495</v>
      </c>
      <c r="I42" s="485">
        <f>I55+I60</f>
        <v>11715400</v>
      </c>
      <c r="J42" s="486">
        <f>J55+J60</f>
        <v>15485601.26</v>
      </c>
      <c r="K42" s="487">
        <f t="shared" si="6"/>
        <v>132.18158372740155</v>
      </c>
      <c r="L42" s="118"/>
    </row>
    <row r="43" spans="1:12" ht="15.75" x14ac:dyDescent="0.2">
      <c r="A43" s="288" t="s">
        <v>302</v>
      </c>
      <c r="B43" s="300" t="s">
        <v>303</v>
      </c>
      <c r="C43" s="521">
        <f t="shared" ref="C43:C54" si="7">F43</f>
        <v>1031000</v>
      </c>
      <c r="D43" s="489">
        <f t="shared" si="0"/>
        <v>1284563.18</v>
      </c>
      <c r="E43" s="490">
        <f t="shared" si="1"/>
        <v>124.59390688651794</v>
      </c>
      <c r="F43" s="522">
        <f>F44+F45+F47+F46</f>
        <v>1031000</v>
      </c>
      <c r="G43" s="523">
        <f>G44+G45+G47+G46</f>
        <v>1284563.18</v>
      </c>
      <c r="H43" s="492">
        <f t="shared" si="2"/>
        <v>124.59390688651794</v>
      </c>
      <c r="I43" s="493"/>
      <c r="J43" s="494"/>
      <c r="K43" s="495"/>
      <c r="L43" s="118"/>
    </row>
    <row r="44" spans="1:12" ht="47.25" x14ac:dyDescent="0.2">
      <c r="A44" s="289" t="s">
        <v>304</v>
      </c>
      <c r="B44" s="301" t="s">
        <v>305</v>
      </c>
      <c r="C44" s="496">
        <f t="shared" si="7"/>
        <v>129000</v>
      </c>
      <c r="D44" s="497">
        <f t="shared" si="0"/>
        <v>134361.89000000001</v>
      </c>
      <c r="E44" s="498">
        <f t="shared" si="1"/>
        <v>104.15650387596899</v>
      </c>
      <c r="F44" s="499">
        <v>129000</v>
      </c>
      <c r="G44" s="281">
        <v>134361.89000000001</v>
      </c>
      <c r="H44" s="500">
        <f t="shared" si="2"/>
        <v>104.15650387596899</v>
      </c>
      <c r="I44" s="496"/>
      <c r="J44" s="281"/>
      <c r="K44" s="524"/>
      <c r="L44" s="118"/>
    </row>
    <row r="45" spans="1:12" ht="23.25" customHeight="1" x14ac:dyDescent="0.2">
      <c r="A45" s="289" t="s">
        <v>306</v>
      </c>
      <c r="B45" s="301" t="s">
        <v>307</v>
      </c>
      <c r="C45" s="496">
        <f t="shared" si="7"/>
        <v>17000</v>
      </c>
      <c r="D45" s="497">
        <f t="shared" si="0"/>
        <v>17760</v>
      </c>
      <c r="E45" s="498">
        <f t="shared" si="1"/>
        <v>104.47058823529412</v>
      </c>
      <c r="F45" s="499">
        <v>17000</v>
      </c>
      <c r="G45" s="281">
        <v>17760</v>
      </c>
      <c r="H45" s="500">
        <f t="shared" si="2"/>
        <v>104.47058823529412</v>
      </c>
      <c r="I45" s="496"/>
      <c r="J45" s="281"/>
      <c r="K45" s="524"/>
      <c r="L45" s="118"/>
    </row>
    <row r="46" spans="1:12" ht="80.25" customHeight="1" x14ac:dyDescent="0.2">
      <c r="A46" s="277">
        <v>21081500</v>
      </c>
      <c r="B46" s="758" t="s">
        <v>425</v>
      </c>
      <c r="C46" s="496">
        <f t="shared" si="7"/>
        <v>0</v>
      </c>
      <c r="D46" s="497">
        <f t="shared" si="0"/>
        <v>143341.42000000001</v>
      </c>
      <c r="E46" s="498" t="s">
        <v>255</v>
      </c>
      <c r="F46" s="499">
        <v>0</v>
      </c>
      <c r="G46" s="281">
        <v>143341.42000000001</v>
      </c>
      <c r="H46" s="500" t="s">
        <v>255</v>
      </c>
      <c r="I46" s="496"/>
      <c r="J46" s="281"/>
      <c r="K46" s="524"/>
      <c r="L46" s="118"/>
    </row>
    <row r="47" spans="1:12" ht="15.75" x14ac:dyDescent="0.2">
      <c r="A47" s="289" t="s">
        <v>308</v>
      </c>
      <c r="B47" s="301" t="s">
        <v>309</v>
      </c>
      <c r="C47" s="496">
        <f t="shared" si="7"/>
        <v>885000</v>
      </c>
      <c r="D47" s="497">
        <f t="shared" si="0"/>
        <v>989099.87</v>
      </c>
      <c r="E47" s="498">
        <f t="shared" si="1"/>
        <v>111.76269717514124</v>
      </c>
      <c r="F47" s="499">
        <v>885000</v>
      </c>
      <c r="G47" s="281">
        <v>989099.87</v>
      </c>
      <c r="H47" s="500">
        <f t="shared" si="2"/>
        <v>111.76269717514124</v>
      </c>
      <c r="I47" s="496"/>
      <c r="J47" s="281"/>
      <c r="K47" s="524"/>
      <c r="L47" s="118"/>
    </row>
    <row r="48" spans="1:12" ht="31.5" x14ac:dyDescent="0.2">
      <c r="A48" s="291" t="s">
        <v>310</v>
      </c>
      <c r="B48" s="302" t="s">
        <v>311</v>
      </c>
      <c r="C48" s="504">
        <f t="shared" si="7"/>
        <v>2407400</v>
      </c>
      <c r="D48" s="280">
        <f t="shared" si="0"/>
        <v>2678854.2599999998</v>
      </c>
      <c r="E48" s="505">
        <f t="shared" si="1"/>
        <v>111.27582703331393</v>
      </c>
      <c r="F48" s="506">
        <f>F49+F50+F51+F53+F54+F52</f>
        <v>2407400</v>
      </c>
      <c r="G48" s="507">
        <f>G49+G50+G51+G53+G54+G52</f>
        <v>2678854.2599999998</v>
      </c>
      <c r="H48" s="510">
        <f t="shared" si="2"/>
        <v>111.27582703331393</v>
      </c>
      <c r="I48" s="501"/>
      <c r="J48" s="502"/>
      <c r="K48" s="503"/>
      <c r="L48" s="118"/>
    </row>
    <row r="49" spans="1:12" ht="51.75" customHeight="1" x14ac:dyDescent="0.2">
      <c r="A49" s="289" t="s">
        <v>312</v>
      </c>
      <c r="B49" s="301" t="s">
        <v>313</v>
      </c>
      <c r="C49" s="496">
        <f t="shared" si="7"/>
        <v>112600</v>
      </c>
      <c r="D49" s="497">
        <f t="shared" si="0"/>
        <v>132873</v>
      </c>
      <c r="E49" s="498">
        <f t="shared" si="1"/>
        <v>118.00444049733569</v>
      </c>
      <c r="F49" s="499">
        <v>112600</v>
      </c>
      <c r="G49" s="281">
        <v>132873</v>
      </c>
      <c r="H49" s="500">
        <f t="shared" si="2"/>
        <v>118.00444049733569</v>
      </c>
      <c r="I49" s="496"/>
      <c r="J49" s="281"/>
      <c r="K49" s="524"/>
      <c r="L49" s="118"/>
    </row>
    <row r="50" spans="1:12" ht="15.75" x14ac:dyDescent="0.2">
      <c r="A50" s="289" t="s">
        <v>314</v>
      </c>
      <c r="B50" s="301" t="s">
        <v>315</v>
      </c>
      <c r="C50" s="496">
        <f t="shared" si="7"/>
        <v>570500</v>
      </c>
      <c r="D50" s="497">
        <f t="shared" si="0"/>
        <v>632412.81999999995</v>
      </c>
      <c r="E50" s="498">
        <f t="shared" si="1"/>
        <v>110.85237861524976</v>
      </c>
      <c r="F50" s="499">
        <v>570500</v>
      </c>
      <c r="G50" s="281">
        <v>632412.81999999995</v>
      </c>
      <c r="H50" s="500">
        <f t="shared" si="2"/>
        <v>110.85237861524976</v>
      </c>
      <c r="I50" s="496"/>
      <c r="J50" s="281"/>
      <c r="K50" s="524"/>
      <c r="L50" s="118"/>
    </row>
    <row r="51" spans="1:12" ht="31.5" x14ac:dyDescent="0.2">
      <c r="A51" s="289" t="s">
        <v>316</v>
      </c>
      <c r="B51" s="301" t="s">
        <v>317</v>
      </c>
      <c r="C51" s="496">
        <f t="shared" si="7"/>
        <v>583600</v>
      </c>
      <c r="D51" s="497">
        <f t="shared" si="0"/>
        <v>618412.80000000005</v>
      </c>
      <c r="E51" s="498">
        <f t="shared" si="1"/>
        <v>105.9651816312543</v>
      </c>
      <c r="F51" s="499">
        <v>583600</v>
      </c>
      <c r="G51" s="281">
        <v>618412.80000000005</v>
      </c>
      <c r="H51" s="500">
        <f t="shared" si="2"/>
        <v>105.9651816312543</v>
      </c>
      <c r="I51" s="496"/>
      <c r="J51" s="281"/>
      <c r="K51" s="524"/>
      <c r="L51" s="118"/>
    </row>
    <row r="52" spans="1:12" ht="51" customHeight="1" x14ac:dyDescent="0.2">
      <c r="A52" s="277">
        <v>22012900</v>
      </c>
      <c r="B52" s="301" t="s">
        <v>736</v>
      </c>
      <c r="C52" s="496">
        <f t="shared" si="7"/>
        <v>0</v>
      </c>
      <c r="D52" s="497">
        <f t="shared" si="0"/>
        <v>24220</v>
      </c>
      <c r="E52" s="498" t="s">
        <v>255</v>
      </c>
      <c r="F52" s="499">
        <v>0</v>
      </c>
      <c r="G52" s="281">
        <v>24220</v>
      </c>
      <c r="H52" s="500" t="s">
        <v>255</v>
      </c>
      <c r="I52" s="496"/>
      <c r="J52" s="281"/>
      <c r="K52" s="524"/>
      <c r="L52" s="118"/>
    </row>
    <row r="53" spans="1:12" ht="47.25" x14ac:dyDescent="0.2">
      <c r="A53" s="289" t="s">
        <v>318</v>
      </c>
      <c r="B53" s="301" t="s">
        <v>319</v>
      </c>
      <c r="C53" s="496">
        <f t="shared" si="7"/>
        <v>809900</v>
      </c>
      <c r="D53" s="497">
        <f t="shared" si="0"/>
        <v>908577.9</v>
      </c>
      <c r="E53" s="498">
        <f t="shared" si="1"/>
        <v>112.18396098283738</v>
      </c>
      <c r="F53" s="499">
        <v>809900</v>
      </c>
      <c r="G53" s="281">
        <v>908577.9</v>
      </c>
      <c r="H53" s="500">
        <f t="shared" si="2"/>
        <v>112.18396098283738</v>
      </c>
      <c r="I53" s="496"/>
      <c r="J53" s="281"/>
      <c r="K53" s="524"/>
      <c r="L53" s="118"/>
    </row>
    <row r="54" spans="1:12" ht="15.75" x14ac:dyDescent="0.2">
      <c r="A54" s="289" t="s">
        <v>320</v>
      </c>
      <c r="B54" s="301" t="s">
        <v>321</v>
      </c>
      <c r="C54" s="496">
        <f t="shared" si="7"/>
        <v>330800</v>
      </c>
      <c r="D54" s="497">
        <f t="shared" si="0"/>
        <v>362357.74</v>
      </c>
      <c r="E54" s="498">
        <f t="shared" si="1"/>
        <v>109.53982466747279</v>
      </c>
      <c r="F54" s="499">
        <v>330800</v>
      </c>
      <c r="G54" s="281">
        <v>362357.74</v>
      </c>
      <c r="H54" s="500">
        <f t="shared" si="2"/>
        <v>109.53982466747279</v>
      </c>
      <c r="I54" s="501"/>
      <c r="J54" s="502"/>
      <c r="K54" s="503"/>
      <c r="L54" s="118"/>
    </row>
    <row r="55" spans="1:12" ht="15.75" x14ac:dyDescent="0.2">
      <c r="A55" s="291" t="s">
        <v>322</v>
      </c>
      <c r="B55" s="302" t="s">
        <v>323</v>
      </c>
      <c r="C55" s="504">
        <f>F55+I55</f>
        <v>1800200</v>
      </c>
      <c r="D55" s="280">
        <f>G55+J55</f>
        <v>1954957.9300000002</v>
      </c>
      <c r="E55" s="767">
        <f>H55</f>
        <v>104.69240195533831</v>
      </c>
      <c r="F55" s="506">
        <f>F56+F58</f>
        <v>1800200</v>
      </c>
      <c r="G55" s="507">
        <f>G56+G57+G58</f>
        <v>1884672.62</v>
      </c>
      <c r="H55" s="766">
        <f>G55/F55*100</f>
        <v>104.69240195533831</v>
      </c>
      <c r="I55" s="504">
        <f>I57</f>
        <v>0</v>
      </c>
      <c r="J55" s="507">
        <f>J57</f>
        <v>70285.31</v>
      </c>
      <c r="K55" s="509" t="s">
        <v>255</v>
      </c>
      <c r="L55" s="118"/>
    </row>
    <row r="56" spans="1:12" ht="19.5" customHeight="1" x14ac:dyDescent="0.2">
      <c r="A56" s="289" t="s">
        <v>324</v>
      </c>
      <c r="B56" s="301" t="s">
        <v>325</v>
      </c>
      <c r="C56" s="496">
        <f>F56</f>
        <v>724100</v>
      </c>
      <c r="D56" s="497">
        <f t="shared" si="0"/>
        <v>793264.75</v>
      </c>
      <c r="E56" s="525">
        <f>H56</f>
        <v>109.55182295263086</v>
      </c>
      <c r="F56" s="499">
        <v>724100</v>
      </c>
      <c r="G56" s="281">
        <v>793264.75</v>
      </c>
      <c r="H56" s="526">
        <f>G56/F56*100</f>
        <v>109.55182295263086</v>
      </c>
      <c r="I56" s="496"/>
      <c r="J56" s="281"/>
      <c r="K56" s="524"/>
      <c r="L56" s="118"/>
    </row>
    <row r="57" spans="1:12" ht="54.75" customHeight="1" x14ac:dyDescent="0.2">
      <c r="A57" s="277">
        <v>24062100</v>
      </c>
      <c r="B57" s="301" t="s">
        <v>662</v>
      </c>
      <c r="C57" s="496">
        <f>F57</f>
        <v>0</v>
      </c>
      <c r="D57" s="497">
        <f t="shared" si="0"/>
        <v>70285.31</v>
      </c>
      <c r="E57" s="525" t="s">
        <v>255</v>
      </c>
      <c r="F57" s="499"/>
      <c r="G57" s="281"/>
      <c r="H57" s="526"/>
      <c r="I57" s="496">
        <v>0</v>
      </c>
      <c r="J57" s="281">
        <v>70285.31</v>
      </c>
      <c r="K57" s="524" t="s">
        <v>255</v>
      </c>
      <c r="L57" s="118"/>
    </row>
    <row r="58" spans="1:12" ht="93.75" customHeight="1" x14ac:dyDescent="0.2">
      <c r="A58" s="289" t="s">
        <v>326</v>
      </c>
      <c r="B58" s="301" t="s">
        <v>327</v>
      </c>
      <c r="C58" s="496">
        <f>F58</f>
        <v>1076100</v>
      </c>
      <c r="D58" s="497">
        <f t="shared" si="0"/>
        <v>1091407.8700000001</v>
      </c>
      <c r="E58" s="525">
        <f>H58</f>
        <v>101.42253229253788</v>
      </c>
      <c r="F58" s="499">
        <v>1076100</v>
      </c>
      <c r="G58" s="281">
        <v>1091407.8700000001</v>
      </c>
      <c r="H58" s="526">
        <f>G58/F58*100</f>
        <v>101.42253229253788</v>
      </c>
      <c r="I58" s="496"/>
      <c r="J58" s="281"/>
      <c r="K58" s="524"/>
      <c r="L58" s="118"/>
    </row>
    <row r="59" spans="1:12" ht="1.5" hidden="1" customHeight="1" x14ac:dyDescent="0.2">
      <c r="A59" s="289" t="s">
        <v>328</v>
      </c>
      <c r="B59" s="301" t="s">
        <v>329</v>
      </c>
      <c r="C59" s="496"/>
      <c r="D59" s="497"/>
      <c r="E59" s="498"/>
      <c r="F59" s="499"/>
      <c r="G59" s="281"/>
      <c r="H59" s="508"/>
      <c r="I59" s="496"/>
      <c r="J59" s="281"/>
      <c r="K59" s="524"/>
      <c r="L59" s="118"/>
    </row>
    <row r="60" spans="1:12" ht="18.75" customHeight="1" x14ac:dyDescent="0.2">
      <c r="A60" s="291" t="s">
        <v>330</v>
      </c>
      <c r="B60" s="302" t="s">
        <v>331</v>
      </c>
      <c r="C60" s="504">
        <f>I60</f>
        <v>11715400</v>
      </c>
      <c r="D60" s="512">
        <f t="shared" si="0"/>
        <v>15415315.949999999</v>
      </c>
      <c r="E60" s="513">
        <f t="shared" si="1"/>
        <v>131.58164424603513</v>
      </c>
      <c r="F60" s="506"/>
      <c r="G60" s="507"/>
      <c r="H60" s="508"/>
      <c r="I60" s="504">
        <f>I61+I62</f>
        <v>11715400</v>
      </c>
      <c r="J60" s="507">
        <f>J61+J62</f>
        <v>15415315.949999999</v>
      </c>
      <c r="K60" s="509">
        <f>J60/I60*100</f>
        <v>131.58164424603513</v>
      </c>
      <c r="L60" s="118"/>
    </row>
    <row r="61" spans="1:12" ht="33" customHeight="1" x14ac:dyDescent="0.2">
      <c r="A61" s="289" t="s">
        <v>332</v>
      </c>
      <c r="B61" s="301" t="s">
        <v>333</v>
      </c>
      <c r="C61" s="496">
        <f>I61</f>
        <v>11715400</v>
      </c>
      <c r="D61" s="497">
        <f t="shared" si="0"/>
        <v>6988998.5</v>
      </c>
      <c r="E61" s="498">
        <f t="shared" si="1"/>
        <v>59.656507673660307</v>
      </c>
      <c r="F61" s="499"/>
      <c r="G61" s="281"/>
      <c r="H61" s="508"/>
      <c r="I61" s="496">
        <v>11715400</v>
      </c>
      <c r="J61" s="281">
        <v>6988998.5</v>
      </c>
      <c r="K61" s="524">
        <f>J61/I61*100</f>
        <v>59.656507673660307</v>
      </c>
      <c r="L61" s="118"/>
    </row>
    <row r="62" spans="1:12" ht="22.5" customHeight="1" thickBot="1" x14ac:dyDescent="0.25">
      <c r="A62" s="293">
        <v>25020000</v>
      </c>
      <c r="B62" s="304" t="s">
        <v>426</v>
      </c>
      <c r="C62" s="514">
        <v>0</v>
      </c>
      <c r="D62" s="515">
        <f t="shared" si="0"/>
        <v>8426317.4499999993</v>
      </c>
      <c r="E62" s="516" t="s">
        <v>255</v>
      </c>
      <c r="F62" s="517"/>
      <c r="G62" s="284"/>
      <c r="H62" s="518"/>
      <c r="I62" s="514">
        <v>0</v>
      </c>
      <c r="J62" s="284">
        <v>8426317.4499999993</v>
      </c>
      <c r="K62" s="519" t="s">
        <v>255</v>
      </c>
      <c r="L62" s="118"/>
    </row>
    <row r="63" spans="1:12" ht="16.5" thickBot="1" x14ac:dyDescent="0.25">
      <c r="A63" s="283" t="s">
        <v>334</v>
      </c>
      <c r="B63" s="305" t="s">
        <v>335</v>
      </c>
      <c r="C63" s="527">
        <f>C65</f>
        <v>8443400</v>
      </c>
      <c r="D63" s="286">
        <f t="shared" si="0"/>
        <v>9617237.25</v>
      </c>
      <c r="E63" s="482">
        <f t="shared" si="1"/>
        <v>113.90242378662624</v>
      </c>
      <c r="F63" s="528"/>
      <c r="G63" s="529"/>
      <c r="H63" s="484"/>
      <c r="I63" s="527">
        <f>I65+I64</f>
        <v>8443400</v>
      </c>
      <c r="J63" s="529">
        <f>J65+J64</f>
        <v>9617237.25</v>
      </c>
      <c r="K63" s="891">
        <f>J63/I63*100</f>
        <v>113.90242378662624</v>
      </c>
      <c r="L63" s="118"/>
    </row>
    <row r="64" spans="1:12" ht="58.5" customHeight="1" x14ac:dyDescent="0.2">
      <c r="A64" s="892">
        <v>31030000</v>
      </c>
      <c r="B64" s="893" t="s">
        <v>733</v>
      </c>
      <c r="C64" s="894">
        <f>I64</f>
        <v>0</v>
      </c>
      <c r="D64" s="895">
        <f t="shared" si="0"/>
        <v>842786.25</v>
      </c>
      <c r="E64" s="896" t="s">
        <v>255</v>
      </c>
      <c r="F64" s="894"/>
      <c r="G64" s="897"/>
      <c r="H64" s="898"/>
      <c r="I64" s="899">
        <v>0</v>
      </c>
      <c r="J64" s="897">
        <v>842786.25</v>
      </c>
      <c r="K64" s="900" t="s">
        <v>255</v>
      </c>
      <c r="L64" s="118"/>
    </row>
    <row r="65" spans="1:12" ht="71.25" customHeight="1" x14ac:dyDescent="0.2">
      <c r="A65" s="289" t="s">
        <v>336</v>
      </c>
      <c r="B65" s="301" t="s">
        <v>337</v>
      </c>
      <c r="C65" s="496">
        <f>I65</f>
        <v>8443400</v>
      </c>
      <c r="D65" s="497">
        <f t="shared" si="0"/>
        <v>8774451</v>
      </c>
      <c r="E65" s="498">
        <f t="shared" si="1"/>
        <v>103.92082573370918</v>
      </c>
      <c r="F65" s="499"/>
      <c r="G65" s="281"/>
      <c r="H65" s="508"/>
      <c r="I65" s="496">
        <v>8443400</v>
      </c>
      <c r="J65" s="281">
        <v>8774451</v>
      </c>
      <c r="K65" s="916">
        <f>J65/I65*100</f>
        <v>103.92082573370918</v>
      </c>
      <c r="L65" s="118"/>
    </row>
    <row r="66" spans="1:12" ht="28.5" customHeight="1" thickBot="1" x14ac:dyDescent="0.25">
      <c r="A66" s="907"/>
      <c r="B66" s="908" t="s">
        <v>338</v>
      </c>
      <c r="C66" s="909">
        <f>F66+I66</f>
        <v>581698000</v>
      </c>
      <c r="D66" s="910">
        <f t="shared" si="0"/>
        <v>601835464.11999989</v>
      </c>
      <c r="E66" s="911">
        <f t="shared" si="1"/>
        <v>103.46184173230782</v>
      </c>
      <c r="F66" s="912">
        <f>F15+F42</f>
        <v>561145100</v>
      </c>
      <c r="G66" s="913">
        <f>G15+G42</f>
        <v>576200604.29999983</v>
      </c>
      <c r="H66" s="914">
        <f t="shared" si="2"/>
        <v>102.68299666164773</v>
      </c>
      <c r="I66" s="909">
        <f>I63+I42+I15</f>
        <v>20552900</v>
      </c>
      <c r="J66" s="913">
        <f>J63+J42+J15+J91</f>
        <v>25634859.819999997</v>
      </c>
      <c r="K66" s="915">
        <f>J66/I66*100</f>
        <v>124.72624213614623</v>
      </c>
      <c r="L66" s="118"/>
    </row>
    <row r="67" spans="1:12" ht="19.5" customHeight="1" thickBot="1" x14ac:dyDescent="0.25">
      <c r="A67" s="282" t="s">
        <v>339</v>
      </c>
      <c r="B67" s="299" t="s">
        <v>340</v>
      </c>
      <c r="C67" s="485">
        <f>F67+I67</f>
        <v>108509797</v>
      </c>
      <c r="D67" s="286">
        <f t="shared" si="0"/>
        <v>103734353.18999998</v>
      </c>
      <c r="E67" s="482">
        <f t="shared" si="1"/>
        <v>95.599066681508944</v>
      </c>
      <c r="F67" s="520">
        <f>F68</f>
        <v>104411597</v>
      </c>
      <c r="G67" s="486">
        <f>G68</f>
        <v>99636153.189999983</v>
      </c>
      <c r="H67" s="484">
        <f t="shared" si="2"/>
        <v>95.426328159696652</v>
      </c>
      <c r="I67" s="485">
        <f>I68</f>
        <v>4098200</v>
      </c>
      <c r="J67" s="486">
        <f>J68</f>
        <v>4098200</v>
      </c>
      <c r="K67" s="484">
        <f t="shared" ref="K67:K68" si="8">J67/I67*100</f>
        <v>100</v>
      </c>
      <c r="L67" s="118"/>
    </row>
    <row r="68" spans="1:12" ht="22.5" customHeight="1" x14ac:dyDescent="0.2">
      <c r="A68" s="288" t="s">
        <v>341</v>
      </c>
      <c r="B68" s="300" t="s">
        <v>342</v>
      </c>
      <c r="C68" s="521">
        <f>F68</f>
        <v>104411597</v>
      </c>
      <c r="D68" s="534">
        <f t="shared" si="0"/>
        <v>103734353.18999998</v>
      </c>
      <c r="E68" s="535">
        <f t="shared" si="1"/>
        <v>99.351371083807848</v>
      </c>
      <c r="F68" s="901">
        <f>F71+F78+F80+F69</f>
        <v>104411597</v>
      </c>
      <c r="G68" s="902">
        <f>G71+G78+G80+G69</f>
        <v>99636153.189999983</v>
      </c>
      <c r="H68" s="492">
        <f t="shared" si="2"/>
        <v>95.426328159696652</v>
      </c>
      <c r="I68" s="521">
        <f>I71+I78+I80</f>
        <v>4098200</v>
      </c>
      <c r="J68" s="523">
        <f>J71+J78+J80</f>
        <v>4098200</v>
      </c>
      <c r="K68" s="492">
        <f t="shared" si="8"/>
        <v>100</v>
      </c>
      <c r="L68" s="118"/>
    </row>
    <row r="69" spans="1:12" ht="21" customHeight="1" x14ac:dyDescent="0.2">
      <c r="A69" s="295">
        <v>41020000</v>
      </c>
      <c r="B69" s="306" t="s">
        <v>343</v>
      </c>
      <c r="C69" s="501">
        <f t="shared" ref="C69:C90" si="9">F69</f>
        <v>1041200</v>
      </c>
      <c r="D69" s="280">
        <f>G69+J69</f>
        <v>1041200</v>
      </c>
      <c r="E69" s="505">
        <f>D69/C69*100</f>
        <v>100</v>
      </c>
      <c r="F69" s="536">
        <f>F70</f>
        <v>1041200</v>
      </c>
      <c r="G69" s="502">
        <f>G70</f>
        <v>1041200</v>
      </c>
      <c r="H69" s="508">
        <f t="shared" si="2"/>
        <v>100</v>
      </c>
      <c r="I69" s="501"/>
      <c r="J69" s="502"/>
      <c r="K69" s="503"/>
      <c r="L69" s="118"/>
    </row>
    <row r="70" spans="1:12" ht="98.25" customHeight="1" x14ac:dyDescent="0.2">
      <c r="A70" s="277">
        <v>41021400</v>
      </c>
      <c r="B70" s="301" t="s">
        <v>344</v>
      </c>
      <c r="C70" s="496">
        <f t="shared" si="9"/>
        <v>1041200</v>
      </c>
      <c r="D70" s="497">
        <f>G70+J70</f>
        <v>1041200</v>
      </c>
      <c r="E70" s="498">
        <f>D70/C70*100</f>
        <v>100</v>
      </c>
      <c r="F70" s="499">
        <v>1041200</v>
      </c>
      <c r="G70" s="281">
        <v>1041200</v>
      </c>
      <c r="H70" s="500">
        <f>G70/F70*100</f>
        <v>100</v>
      </c>
      <c r="I70" s="496"/>
      <c r="J70" s="281"/>
      <c r="K70" s="524"/>
      <c r="L70" s="118"/>
    </row>
    <row r="71" spans="1:12" ht="15.75" x14ac:dyDescent="0.2">
      <c r="A71" s="294" t="s">
        <v>345</v>
      </c>
      <c r="B71" s="306" t="s">
        <v>346</v>
      </c>
      <c r="C71" s="501">
        <f>F71+I71</f>
        <v>100976900</v>
      </c>
      <c r="D71" s="280">
        <f t="shared" si="0"/>
        <v>98020423.159999982</v>
      </c>
      <c r="E71" s="505">
        <f t="shared" si="1"/>
        <v>97.072125565352053</v>
      </c>
      <c r="F71" s="536">
        <f>F73+F74+F75+F76+F72</f>
        <v>96878700</v>
      </c>
      <c r="G71" s="502">
        <f>G73+G74+G75+G76+G72</f>
        <v>93922223.159999982</v>
      </c>
      <c r="H71" s="508">
        <f t="shared" si="2"/>
        <v>96.948269495771498</v>
      </c>
      <c r="I71" s="501">
        <f>I73+I74+I75+I76+I77</f>
        <v>4098200</v>
      </c>
      <c r="J71" s="502">
        <f>J73+J74+J75+J76+J77</f>
        <v>4098200</v>
      </c>
      <c r="K71" s="508">
        <f t="shared" ref="K71" si="10">J71/I71*100</f>
        <v>100</v>
      </c>
      <c r="L71" s="118"/>
    </row>
    <row r="72" spans="1:12" ht="47.25" x14ac:dyDescent="0.2">
      <c r="A72" s="277">
        <v>41031100</v>
      </c>
      <c r="B72" s="301" t="s">
        <v>726</v>
      </c>
      <c r="C72" s="496">
        <f>F72+I72</f>
        <v>8230500</v>
      </c>
      <c r="D72" s="497">
        <f t="shared" si="0"/>
        <v>5698856.0199999996</v>
      </c>
      <c r="E72" s="498">
        <f t="shared" si="1"/>
        <v>69.240702508960567</v>
      </c>
      <c r="F72" s="499">
        <v>8230500</v>
      </c>
      <c r="G72" s="281">
        <v>5698856.0199999996</v>
      </c>
      <c r="H72" s="500">
        <f>G72/F72*100</f>
        <v>69.240702508960567</v>
      </c>
      <c r="I72" s="496"/>
      <c r="J72" s="281"/>
      <c r="K72" s="500"/>
      <c r="L72" s="118"/>
    </row>
    <row r="73" spans="1:12" ht="31.5" x14ac:dyDescent="0.2">
      <c r="A73" s="289" t="s">
        <v>347</v>
      </c>
      <c r="B73" s="301" t="s">
        <v>348</v>
      </c>
      <c r="C73" s="496">
        <f>F73+I73</f>
        <v>79946900</v>
      </c>
      <c r="D73" s="497">
        <f t="shared" si="0"/>
        <v>79946900</v>
      </c>
      <c r="E73" s="498">
        <f t="shared" si="1"/>
        <v>100</v>
      </c>
      <c r="F73" s="499">
        <v>77435200</v>
      </c>
      <c r="G73" s="281">
        <v>77435200</v>
      </c>
      <c r="H73" s="500">
        <f t="shared" si="2"/>
        <v>100</v>
      </c>
      <c r="I73" s="496">
        <v>2511700</v>
      </c>
      <c r="J73" s="281">
        <v>2511700</v>
      </c>
      <c r="K73" s="524">
        <f>J73/I73*100</f>
        <v>100</v>
      </c>
      <c r="L73" s="118"/>
    </row>
    <row r="74" spans="1:12" ht="54.75" customHeight="1" x14ac:dyDescent="0.2">
      <c r="A74" s="277">
        <v>41035400</v>
      </c>
      <c r="B74" s="301" t="s">
        <v>577</v>
      </c>
      <c r="C74" s="496">
        <f>F74+I74</f>
        <v>686300</v>
      </c>
      <c r="D74" s="497">
        <f>G74+J74</f>
        <v>686300</v>
      </c>
      <c r="E74" s="498">
        <f t="shared" si="1"/>
        <v>100</v>
      </c>
      <c r="F74" s="499">
        <v>480600</v>
      </c>
      <c r="G74" s="281">
        <v>480600</v>
      </c>
      <c r="H74" s="500">
        <f t="shared" si="2"/>
        <v>100</v>
      </c>
      <c r="I74" s="496">
        <v>205700</v>
      </c>
      <c r="J74" s="281">
        <v>205700</v>
      </c>
      <c r="K74" s="524">
        <f>J74/I74*100</f>
        <v>100</v>
      </c>
      <c r="L74" s="118"/>
    </row>
    <row r="75" spans="1:12" ht="63" x14ac:dyDescent="0.2">
      <c r="A75" s="277">
        <v>41036000</v>
      </c>
      <c r="B75" s="301" t="s">
        <v>578</v>
      </c>
      <c r="C75" s="496">
        <f t="shared" ref="C75:E79" si="11">F75</f>
        <v>1352500</v>
      </c>
      <c r="D75" s="497">
        <f t="shared" si="0"/>
        <v>1184531.6000000001</v>
      </c>
      <c r="E75" s="537">
        <f t="shared" si="1"/>
        <v>87.580894639556391</v>
      </c>
      <c r="F75" s="499">
        <v>1352500</v>
      </c>
      <c r="G75" s="281">
        <v>1184531.6000000001</v>
      </c>
      <c r="H75" s="538">
        <f t="shared" si="2"/>
        <v>87.580894639556391</v>
      </c>
      <c r="I75" s="496"/>
      <c r="J75" s="281"/>
      <c r="K75" s="524"/>
      <c r="L75" s="118"/>
    </row>
    <row r="76" spans="1:12" ht="47.25" x14ac:dyDescent="0.2">
      <c r="A76" s="277">
        <v>41036300</v>
      </c>
      <c r="B76" s="301" t="s">
        <v>579</v>
      </c>
      <c r="C76" s="496">
        <f t="shared" si="11"/>
        <v>9379900</v>
      </c>
      <c r="D76" s="497">
        <f t="shared" si="0"/>
        <v>9123035.5399999991</v>
      </c>
      <c r="E76" s="498">
        <f t="shared" si="1"/>
        <v>97.261543726478948</v>
      </c>
      <c r="F76" s="499">
        <v>9379900</v>
      </c>
      <c r="G76" s="281">
        <v>9123035.5399999991</v>
      </c>
      <c r="H76" s="500">
        <f t="shared" si="2"/>
        <v>97.261543726478948</v>
      </c>
      <c r="I76" s="496"/>
      <c r="J76" s="281"/>
      <c r="K76" s="524"/>
      <c r="L76" s="118"/>
    </row>
    <row r="77" spans="1:12" ht="63" x14ac:dyDescent="0.2">
      <c r="A77" s="277">
        <v>41037400</v>
      </c>
      <c r="B77" s="301" t="s">
        <v>663</v>
      </c>
      <c r="C77" s="496">
        <f>I77+F77</f>
        <v>1380800</v>
      </c>
      <c r="D77" s="497">
        <f>J77+G77</f>
        <v>1380800</v>
      </c>
      <c r="E77" s="498">
        <f t="shared" si="1"/>
        <v>100</v>
      </c>
      <c r="F77" s="499"/>
      <c r="G77" s="281"/>
      <c r="H77" s="500"/>
      <c r="I77" s="496">
        <v>1380800</v>
      </c>
      <c r="J77" s="281">
        <v>1380800</v>
      </c>
      <c r="K77" s="524">
        <f>J77/I77*100</f>
        <v>100</v>
      </c>
      <c r="L77" s="118"/>
    </row>
    <row r="78" spans="1:12" ht="34.5" customHeight="1" x14ac:dyDescent="0.2">
      <c r="A78" s="580">
        <v>41040000</v>
      </c>
      <c r="B78" s="539" t="s">
        <v>580</v>
      </c>
      <c r="C78" s="501">
        <f t="shared" si="11"/>
        <v>0</v>
      </c>
      <c r="D78" s="280">
        <f t="shared" si="11"/>
        <v>0</v>
      </c>
      <c r="E78" s="505" t="str">
        <f t="shared" si="11"/>
        <v>0</v>
      </c>
      <c r="F78" s="536">
        <f>F79</f>
        <v>0</v>
      </c>
      <c r="G78" s="502">
        <f>G79</f>
        <v>0</v>
      </c>
      <c r="H78" s="508" t="str">
        <f>H79</f>
        <v>0</v>
      </c>
      <c r="I78" s="496"/>
      <c r="J78" s="281"/>
      <c r="K78" s="524"/>
      <c r="L78" s="118"/>
    </row>
    <row r="79" spans="1:12" ht="15.75" x14ac:dyDescent="0.2">
      <c r="A79" s="540">
        <v>41040400</v>
      </c>
      <c r="B79" s="307" t="s">
        <v>581</v>
      </c>
      <c r="C79" s="496">
        <f t="shared" si="11"/>
        <v>0</v>
      </c>
      <c r="D79" s="497">
        <f t="shared" si="11"/>
        <v>0</v>
      </c>
      <c r="E79" s="498" t="str">
        <f t="shared" si="11"/>
        <v>0</v>
      </c>
      <c r="F79" s="499">
        <v>0</v>
      </c>
      <c r="G79" s="281">
        <v>0</v>
      </c>
      <c r="H79" s="500" t="s">
        <v>582</v>
      </c>
      <c r="I79" s="496"/>
      <c r="J79" s="281"/>
      <c r="K79" s="524"/>
      <c r="L79" s="118"/>
    </row>
    <row r="80" spans="1:12" ht="31.5" customHeight="1" x14ac:dyDescent="0.2">
      <c r="A80" s="295">
        <v>41050000</v>
      </c>
      <c r="B80" s="306" t="s">
        <v>429</v>
      </c>
      <c r="C80" s="501">
        <f>F80</f>
        <v>6491697</v>
      </c>
      <c r="D80" s="280">
        <f>G80+J80</f>
        <v>4672730.03</v>
      </c>
      <c r="E80" s="505">
        <f t="shared" si="1"/>
        <v>71.980100580788047</v>
      </c>
      <c r="F80" s="536">
        <f>F82+F84+F85+F86+F90+F88+F89+F81+F87</f>
        <v>6491697</v>
      </c>
      <c r="G80" s="536">
        <f>G82+G84+G85+G86+G90+G88+G89+G81+G87</f>
        <v>4672730.03</v>
      </c>
      <c r="H80" s="508">
        <f>G80/F80*100</f>
        <v>71.980100580788047</v>
      </c>
      <c r="I80" s="536"/>
      <c r="J80" s="501"/>
      <c r="K80" s="508"/>
      <c r="L80" s="118"/>
    </row>
    <row r="81" spans="1:12" ht="105" customHeight="1" x14ac:dyDescent="0.2">
      <c r="A81" s="277">
        <v>41050200</v>
      </c>
      <c r="B81" s="903" t="s">
        <v>734</v>
      </c>
      <c r="C81" s="496">
        <f>F81</f>
        <v>2534226</v>
      </c>
      <c r="D81" s="497">
        <f t="shared" ref="D81" si="12">G81+J81</f>
        <v>2534225.9</v>
      </c>
      <c r="E81" s="498">
        <f t="shared" si="1"/>
        <v>99.999996054022006</v>
      </c>
      <c r="F81" s="499">
        <v>2534226</v>
      </c>
      <c r="G81" s="496">
        <v>2534225.9</v>
      </c>
      <c r="H81" s="500">
        <f>G81/F81*100</f>
        <v>99.999996054022006</v>
      </c>
      <c r="I81" s="496"/>
      <c r="J81" s="496"/>
      <c r="K81" s="500"/>
      <c r="L81" s="118"/>
    </row>
    <row r="82" spans="1:12" ht="42.75" customHeight="1" x14ac:dyDescent="0.2">
      <c r="A82" s="277" t="s">
        <v>349</v>
      </c>
      <c r="B82" s="301" t="s">
        <v>350</v>
      </c>
      <c r="C82" s="496">
        <f>F82</f>
        <v>1773410</v>
      </c>
      <c r="D82" s="497">
        <f t="shared" si="0"/>
        <v>1745439.24</v>
      </c>
      <c r="E82" s="498">
        <f t="shared" si="1"/>
        <v>98.422769692287744</v>
      </c>
      <c r="F82" s="499">
        <v>1773410</v>
      </c>
      <c r="G82" s="281">
        <v>1745439.24</v>
      </c>
      <c r="H82" s="500">
        <f t="shared" si="2"/>
        <v>98.422769692287744</v>
      </c>
      <c r="I82" s="496"/>
      <c r="J82" s="281"/>
      <c r="K82" s="524"/>
      <c r="L82" s="118"/>
    </row>
    <row r="83" spans="1:12" ht="47.25" hidden="1" x14ac:dyDescent="0.2">
      <c r="A83" s="277">
        <v>41051100</v>
      </c>
      <c r="B83" s="301" t="s">
        <v>428</v>
      </c>
      <c r="C83" s="496">
        <v>0</v>
      </c>
      <c r="D83" s="497">
        <f t="shared" si="0"/>
        <v>0</v>
      </c>
      <c r="E83" s="498" t="s">
        <v>255</v>
      </c>
      <c r="F83" s="499"/>
      <c r="G83" s="281"/>
      <c r="H83" s="500"/>
      <c r="I83" s="496">
        <v>0</v>
      </c>
      <c r="J83" s="281"/>
      <c r="K83" s="524" t="s">
        <v>255</v>
      </c>
      <c r="L83" s="118"/>
    </row>
    <row r="84" spans="1:12" ht="46.5" customHeight="1" x14ac:dyDescent="0.2">
      <c r="A84" s="278">
        <v>41053900</v>
      </c>
      <c r="B84" s="307" t="s">
        <v>351</v>
      </c>
      <c r="C84" s="496">
        <f t="shared" si="9"/>
        <v>136573</v>
      </c>
      <c r="D84" s="497">
        <f t="shared" si="0"/>
        <v>87042</v>
      </c>
      <c r="E84" s="498">
        <f t="shared" si="1"/>
        <v>63.732948679460797</v>
      </c>
      <c r="F84" s="581">
        <v>136573</v>
      </c>
      <c r="G84" s="497">
        <v>87042</v>
      </c>
      <c r="H84" s="500">
        <f t="shared" si="2"/>
        <v>63.732948679460797</v>
      </c>
      <c r="I84" s="496"/>
      <c r="J84" s="281"/>
      <c r="K84" s="524"/>
      <c r="L84" s="118"/>
    </row>
    <row r="85" spans="1:12" ht="48" customHeight="1" x14ac:dyDescent="0.2">
      <c r="A85" s="279">
        <v>41053900</v>
      </c>
      <c r="B85" s="307" t="s">
        <v>352</v>
      </c>
      <c r="C85" s="496">
        <f t="shared" si="9"/>
        <v>164690</v>
      </c>
      <c r="D85" s="497">
        <f t="shared" si="0"/>
        <v>60125</v>
      </c>
      <c r="E85" s="498">
        <f t="shared" si="1"/>
        <v>36.507984698524496</v>
      </c>
      <c r="F85" s="581">
        <v>164690</v>
      </c>
      <c r="G85" s="497">
        <v>60125</v>
      </c>
      <c r="H85" s="500">
        <f t="shared" si="2"/>
        <v>36.507984698524496</v>
      </c>
      <c r="I85" s="496"/>
      <c r="J85" s="281"/>
      <c r="K85" s="524"/>
      <c r="L85" s="118"/>
    </row>
    <row r="86" spans="1:12" ht="63" customHeight="1" x14ac:dyDescent="0.2">
      <c r="A86" s="279">
        <v>41053900</v>
      </c>
      <c r="B86" s="307" t="s">
        <v>353</v>
      </c>
      <c r="C86" s="499">
        <f t="shared" si="9"/>
        <v>17623</v>
      </c>
      <c r="D86" s="497">
        <f t="shared" si="0"/>
        <v>13410.6</v>
      </c>
      <c r="E86" s="498">
        <f t="shared" si="1"/>
        <v>76.097145775407142</v>
      </c>
      <c r="F86" s="581">
        <v>17623</v>
      </c>
      <c r="G86" s="497">
        <v>13410.6</v>
      </c>
      <c r="H86" s="500">
        <f t="shared" si="2"/>
        <v>76.097145775407142</v>
      </c>
      <c r="I86" s="496"/>
      <c r="J86" s="281"/>
      <c r="K86" s="524"/>
      <c r="L86" s="118"/>
    </row>
    <row r="87" spans="1:12" ht="57" customHeight="1" x14ac:dyDescent="0.2">
      <c r="A87" s="279">
        <v>41053900</v>
      </c>
      <c r="B87" s="307" t="s">
        <v>735</v>
      </c>
      <c r="C87" s="499">
        <f t="shared" si="9"/>
        <v>241072</v>
      </c>
      <c r="D87" s="497">
        <f t="shared" si="0"/>
        <v>223703.29</v>
      </c>
      <c r="E87" s="498">
        <f t="shared" si="1"/>
        <v>92.795218855777534</v>
      </c>
      <c r="F87" s="581">
        <v>241072</v>
      </c>
      <c r="G87" s="497">
        <v>223703.29</v>
      </c>
      <c r="H87" s="500">
        <f t="shared" si="2"/>
        <v>92.795218855777534</v>
      </c>
      <c r="I87" s="496"/>
      <c r="J87" s="281"/>
      <c r="K87" s="524"/>
      <c r="L87" s="118"/>
    </row>
    <row r="88" spans="1:12" ht="67.5" customHeight="1" x14ac:dyDescent="0.2">
      <c r="A88" s="279">
        <v>41057700</v>
      </c>
      <c r="B88" s="307" t="s">
        <v>593</v>
      </c>
      <c r="C88" s="499">
        <f t="shared" si="9"/>
        <v>79056</v>
      </c>
      <c r="D88" s="497">
        <f t="shared" si="0"/>
        <v>8784</v>
      </c>
      <c r="E88" s="498">
        <f t="shared" si="1"/>
        <v>11.111111111111111</v>
      </c>
      <c r="F88" s="581">
        <v>79056</v>
      </c>
      <c r="G88" s="497">
        <v>8784</v>
      </c>
      <c r="H88" s="500">
        <f t="shared" si="2"/>
        <v>11.111111111111111</v>
      </c>
      <c r="I88" s="496"/>
      <c r="J88" s="281"/>
      <c r="K88" s="524"/>
      <c r="L88" s="118"/>
    </row>
    <row r="89" spans="1:12" ht="47.25" x14ac:dyDescent="0.2">
      <c r="A89" s="279">
        <v>41057900</v>
      </c>
      <c r="B89" s="307" t="s">
        <v>594</v>
      </c>
      <c r="C89" s="499">
        <f t="shared" si="9"/>
        <v>1250000</v>
      </c>
      <c r="D89" s="497">
        <f t="shared" si="0"/>
        <v>0</v>
      </c>
      <c r="E89" s="498">
        <f>H89</f>
        <v>0</v>
      </c>
      <c r="F89" s="581">
        <v>1250000</v>
      </c>
      <c r="G89" s="497">
        <v>0</v>
      </c>
      <c r="H89" s="500">
        <f>G89/F89*100</f>
        <v>0</v>
      </c>
      <c r="I89" s="496"/>
      <c r="J89" s="281"/>
      <c r="K89" s="524"/>
      <c r="L89" s="118"/>
    </row>
    <row r="90" spans="1:12" ht="102" customHeight="1" thickBot="1" x14ac:dyDescent="0.25">
      <c r="A90" s="541">
        <v>41059300</v>
      </c>
      <c r="B90" s="542" t="s">
        <v>583</v>
      </c>
      <c r="C90" s="499">
        <f t="shared" si="9"/>
        <v>295047</v>
      </c>
      <c r="D90" s="497">
        <f t="shared" si="0"/>
        <v>0</v>
      </c>
      <c r="E90" s="498">
        <f t="shared" si="1"/>
        <v>0</v>
      </c>
      <c r="F90" s="499">
        <v>295047</v>
      </c>
      <c r="G90" s="281">
        <v>0</v>
      </c>
      <c r="H90" s="500">
        <f t="shared" si="2"/>
        <v>0</v>
      </c>
      <c r="I90" s="514"/>
      <c r="J90" s="284"/>
      <c r="K90" s="519"/>
      <c r="L90" s="118"/>
    </row>
    <row r="91" spans="1:12" ht="20.25" customHeight="1" thickBot="1" x14ac:dyDescent="0.25">
      <c r="A91" s="285">
        <v>50000000</v>
      </c>
      <c r="B91" s="308" t="s">
        <v>427</v>
      </c>
      <c r="C91" s="485">
        <v>0</v>
      </c>
      <c r="D91" s="286">
        <f t="shared" si="0"/>
        <v>137736.48000000001</v>
      </c>
      <c r="E91" s="482" t="s">
        <v>255</v>
      </c>
      <c r="F91" s="520"/>
      <c r="G91" s="486"/>
      <c r="H91" s="484"/>
      <c r="I91" s="485">
        <v>0</v>
      </c>
      <c r="J91" s="486">
        <f>J92</f>
        <v>137736.48000000001</v>
      </c>
      <c r="K91" s="487" t="s">
        <v>255</v>
      </c>
      <c r="L91" s="118"/>
    </row>
    <row r="92" spans="1:12" ht="52.5" customHeight="1" thickBot="1" x14ac:dyDescent="0.25">
      <c r="A92" s="544">
        <v>50110000</v>
      </c>
      <c r="B92" s="309" t="s">
        <v>584</v>
      </c>
      <c r="C92" s="530">
        <f>I92</f>
        <v>0</v>
      </c>
      <c r="D92" s="545">
        <f>J92</f>
        <v>137736.48000000001</v>
      </c>
      <c r="E92" s="546" t="str">
        <f>K92</f>
        <v>х</v>
      </c>
      <c r="F92" s="531"/>
      <c r="G92" s="532"/>
      <c r="H92" s="533"/>
      <c r="I92" s="530">
        <v>0</v>
      </c>
      <c r="J92" s="532">
        <v>137736.48000000001</v>
      </c>
      <c r="K92" s="543" t="s">
        <v>255</v>
      </c>
    </row>
    <row r="93" spans="1:12" ht="15.75" customHeight="1" thickBot="1" x14ac:dyDescent="0.25">
      <c r="A93" s="296" t="s">
        <v>6</v>
      </c>
      <c r="B93" s="299" t="s">
        <v>354</v>
      </c>
      <c r="C93" s="485">
        <f>F93+I93</f>
        <v>690207797</v>
      </c>
      <c r="D93" s="286">
        <f>G93+J93</f>
        <v>705569817.30999982</v>
      </c>
      <c r="E93" s="482">
        <f>D93/C93*100</f>
        <v>102.2257094713753</v>
      </c>
      <c r="F93" s="520">
        <f>F66+F67</f>
        <v>665556697</v>
      </c>
      <c r="G93" s="486">
        <f>G66+G67</f>
        <v>675836757.48999977</v>
      </c>
      <c r="H93" s="484">
        <f t="shared" si="2"/>
        <v>101.54458073013721</v>
      </c>
      <c r="I93" s="485">
        <f>I66+I67</f>
        <v>24651100</v>
      </c>
      <c r="J93" s="486">
        <f>J66+J67</f>
        <v>29733059.819999997</v>
      </c>
      <c r="K93" s="487">
        <f>J93/I93*100</f>
        <v>120.6155498943252</v>
      </c>
    </row>
    <row r="94" spans="1:12" ht="15.75" x14ac:dyDescent="0.25">
      <c r="A94" s="1"/>
      <c r="B94" s="1"/>
      <c r="C94" s="1"/>
      <c r="D94" s="1"/>
      <c r="E94" s="1"/>
      <c r="F94" s="1"/>
      <c r="G94" s="1"/>
      <c r="H94" s="1"/>
      <c r="I94" s="1"/>
      <c r="J94" s="1"/>
      <c r="K94" s="1"/>
    </row>
    <row r="95" spans="1:12" x14ac:dyDescent="0.2">
      <c r="A95" s="1173"/>
      <c r="B95" s="1173"/>
      <c r="C95" s="1173"/>
      <c r="D95" s="1173"/>
      <c r="E95" s="1173"/>
      <c r="F95" s="1173"/>
      <c r="G95" s="1173"/>
      <c r="H95" s="1173"/>
      <c r="I95" s="1173"/>
      <c r="J95" s="1173"/>
      <c r="K95" s="885"/>
    </row>
    <row r="97" spans="1:11" ht="18.75" x14ac:dyDescent="0.2">
      <c r="A97" s="23" t="s">
        <v>435</v>
      </c>
      <c r="B97" s="23"/>
      <c r="C97" s="119"/>
      <c r="D97" s="119"/>
      <c r="E97" s="119"/>
      <c r="F97" s="887"/>
      <c r="G97" s="887"/>
      <c r="H97" s="887"/>
      <c r="I97" s="1166" t="s">
        <v>410</v>
      </c>
      <c r="J97" s="1166"/>
      <c r="K97" s="1166"/>
    </row>
  </sheetData>
  <mergeCells count="27">
    <mergeCell ref="H1:K1"/>
    <mergeCell ref="L1:N1"/>
    <mergeCell ref="H2:K2"/>
    <mergeCell ref="H3:J3"/>
    <mergeCell ref="L6:N6"/>
    <mergeCell ref="L7:N7"/>
    <mergeCell ref="A8:J8"/>
    <mergeCell ref="L8:N8"/>
    <mergeCell ref="A9:B9"/>
    <mergeCell ref="L9:N9"/>
    <mergeCell ref="L10:N10"/>
    <mergeCell ref="A11:A13"/>
    <mergeCell ref="B11:B13"/>
    <mergeCell ref="C11:E11"/>
    <mergeCell ref="F11:H11"/>
    <mergeCell ref="I11:K11"/>
    <mergeCell ref="C12:C13"/>
    <mergeCell ref="D12:D13"/>
    <mergeCell ref="E12:E13"/>
    <mergeCell ref="F12:F13"/>
    <mergeCell ref="I97:K97"/>
    <mergeCell ref="G12:G13"/>
    <mergeCell ref="H12:H13"/>
    <mergeCell ref="I12:I13"/>
    <mergeCell ref="J12:J13"/>
    <mergeCell ref="K12:K13"/>
    <mergeCell ref="A95:J95"/>
  </mergeCells>
  <pageMargins left="0.78740157480314965" right="0.78740157480314965" top="1.1811023622047245" bottom="0.39370078740157483" header="0.31496062992125984" footer="0.31496062992125984"/>
  <pageSetup paperSize="9" scale="72" orientation="landscape"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6"/>
  <sheetViews>
    <sheetView view="pageBreakPreview" zoomScale="90" zoomScaleNormal="100" zoomScaleSheetLayoutView="90" workbookViewId="0">
      <selection activeCell="F22" sqref="F22"/>
    </sheetView>
  </sheetViews>
  <sheetFormatPr defaultRowHeight="12.75" x14ac:dyDescent="0.2"/>
  <cols>
    <col min="1" max="1" width="14.140625" customWidth="1"/>
    <col min="2" max="2" width="47.7109375" customWidth="1"/>
    <col min="3" max="3" width="15.85546875" customWidth="1"/>
    <col min="4" max="4" width="14.85546875" customWidth="1"/>
    <col min="5" max="5" width="17" customWidth="1"/>
    <col min="6" max="6" width="13.85546875" customWidth="1"/>
    <col min="7" max="7" width="15.5703125" customWidth="1"/>
    <col min="8" max="8" width="15.140625" customWidth="1"/>
    <col min="9" max="9" width="14" customWidth="1"/>
    <col min="10" max="10" width="13.7109375" customWidth="1"/>
  </cols>
  <sheetData>
    <row r="2" spans="1:10" ht="15.75" x14ac:dyDescent="0.2">
      <c r="G2" s="3" t="s">
        <v>144</v>
      </c>
      <c r="H2" s="3"/>
      <c r="I2" s="4"/>
    </row>
    <row r="3" spans="1:10" ht="15.75" x14ac:dyDescent="0.2">
      <c r="G3" s="3" t="s">
        <v>453</v>
      </c>
      <c r="H3" s="3"/>
      <c r="I3" s="4"/>
    </row>
    <row r="4" spans="1:10" ht="15.75" x14ac:dyDescent="0.2">
      <c r="G4" s="1186" t="s">
        <v>619</v>
      </c>
      <c r="H4" s="1186"/>
      <c r="I4" s="1186"/>
    </row>
    <row r="5" spans="1:10" ht="15.75" x14ac:dyDescent="0.25">
      <c r="G5" s="1200" t="s">
        <v>742</v>
      </c>
      <c r="H5" s="1200"/>
      <c r="I5" s="1200"/>
    </row>
    <row r="6" spans="1:10" ht="15.75" x14ac:dyDescent="0.25">
      <c r="G6" s="6" t="s">
        <v>743</v>
      </c>
      <c r="H6" s="69"/>
      <c r="I6" s="61"/>
    </row>
    <row r="7" spans="1:10" ht="15.75" x14ac:dyDescent="0.2">
      <c r="G7" s="3"/>
      <c r="H7" s="3"/>
      <c r="I7" s="3"/>
    </row>
    <row r="8" spans="1:10" hidden="1" x14ac:dyDescent="0.2"/>
    <row r="9" spans="1:10" ht="20.25" x14ac:dyDescent="0.3">
      <c r="A9" s="1206" t="s">
        <v>724</v>
      </c>
      <c r="B9" s="1207"/>
      <c r="C9" s="1207"/>
      <c r="D9" s="1207"/>
      <c r="E9" s="1207"/>
      <c r="F9" s="1207"/>
      <c r="G9" s="1207"/>
      <c r="H9" s="1207"/>
      <c r="I9" s="115"/>
      <c r="J9" s="115"/>
    </row>
    <row r="10" spans="1:10" ht="20.25" x14ac:dyDescent="0.3">
      <c r="A10" s="114"/>
      <c r="B10" s="115"/>
      <c r="C10" s="115"/>
      <c r="D10" s="115"/>
      <c r="E10" s="115"/>
      <c r="F10" s="115"/>
      <c r="G10" s="115"/>
      <c r="H10" s="115"/>
      <c r="I10" s="115"/>
      <c r="J10" s="115"/>
    </row>
    <row r="11" spans="1:10" ht="15.75" x14ac:dyDescent="0.25">
      <c r="A11" s="120" t="s">
        <v>143</v>
      </c>
      <c r="B11" s="1"/>
      <c r="C11" s="1"/>
      <c r="D11" s="1"/>
      <c r="E11" s="1"/>
      <c r="F11" s="1"/>
      <c r="G11" s="1"/>
      <c r="H11" s="1"/>
      <c r="I11" s="1"/>
      <c r="J11" s="1"/>
    </row>
    <row r="12" spans="1:10" ht="16.5" thickBot="1" x14ac:dyDescent="0.3">
      <c r="A12" s="121" t="s">
        <v>0</v>
      </c>
      <c r="B12" s="1"/>
      <c r="C12" s="1"/>
      <c r="D12" s="1"/>
      <c r="E12" s="1"/>
      <c r="F12" s="1"/>
      <c r="G12" s="1"/>
      <c r="H12" s="2" t="s">
        <v>235</v>
      </c>
      <c r="I12" s="2"/>
      <c r="J12" s="2"/>
    </row>
    <row r="13" spans="1:10" ht="15.6" customHeight="1" x14ac:dyDescent="0.2">
      <c r="A13" s="1208" t="s">
        <v>260</v>
      </c>
      <c r="B13" s="1211" t="s">
        <v>355</v>
      </c>
      <c r="C13" s="1203" t="s">
        <v>1</v>
      </c>
      <c r="D13" s="1204"/>
      <c r="E13" s="1203" t="s">
        <v>2</v>
      </c>
      <c r="F13" s="1204"/>
      <c r="G13" s="1203" t="s">
        <v>3</v>
      </c>
      <c r="H13" s="1204"/>
      <c r="I13" s="1204"/>
      <c r="J13" s="1205"/>
    </row>
    <row r="14" spans="1:10" ht="15.6" customHeight="1" x14ac:dyDescent="0.2">
      <c r="A14" s="1209"/>
      <c r="B14" s="1212"/>
      <c r="C14" s="1167" t="s">
        <v>451</v>
      </c>
      <c r="D14" s="1167" t="s">
        <v>698</v>
      </c>
      <c r="E14" s="1167" t="s">
        <v>451</v>
      </c>
      <c r="F14" s="1167" t="s">
        <v>698</v>
      </c>
      <c r="G14" s="1167" t="s">
        <v>451</v>
      </c>
      <c r="H14" s="1167" t="s">
        <v>5</v>
      </c>
      <c r="I14" s="1167" t="s">
        <v>698</v>
      </c>
      <c r="J14" s="1169" t="s">
        <v>5</v>
      </c>
    </row>
    <row r="15" spans="1:10" ht="44.45" customHeight="1" thickBot="1" x14ac:dyDescent="0.25">
      <c r="A15" s="1210"/>
      <c r="B15" s="1213"/>
      <c r="C15" s="1201"/>
      <c r="D15" s="1201"/>
      <c r="E15" s="1201"/>
      <c r="F15" s="1201"/>
      <c r="G15" s="1201"/>
      <c r="H15" s="1201"/>
      <c r="I15" s="1201"/>
      <c r="J15" s="1202"/>
    </row>
    <row r="16" spans="1:10" ht="16.5" thickBot="1" x14ac:dyDescent="0.25">
      <c r="A16" s="193">
        <v>1</v>
      </c>
      <c r="B16" s="194">
        <v>2</v>
      </c>
      <c r="C16" s="194">
        <v>3</v>
      </c>
      <c r="D16" s="194">
        <v>4</v>
      </c>
      <c r="E16" s="194">
        <v>5</v>
      </c>
      <c r="F16" s="194">
        <v>6</v>
      </c>
      <c r="G16" s="194">
        <v>7</v>
      </c>
      <c r="H16" s="195">
        <v>6</v>
      </c>
      <c r="I16" s="194">
        <v>7</v>
      </c>
      <c r="J16" s="196">
        <v>8</v>
      </c>
    </row>
    <row r="17" spans="1:20" ht="15.75" x14ac:dyDescent="0.25">
      <c r="A17" s="1193" t="s">
        <v>356</v>
      </c>
      <c r="B17" s="1194"/>
      <c r="C17" s="1194"/>
      <c r="D17" s="1194"/>
      <c r="E17" s="1194"/>
      <c r="F17" s="1194"/>
      <c r="G17" s="1194"/>
      <c r="H17" s="1194"/>
      <c r="I17" s="197"/>
      <c r="J17" s="345"/>
    </row>
    <row r="18" spans="1:20" ht="15.75" x14ac:dyDescent="0.2">
      <c r="A18" s="122" t="s">
        <v>357</v>
      </c>
      <c r="B18" s="123" t="s">
        <v>358</v>
      </c>
      <c r="C18" s="117">
        <f>E18+G18</f>
        <v>176644330</v>
      </c>
      <c r="D18" s="117">
        <f>F18+I18</f>
        <v>164930060.84999999</v>
      </c>
      <c r="E18" s="117">
        <f>E19</f>
        <v>73090969</v>
      </c>
      <c r="F18" s="117">
        <f>F19</f>
        <v>77061371.959999993</v>
      </c>
      <c r="G18" s="117">
        <f>G19</f>
        <v>103553361</v>
      </c>
      <c r="H18" s="185">
        <f>H19</f>
        <v>100052761</v>
      </c>
      <c r="I18" s="185">
        <f>I19</f>
        <v>87868688.890000001</v>
      </c>
      <c r="J18" s="346">
        <f t="shared" ref="J18" si="0">J19</f>
        <v>84368089.049999997</v>
      </c>
    </row>
    <row r="19" spans="1:20" ht="31.5" x14ac:dyDescent="0.2">
      <c r="A19" s="124" t="s">
        <v>359</v>
      </c>
      <c r="B19" s="125" t="s">
        <v>360</v>
      </c>
      <c r="C19" s="117">
        <f>E19+G19</f>
        <v>176644330</v>
      </c>
      <c r="D19" s="117">
        <f t="shared" ref="D19:D23" si="1">F19+I19</f>
        <v>164930060.84999999</v>
      </c>
      <c r="E19" s="7">
        <f>E20-1000000+E22</f>
        <v>73090969</v>
      </c>
      <c r="F19" s="7">
        <f>F20-1000000+F22</f>
        <v>77061371.959999993</v>
      </c>
      <c r="G19" s="7">
        <f>G22+G20</f>
        <v>103553361</v>
      </c>
      <c r="H19" s="186">
        <f>H22+H20</f>
        <v>100052761</v>
      </c>
      <c r="I19" s="186">
        <f>I22+I20</f>
        <v>87868688.890000001</v>
      </c>
      <c r="J19" s="347">
        <f>J22+J20</f>
        <v>84368089.049999997</v>
      </c>
    </row>
    <row r="20" spans="1:20" ht="15.75" x14ac:dyDescent="0.2">
      <c r="A20" s="124" t="s">
        <v>361</v>
      </c>
      <c r="B20" s="125" t="s">
        <v>362</v>
      </c>
      <c r="C20" s="117">
        <f>E20+G20</f>
        <v>177644330</v>
      </c>
      <c r="D20" s="117">
        <f t="shared" si="1"/>
        <v>165930060.84999999</v>
      </c>
      <c r="E20" s="11">
        <v>163262054</v>
      </c>
      <c r="F20" s="7">
        <f>1000000+150560685.01</f>
        <v>151560685.00999999</v>
      </c>
      <c r="G20" s="7">
        <v>14382276</v>
      </c>
      <c r="H20" s="187">
        <v>10881676</v>
      </c>
      <c r="I20" s="191">
        <v>14369375.84</v>
      </c>
      <c r="J20" s="348">
        <v>10868776</v>
      </c>
    </row>
    <row r="21" spans="1:20" ht="15.75" x14ac:dyDescent="0.2">
      <c r="A21" s="124" t="s">
        <v>363</v>
      </c>
      <c r="B21" s="125" t="s">
        <v>364</v>
      </c>
      <c r="C21" s="117">
        <f t="shared" ref="C21:C23" si="2">E21+G21</f>
        <v>1000000</v>
      </c>
      <c r="D21" s="117">
        <f t="shared" si="1"/>
        <v>1000000</v>
      </c>
      <c r="E21" s="7">
        <v>1000000</v>
      </c>
      <c r="F21" s="7">
        <v>1000000</v>
      </c>
      <c r="G21" s="917">
        <v>0</v>
      </c>
      <c r="H21" s="918">
        <v>0</v>
      </c>
      <c r="I21" s="919">
        <v>0</v>
      </c>
      <c r="J21" s="920" t="s">
        <v>582</v>
      </c>
    </row>
    <row r="22" spans="1:20" ht="48" thickBot="1" x14ac:dyDescent="0.25">
      <c r="A22" s="127" t="s">
        <v>365</v>
      </c>
      <c r="B22" s="128" t="s">
        <v>366</v>
      </c>
      <c r="C22" s="340">
        <f>E22+G22</f>
        <v>0</v>
      </c>
      <c r="D22" s="340">
        <f t="shared" si="1"/>
        <v>0</v>
      </c>
      <c r="E22" s="12">
        <f>-89171085</f>
        <v>-89171085</v>
      </c>
      <c r="F22" s="12">
        <f>-73499313.05</f>
        <v>-73499313.049999997</v>
      </c>
      <c r="G22" s="12">
        <v>89171085</v>
      </c>
      <c r="H22" s="341">
        <f>G22</f>
        <v>89171085</v>
      </c>
      <c r="I22" s="342">
        <v>73499313.049999997</v>
      </c>
      <c r="J22" s="349">
        <v>73499313.049999997</v>
      </c>
    </row>
    <row r="23" spans="1:20" ht="16.5" thickBot="1" x14ac:dyDescent="0.3">
      <c r="A23" s="129" t="s">
        <v>6</v>
      </c>
      <c r="B23" s="130" t="s">
        <v>367</v>
      </c>
      <c r="C23" s="10">
        <f t="shared" si="2"/>
        <v>176644330</v>
      </c>
      <c r="D23" s="10">
        <f t="shared" si="1"/>
        <v>164930060.84999999</v>
      </c>
      <c r="E23" s="131">
        <f t="shared" ref="E23:J23" si="3">E18</f>
        <v>73090969</v>
      </c>
      <c r="F23" s="131">
        <f t="shared" si="3"/>
        <v>77061371.959999993</v>
      </c>
      <c r="G23" s="131">
        <f t="shared" si="3"/>
        <v>103553361</v>
      </c>
      <c r="H23" s="190">
        <f t="shared" si="3"/>
        <v>100052761</v>
      </c>
      <c r="I23" s="190">
        <f t="shared" si="3"/>
        <v>87868688.890000001</v>
      </c>
      <c r="J23" s="132">
        <f t="shared" si="3"/>
        <v>84368089.049999997</v>
      </c>
    </row>
    <row r="24" spans="1:20" ht="15.75" x14ac:dyDescent="0.25">
      <c r="A24" s="1195" t="s">
        <v>368</v>
      </c>
      <c r="B24" s="1196"/>
      <c r="C24" s="1196"/>
      <c r="D24" s="1196"/>
      <c r="E24" s="1196"/>
      <c r="F24" s="1196"/>
      <c r="G24" s="1196"/>
      <c r="H24" s="1196"/>
      <c r="I24" s="343"/>
      <c r="J24" s="350"/>
    </row>
    <row r="25" spans="1:20" ht="15.75" x14ac:dyDescent="0.2">
      <c r="A25" s="122" t="s">
        <v>369</v>
      </c>
      <c r="B25" s="123" t="s">
        <v>370</v>
      </c>
      <c r="C25" s="117">
        <f>E25+G25</f>
        <v>176644330</v>
      </c>
      <c r="D25" s="117">
        <f>F25+I25</f>
        <v>164930060.84999999</v>
      </c>
      <c r="E25" s="117">
        <f t="shared" ref="E25:J25" si="4">E18</f>
        <v>73090969</v>
      </c>
      <c r="F25" s="117">
        <f t="shared" si="4"/>
        <v>77061371.959999993</v>
      </c>
      <c r="G25" s="117">
        <f>G18</f>
        <v>103553361</v>
      </c>
      <c r="H25" s="188">
        <f t="shared" si="4"/>
        <v>100052761</v>
      </c>
      <c r="I25" s="188">
        <f t="shared" si="4"/>
        <v>87868688.890000001</v>
      </c>
      <c r="J25" s="351">
        <f t="shared" si="4"/>
        <v>84368089.049999997</v>
      </c>
    </row>
    <row r="26" spans="1:20" ht="15.75" x14ac:dyDescent="0.2">
      <c r="A26" s="124" t="s">
        <v>371</v>
      </c>
      <c r="B26" s="125" t="s">
        <v>372</v>
      </c>
      <c r="C26" s="117">
        <f>E26+G26</f>
        <v>176644330</v>
      </c>
      <c r="D26" s="117">
        <f>F26+I26</f>
        <v>164930060.84999999</v>
      </c>
      <c r="E26" s="7">
        <f>E19</f>
        <v>73090969</v>
      </c>
      <c r="F26" s="7">
        <f>F19</f>
        <v>77061371.959999993</v>
      </c>
      <c r="G26" s="7">
        <f>G29+G27</f>
        <v>103553361</v>
      </c>
      <c r="H26" s="187">
        <f>H29+H27</f>
        <v>100052761</v>
      </c>
      <c r="I26" s="187">
        <f>I29+I27</f>
        <v>87868688.890000001</v>
      </c>
      <c r="J26" s="348">
        <f>J27+J29</f>
        <v>84368089.049999997</v>
      </c>
    </row>
    <row r="27" spans="1:20" ht="15.75" x14ac:dyDescent="0.2">
      <c r="A27" s="124" t="s">
        <v>373</v>
      </c>
      <c r="B27" s="125" t="s">
        <v>362</v>
      </c>
      <c r="C27" s="117">
        <f t="shared" ref="C27:C30" si="5">E27+G27</f>
        <v>177644330</v>
      </c>
      <c r="D27" s="117">
        <f t="shared" ref="D27:D30" si="6">F27+I27</f>
        <v>165930060.84999999</v>
      </c>
      <c r="E27" s="7">
        <f>E20</f>
        <v>163262054</v>
      </c>
      <c r="F27" s="7">
        <f>F20</f>
        <v>151560685.00999999</v>
      </c>
      <c r="G27" s="7">
        <f>G20</f>
        <v>14382276</v>
      </c>
      <c r="H27" s="187">
        <f>H20</f>
        <v>10881676</v>
      </c>
      <c r="I27" s="191">
        <f>I20</f>
        <v>14369375.84</v>
      </c>
      <c r="J27" s="348">
        <f>J20</f>
        <v>10868776</v>
      </c>
      <c r="M27" s="126"/>
    </row>
    <row r="28" spans="1:20" ht="15.75" x14ac:dyDescent="0.2">
      <c r="A28" s="124" t="s">
        <v>374</v>
      </c>
      <c r="B28" s="125" t="s">
        <v>364</v>
      </c>
      <c r="C28" s="117">
        <f t="shared" si="5"/>
        <v>1000000</v>
      </c>
      <c r="D28" s="117">
        <f t="shared" si="6"/>
        <v>1000000</v>
      </c>
      <c r="E28" s="7">
        <v>1000000</v>
      </c>
      <c r="F28" s="7">
        <v>1000000</v>
      </c>
      <c r="G28" s="917">
        <v>0</v>
      </c>
      <c r="H28" s="918">
        <v>0</v>
      </c>
      <c r="I28" s="919">
        <v>0</v>
      </c>
      <c r="J28" s="920" t="s">
        <v>582</v>
      </c>
    </row>
    <row r="29" spans="1:20" ht="48" thickBot="1" x14ac:dyDescent="0.25">
      <c r="A29" s="127" t="s">
        <v>375</v>
      </c>
      <c r="B29" s="128" t="s">
        <v>366</v>
      </c>
      <c r="C29" s="340">
        <f t="shared" si="5"/>
        <v>0</v>
      </c>
      <c r="D29" s="340">
        <f t="shared" si="6"/>
        <v>0</v>
      </c>
      <c r="E29" s="12">
        <f t="shared" ref="E29:J30" si="7">E22</f>
        <v>-89171085</v>
      </c>
      <c r="F29" s="12">
        <f t="shared" si="7"/>
        <v>-73499313.049999997</v>
      </c>
      <c r="G29" s="12">
        <f>G22</f>
        <v>89171085</v>
      </c>
      <c r="H29" s="189">
        <f>H22</f>
        <v>89171085</v>
      </c>
      <c r="I29" s="189">
        <f>I22</f>
        <v>73499313.049999997</v>
      </c>
      <c r="J29" s="352">
        <f>J22</f>
        <v>73499313.049999997</v>
      </c>
    </row>
    <row r="30" spans="1:20" ht="16.5" thickBot="1" x14ac:dyDescent="0.3">
      <c r="A30" s="129" t="s">
        <v>6</v>
      </c>
      <c r="B30" s="130" t="s">
        <v>367</v>
      </c>
      <c r="C30" s="10">
        <f t="shared" si="5"/>
        <v>176644330</v>
      </c>
      <c r="D30" s="10">
        <f t="shared" si="6"/>
        <v>164930060.84999999</v>
      </c>
      <c r="E30" s="131">
        <f t="shared" si="7"/>
        <v>73090969</v>
      </c>
      <c r="F30" s="131">
        <f t="shared" si="7"/>
        <v>77061371.959999993</v>
      </c>
      <c r="G30" s="131">
        <f t="shared" si="7"/>
        <v>103553361</v>
      </c>
      <c r="H30" s="190">
        <f t="shared" si="7"/>
        <v>100052761</v>
      </c>
      <c r="I30" s="190">
        <f t="shared" si="7"/>
        <v>87868688.890000001</v>
      </c>
      <c r="J30" s="132">
        <f t="shared" si="7"/>
        <v>84368089.049999997</v>
      </c>
    </row>
    <row r="32" spans="1:20" s="5" customFormat="1" ht="29.25" customHeight="1" x14ac:dyDescent="0.2">
      <c r="A32" s="1197" t="s">
        <v>435</v>
      </c>
      <c r="B32" s="1197"/>
      <c r="C32" s="133"/>
      <c r="D32" s="133"/>
      <c r="E32" s="133"/>
      <c r="F32" s="133"/>
      <c r="G32" s="1198" t="s">
        <v>410</v>
      </c>
      <c r="H32" s="1198"/>
      <c r="I32" s="179"/>
      <c r="J32" s="179"/>
      <c r="K32" s="3"/>
      <c r="L32" s="3"/>
      <c r="M32" s="3"/>
      <c r="O32" s="3"/>
      <c r="P32" s="134"/>
      <c r="Q32" s="3"/>
      <c r="R32" s="135"/>
      <c r="S32" s="136"/>
      <c r="T32" s="137"/>
    </row>
    <row r="33" spans="1:10" s="17" customFormat="1" ht="20.25" x14ac:dyDescent="0.3">
      <c r="A33" s="16"/>
      <c r="B33" s="16"/>
      <c r="H33" s="18"/>
      <c r="I33" s="18"/>
      <c r="J33" s="18"/>
    </row>
    <row r="34" spans="1:10" ht="15.75" x14ac:dyDescent="0.2">
      <c r="A34" s="19"/>
      <c r="B34" s="19"/>
    </row>
    <row r="35" spans="1:10" ht="15.75" x14ac:dyDescent="0.2">
      <c r="A35" s="1199"/>
      <c r="B35" s="1199"/>
    </row>
    <row r="36" spans="1:10" ht="15.75" x14ac:dyDescent="0.25">
      <c r="A36" s="1"/>
    </row>
  </sheetData>
  <mergeCells count="21">
    <mergeCell ref="A35:B35"/>
    <mergeCell ref="G5:I5"/>
    <mergeCell ref="G14:G15"/>
    <mergeCell ref="I14:I15"/>
    <mergeCell ref="J14:J15"/>
    <mergeCell ref="G13:J13"/>
    <mergeCell ref="A9:H9"/>
    <mergeCell ref="A13:A15"/>
    <mergeCell ref="B13:B15"/>
    <mergeCell ref="H14:H15"/>
    <mergeCell ref="C13:D13"/>
    <mergeCell ref="C14:C15"/>
    <mergeCell ref="D14:D15"/>
    <mergeCell ref="E13:F13"/>
    <mergeCell ref="E14:E15"/>
    <mergeCell ref="F14:F15"/>
    <mergeCell ref="G4:I4"/>
    <mergeCell ref="A17:H17"/>
    <mergeCell ref="A24:H24"/>
    <mergeCell ref="A32:B32"/>
    <mergeCell ref="G32:H32"/>
  </mergeCells>
  <pageMargins left="1.1811023622047245" right="0.39370078740157483" top="0.78740157480314965" bottom="0.78740157480314965"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379"/>
  <sheetViews>
    <sheetView view="pageBreakPreview" zoomScale="90" zoomScaleNormal="100" zoomScaleSheetLayoutView="90" workbookViewId="0">
      <selection activeCell="M112" sqref="M112"/>
    </sheetView>
  </sheetViews>
  <sheetFormatPr defaultColWidth="8.85546875" defaultRowHeight="15.75" x14ac:dyDescent="0.25"/>
  <cols>
    <col min="1" max="3" width="12.140625" style="41" customWidth="1"/>
    <col min="4" max="4" width="40.7109375" style="42" customWidth="1"/>
    <col min="5" max="5" width="17.42578125" style="42" customWidth="1"/>
    <col min="6" max="6" width="18.28515625" style="434" customWidth="1"/>
    <col min="7" max="7" width="18.42578125" style="42" customWidth="1"/>
    <col min="8" max="8" width="17.85546875" style="43" customWidth="1"/>
    <col min="9" max="9" width="16.7109375" style="43" customWidth="1"/>
    <col min="10" max="10" width="14.42578125" style="43" customWidth="1"/>
    <col min="11" max="12" width="17.42578125" style="42" customWidth="1"/>
    <col min="13" max="13" width="16.5703125" style="42" customWidth="1"/>
    <col min="14" max="14" width="13.140625" style="1" bestFit="1" customWidth="1"/>
    <col min="15" max="15" width="15.42578125" style="1" customWidth="1"/>
    <col min="16" max="16" width="14.7109375" style="1" customWidth="1"/>
    <col min="17" max="17" width="12.7109375" style="1" customWidth="1"/>
    <col min="18" max="16384" width="8.85546875" style="1"/>
  </cols>
  <sheetData>
    <row r="1" spans="1:14" x14ac:dyDescent="0.25">
      <c r="K1" s="3" t="s">
        <v>433</v>
      </c>
    </row>
    <row r="2" spans="1:14" x14ac:dyDescent="0.25">
      <c r="K2" s="3" t="s">
        <v>453</v>
      </c>
    </row>
    <row r="3" spans="1:14" x14ac:dyDescent="0.25">
      <c r="K3" s="1186" t="s">
        <v>619</v>
      </c>
      <c r="L3" s="1186"/>
      <c r="M3" s="1186"/>
    </row>
    <row r="4" spans="1:14" x14ac:dyDescent="0.25">
      <c r="K4" s="1200" t="s">
        <v>744</v>
      </c>
      <c r="L4" s="1200"/>
      <c r="M4" s="335"/>
    </row>
    <row r="5" spans="1:14" x14ac:dyDescent="0.25">
      <c r="K5" s="69" t="s">
        <v>745</v>
      </c>
      <c r="L5" s="336"/>
      <c r="M5" s="336"/>
    </row>
    <row r="6" spans="1:14" x14ac:dyDescent="0.25">
      <c r="I6" s="42"/>
      <c r="J6" s="42"/>
      <c r="K6" s="334"/>
      <c r="L6" s="334"/>
      <c r="M6" s="334"/>
      <c r="N6" s="26"/>
    </row>
    <row r="7" spans="1:14" x14ac:dyDescent="0.25">
      <c r="I7" s="42"/>
      <c r="J7" s="42"/>
      <c r="K7" s="333"/>
      <c r="L7" s="333"/>
      <c r="M7" s="333"/>
      <c r="N7" s="18"/>
    </row>
    <row r="8" spans="1:14" x14ac:dyDescent="0.25">
      <c r="A8" s="1223" t="s">
        <v>145</v>
      </c>
      <c r="B8" s="1224"/>
      <c r="C8" s="1224"/>
      <c r="D8" s="1224"/>
      <c r="E8" s="1224"/>
      <c r="F8" s="1224"/>
      <c r="G8" s="1224"/>
      <c r="H8" s="1224"/>
      <c r="I8" s="1224"/>
      <c r="J8" s="1224"/>
      <c r="K8" s="1224"/>
      <c r="L8" s="116"/>
      <c r="M8" s="116"/>
    </row>
    <row r="9" spans="1:14" x14ac:dyDescent="0.25">
      <c r="A9" s="1223" t="s">
        <v>718</v>
      </c>
      <c r="B9" s="1224"/>
      <c r="C9" s="1224"/>
      <c r="D9" s="1224"/>
      <c r="E9" s="1224"/>
      <c r="F9" s="1224"/>
      <c r="G9" s="1224"/>
      <c r="H9" s="1224"/>
      <c r="I9" s="1224"/>
      <c r="J9" s="1224"/>
      <c r="K9" s="1224"/>
      <c r="L9" s="116"/>
      <c r="M9" s="116"/>
    </row>
    <row r="10" spans="1:14" x14ac:dyDescent="0.25">
      <c r="A10" s="44" t="s">
        <v>143</v>
      </c>
    </row>
    <row r="11" spans="1:14" ht="17.45" customHeight="1" thickBot="1" x14ac:dyDescent="0.3">
      <c r="A11" s="41" t="s">
        <v>0</v>
      </c>
      <c r="K11" s="43" t="s">
        <v>7</v>
      </c>
      <c r="L11" s="43"/>
      <c r="M11" s="43"/>
    </row>
    <row r="12" spans="1:14" s="27" customFormat="1" ht="13.9" customHeight="1" x14ac:dyDescent="0.2">
      <c r="A12" s="1225" t="s">
        <v>8</v>
      </c>
      <c r="B12" s="1228" t="s">
        <v>9</v>
      </c>
      <c r="C12" s="1228" t="s">
        <v>10</v>
      </c>
      <c r="D12" s="1228" t="s">
        <v>11</v>
      </c>
      <c r="E12" s="1231" t="s">
        <v>2</v>
      </c>
      <c r="F12" s="1231"/>
      <c r="G12" s="1231"/>
      <c r="H12" s="1234" t="s">
        <v>3</v>
      </c>
      <c r="I12" s="1235"/>
      <c r="J12" s="1236"/>
      <c r="K12" s="1234" t="s">
        <v>146</v>
      </c>
      <c r="L12" s="1235"/>
      <c r="M12" s="1237"/>
    </row>
    <row r="13" spans="1:14" s="27" customFormat="1" ht="12.75" customHeight="1" x14ac:dyDescent="0.2">
      <c r="A13" s="1226"/>
      <c r="B13" s="1229"/>
      <c r="C13" s="1229"/>
      <c r="D13" s="1229"/>
      <c r="E13" s="1219" t="s">
        <v>451</v>
      </c>
      <c r="F13" s="1232" t="s">
        <v>719</v>
      </c>
      <c r="G13" s="1219" t="s">
        <v>402</v>
      </c>
      <c r="H13" s="1219" t="s">
        <v>451</v>
      </c>
      <c r="I13" s="1217" t="s">
        <v>720</v>
      </c>
      <c r="J13" s="1219" t="s">
        <v>402</v>
      </c>
      <c r="K13" s="1219" t="s">
        <v>451</v>
      </c>
      <c r="L13" s="1217" t="s">
        <v>721</v>
      </c>
      <c r="M13" s="1214" t="s">
        <v>402</v>
      </c>
    </row>
    <row r="14" spans="1:14" s="27" customFormat="1" ht="13.15" customHeight="1" x14ac:dyDescent="0.2">
      <c r="A14" s="1226"/>
      <c r="B14" s="1229"/>
      <c r="C14" s="1229"/>
      <c r="D14" s="1229"/>
      <c r="E14" s="1220"/>
      <c r="F14" s="1232"/>
      <c r="G14" s="1220"/>
      <c r="H14" s="1220"/>
      <c r="I14" s="1217"/>
      <c r="J14" s="1220"/>
      <c r="K14" s="1220"/>
      <c r="L14" s="1217"/>
      <c r="M14" s="1215"/>
    </row>
    <row r="15" spans="1:14" s="27" customFormat="1" ht="50.25" customHeight="1" thickBot="1" x14ac:dyDescent="0.25">
      <c r="A15" s="1227"/>
      <c r="B15" s="1230"/>
      <c r="C15" s="1230"/>
      <c r="D15" s="1230"/>
      <c r="E15" s="1221"/>
      <c r="F15" s="1233"/>
      <c r="G15" s="1221"/>
      <c r="H15" s="1221"/>
      <c r="I15" s="1218"/>
      <c r="J15" s="1221"/>
      <c r="K15" s="1221"/>
      <c r="L15" s="1218"/>
      <c r="M15" s="1216"/>
    </row>
    <row r="16" spans="1:14" ht="9" customHeight="1" thickBot="1" x14ac:dyDescent="0.3">
      <c r="A16" s="773">
        <v>1</v>
      </c>
      <c r="B16" s="774">
        <v>2</v>
      </c>
      <c r="C16" s="774">
        <v>3</v>
      </c>
      <c r="D16" s="774">
        <v>4</v>
      </c>
      <c r="E16" s="774">
        <v>5</v>
      </c>
      <c r="F16" s="775">
        <v>6</v>
      </c>
      <c r="G16" s="774">
        <v>7</v>
      </c>
      <c r="H16" s="774">
        <v>8</v>
      </c>
      <c r="I16" s="774">
        <v>9</v>
      </c>
      <c r="J16" s="774">
        <v>10</v>
      </c>
      <c r="K16" s="774">
        <v>11</v>
      </c>
      <c r="L16" s="774">
        <v>12</v>
      </c>
      <c r="M16" s="776">
        <v>13</v>
      </c>
    </row>
    <row r="17" spans="1:17" ht="45" customHeight="1" thickBot="1" x14ac:dyDescent="0.3">
      <c r="A17" s="32" t="s">
        <v>13</v>
      </c>
      <c r="B17" s="33" t="s">
        <v>14</v>
      </c>
      <c r="C17" s="921" t="s">
        <v>14</v>
      </c>
      <c r="D17" s="34" t="s">
        <v>437</v>
      </c>
      <c r="E17" s="198">
        <f>E18</f>
        <v>128681474</v>
      </c>
      <c r="F17" s="198">
        <f>F18</f>
        <v>125448544.67999999</v>
      </c>
      <c r="G17" s="201">
        <f>F17/E17</f>
        <v>0.97487649760679607</v>
      </c>
      <c r="H17" s="198">
        <f>H18</f>
        <v>23422413</v>
      </c>
      <c r="I17" s="593">
        <f>I18</f>
        <v>23289209.629999999</v>
      </c>
      <c r="J17" s="201">
        <f>I17/H17</f>
        <v>0.99431299542024121</v>
      </c>
      <c r="K17" s="198">
        <f>E17+H17</f>
        <v>152103887</v>
      </c>
      <c r="L17" s="198">
        <f>F17+I17</f>
        <v>148737754.31</v>
      </c>
      <c r="M17" s="209">
        <f>L17/K17</f>
        <v>0.97786951565544145</v>
      </c>
      <c r="N17" s="439"/>
      <c r="O17" s="439"/>
      <c r="P17" s="439"/>
      <c r="Q17" s="439"/>
    </row>
    <row r="18" spans="1:17" ht="47.25" x14ac:dyDescent="0.25">
      <c r="A18" s="45" t="s">
        <v>15</v>
      </c>
      <c r="B18" s="46" t="s">
        <v>14</v>
      </c>
      <c r="C18" s="46" t="s">
        <v>14</v>
      </c>
      <c r="D18" s="47" t="s">
        <v>437</v>
      </c>
      <c r="E18" s="48">
        <f>E19+E23+E25+E29+E33+E35+E39+E42+E45+E50+E52+E58+E60+E47+E62+E54</f>
        <v>128681474</v>
      </c>
      <c r="F18" s="48">
        <f>F19+F23+F25+F29+F33+F35+F39+F42+F45+F50+F52+F58+F60+F47+F62+F54</f>
        <v>125448544.67999999</v>
      </c>
      <c r="G18" s="202">
        <f>F18/E18</f>
        <v>0.97487649760679607</v>
      </c>
      <c r="H18" s="48">
        <f>H19+H23+H25+H29+H33+H35+H39+H42+H45+H50+H52+H58+H60+H54+H62</f>
        <v>23422413</v>
      </c>
      <c r="I18" s="48">
        <f>I19+I23+I25+I29+I33+I35+I39+I42+I45+I50+I52+I58+I60+I54+I62</f>
        <v>23289209.629999999</v>
      </c>
      <c r="J18" s="202">
        <f>I18/H18</f>
        <v>0.99431299542024121</v>
      </c>
      <c r="K18" s="48">
        <f>K19+K23+K25+K29+K33+K35+K39+K42+K45+K50+K52+K58+K60+K54+K47</f>
        <v>117744023</v>
      </c>
      <c r="L18" s="48">
        <f>L19+L23+L25+L29+L33+L35+L39+L42+L45+L50+L52+L58+L60+L54+L47</f>
        <v>114420407.84999999</v>
      </c>
      <c r="M18" s="359">
        <f t="shared" ref="M18:M103" si="0">L18/K18</f>
        <v>0.97177253617366199</v>
      </c>
      <c r="N18" s="439"/>
      <c r="O18" s="439"/>
      <c r="P18" s="439"/>
      <c r="Q18" s="439"/>
    </row>
    <row r="19" spans="1:17" ht="86.25" customHeight="1" x14ac:dyDescent="0.25">
      <c r="A19" s="700" t="s">
        <v>147</v>
      </c>
      <c r="B19" s="701" t="s">
        <v>148</v>
      </c>
      <c r="C19" s="701" t="s">
        <v>16</v>
      </c>
      <c r="D19" s="24" t="s">
        <v>149</v>
      </c>
      <c r="E19" s="7">
        <v>34708872</v>
      </c>
      <c r="F19" s="7">
        <v>33623284.509999998</v>
      </c>
      <c r="G19" s="203">
        <f t="shared" ref="G19:G259" si="1">F19/E19</f>
        <v>0.96872305472790932</v>
      </c>
      <c r="H19" s="206">
        <v>0</v>
      </c>
      <c r="I19" s="205">
        <f>I20</f>
        <v>25.61</v>
      </c>
      <c r="J19" s="202"/>
      <c r="K19" s="206">
        <f>E19+H19</f>
        <v>34708872</v>
      </c>
      <c r="L19" s="206">
        <f>F19+I19</f>
        <v>33623310.119999997</v>
      </c>
      <c r="M19" s="360">
        <f t="shared" si="0"/>
        <v>0.96872379257960317</v>
      </c>
      <c r="N19" s="439"/>
      <c r="O19" s="439"/>
      <c r="P19" s="439"/>
      <c r="Q19" s="439"/>
    </row>
    <row r="20" spans="1:17" x14ac:dyDescent="0.25">
      <c r="A20" s="700"/>
      <c r="B20" s="701"/>
      <c r="C20" s="701"/>
      <c r="D20" s="353" t="s">
        <v>404</v>
      </c>
      <c r="E20" s="37">
        <v>34708872</v>
      </c>
      <c r="F20" s="37">
        <v>33623284.509999998</v>
      </c>
      <c r="G20" s="203">
        <f t="shared" si="1"/>
        <v>0.96872305472790932</v>
      </c>
      <c r="H20" s="48">
        <v>0</v>
      </c>
      <c r="I20" s="7">
        <v>25.61</v>
      </c>
      <c r="J20" s="202"/>
      <c r="K20" s="206">
        <f t="shared" ref="K20:K61" si="2">E20+H20</f>
        <v>34708872</v>
      </c>
      <c r="L20" s="192">
        <f t="shared" ref="L20:L61" si="3">F20+I20</f>
        <v>33623310.119999997</v>
      </c>
      <c r="M20" s="360">
        <f t="shared" si="0"/>
        <v>0.96872379257960317</v>
      </c>
      <c r="N20" s="439"/>
      <c r="O20" s="439"/>
      <c r="P20" s="439"/>
      <c r="Q20" s="439"/>
    </row>
    <row r="21" spans="1:17" x14ac:dyDescent="0.25">
      <c r="A21" s="700"/>
      <c r="B21" s="701"/>
      <c r="C21" s="701"/>
      <c r="D21" s="354" t="s">
        <v>405</v>
      </c>
      <c r="E21" s="37">
        <v>28641455</v>
      </c>
      <c r="F21" s="37">
        <v>28403530.109999999</v>
      </c>
      <c r="G21" s="203">
        <f t="shared" si="1"/>
        <v>0.99169298871164191</v>
      </c>
      <c r="H21" s="48"/>
      <c r="I21" s="7"/>
      <c r="J21" s="202"/>
      <c r="K21" s="206">
        <f t="shared" si="2"/>
        <v>28641455</v>
      </c>
      <c r="L21" s="192">
        <f t="shared" si="3"/>
        <v>28403530.109999999</v>
      </c>
      <c r="M21" s="360">
        <f t="shared" si="0"/>
        <v>0.99169298871164191</v>
      </c>
      <c r="N21" s="439"/>
      <c r="O21" s="439"/>
      <c r="P21" s="439"/>
      <c r="Q21" s="439"/>
    </row>
    <row r="22" spans="1:17" ht="31.5" x14ac:dyDescent="0.25">
      <c r="A22" s="700"/>
      <c r="B22" s="701"/>
      <c r="C22" s="701"/>
      <c r="D22" s="354" t="s">
        <v>406</v>
      </c>
      <c r="E22" s="37">
        <v>2504443</v>
      </c>
      <c r="F22" s="37">
        <v>1814199.82</v>
      </c>
      <c r="G22" s="203">
        <f t="shared" si="1"/>
        <v>0.7243925375822089</v>
      </c>
      <c r="H22" s="48"/>
      <c r="I22" s="7"/>
      <c r="J22" s="202"/>
      <c r="K22" s="206">
        <f t="shared" si="2"/>
        <v>2504443</v>
      </c>
      <c r="L22" s="192">
        <f t="shared" si="3"/>
        <v>1814199.82</v>
      </c>
      <c r="M22" s="360">
        <f t="shared" si="0"/>
        <v>0.7243925375822089</v>
      </c>
      <c r="N22" s="439"/>
      <c r="O22" s="439"/>
      <c r="P22" s="439"/>
      <c r="Q22" s="439"/>
    </row>
    <row r="23" spans="1:17" ht="39" customHeight="1" x14ac:dyDescent="0.25">
      <c r="A23" s="50" t="s">
        <v>403</v>
      </c>
      <c r="B23" s="49" t="s">
        <v>197</v>
      </c>
      <c r="C23" s="701">
        <v>133</v>
      </c>
      <c r="D23" s="24" t="s">
        <v>213</v>
      </c>
      <c r="E23" s="37">
        <f>E24</f>
        <v>165900</v>
      </c>
      <c r="F23" s="37">
        <v>165300</v>
      </c>
      <c r="G23" s="203">
        <f t="shared" si="1"/>
        <v>0.9963833634719711</v>
      </c>
      <c r="H23" s="48"/>
      <c r="I23" s="7"/>
      <c r="J23" s="202"/>
      <c r="K23" s="206">
        <f t="shared" si="2"/>
        <v>165900</v>
      </c>
      <c r="L23" s="192">
        <f t="shared" si="3"/>
        <v>165300</v>
      </c>
      <c r="M23" s="360">
        <f t="shared" si="0"/>
        <v>0.9963833634719711</v>
      </c>
      <c r="N23" s="439"/>
      <c r="O23" s="439"/>
      <c r="P23" s="439"/>
      <c r="Q23" s="439"/>
    </row>
    <row r="24" spans="1:17" x14ac:dyDescent="0.25">
      <c r="A24" s="50"/>
      <c r="B24" s="49"/>
      <c r="C24" s="701"/>
      <c r="D24" s="353" t="s">
        <v>404</v>
      </c>
      <c r="E24" s="37">
        <v>165900</v>
      </c>
      <c r="F24" s="37">
        <v>165300</v>
      </c>
      <c r="G24" s="203">
        <f t="shared" si="1"/>
        <v>0.9963833634719711</v>
      </c>
      <c r="H24" s="48"/>
      <c r="I24" s="7"/>
      <c r="J24" s="202"/>
      <c r="K24" s="206">
        <f t="shared" si="2"/>
        <v>165900</v>
      </c>
      <c r="L24" s="192">
        <f t="shared" si="3"/>
        <v>165300</v>
      </c>
      <c r="M24" s="360">
        <f t="shared" si="0"/>
        <v>0.9963833634719711</v>
      </c>
      <c r="N24" s="439"/>
      <c r="O24" s="439"/>
      <c r="P24" s="439"/>
      <c r="Q24" s="439"/>
    </row>
    <row r="25" spans="1:17" ht="31.5" x14ac:dyDescent="0.25">
      <c r="A25" s="700" t="s">
        <v>17</v>
      </c>
      <c r="B25" s="701" t="s">
        <v>18</v>
      </c>
      <c r="C25" s="701" t="s">
        <v>19</v>
      </c>
      <c r="D25" s="24" t="s">
        <v>20</v>
      </c>
      <c r="E25" s="37">
        <f>E26</f>
        <v>24792425</v>
      </c>
      <c r="F25" s="37">
        <v>24117655.100000001</v>
      </c>
      <c r="G25" s="203">
        <f t="shared" si="1"/>
        <v>0.97278322310141108</v>
      </c>
      <c r="H25" s="208">
        <f>H27</f>
        <v>79894</v>
      </c>
      <c r="I25" s="208">
        <f>I27</f>
        <v>79893.919999999998</v>
      </c>
      <c r="J25" s="202">
        <f t="shared" ref="J25:J44" si="4">I25/H25</f>
        <v>0.99999899867324205</v>
      </c>
      <c r="K25" s="206">
        <f t="shared" si="2"/>
        <v>24872319</v>
      </c>
      <c r="L25" s="192">
        <f t="shared" si="3"/>
        <v>24197549.020000003</v>
      </c>
      <c r="M25" s="360">
        <f t="shared" si="0"/>
        <v>0.97287064467129114</v>
      </c>
      <c r="N25" s="439"/>
      <c r="O25" s="439"/>
      <c r="P25" s="439"/>
      <c r="Q25" s="439"/>
    </row>
    <row r="26" spans="1:17" x14ac:dyDescent="0.25">
      <c r="A26" s="700"/>
      <c r="B26" s="701"/>
      <c r="C26" s="701"/>
      <c r="D26" s="353" t="s">
        <v>404</v>
      </c>
      <c r="E26" s="37">
        <v>24792425</v>
      </c>
      <c r="F26" s="37">
        <v>24117655.100000001</v>
      </c>
      <c r="G26" s="203">
        <f t="shared" si="1"/>
        <v>0.97278322310141108</v>
      </c>
      <c r="H26" s="208"/>
      <c r="I26" s="7"/>
      <c r="J26" s="202"/>
      <c r="K26" s="206">
        <f t="shared" si="2"/>
        <v>24792425</v>
      </c>
      <c r="L26" s="192">
        <f t="shared" si="3"/>
        <v>24117655.100000001</v>
      </c>
      <c r="M26" s="360">
        <f t="shared" si="0"/>
        <v>0.97278322310141108</v>
      </c>
      <c r="N26" s="439"/>
      <c r="O26" s="439"/>
      <c r="P26" s="439"/>
      <c r="Q26" s="439"/>
    </row>
    <row r="27" spans="1:17" x14ac:dyDescent="0.25">
      <c r="A27" s="700"/>
      <c r="B27" s="701"/>
      <c r="C27" s="701"/>
      <c r="D27" s="353" t="s">
        <v>407</v>
      </c>
      <c r="E27" s="37"/>
      <c r="F27" s="37"/>
      <c r="G27" s="203"/>
      <c r="H27" s="208">
        <f>H28</f>
        <v>79894</v>
      </c>
      <c r="I27" s="208">
        <f>I28</f>
        <v>79893.919999999998</v>
      </c>
      <c r="J27" s="202">
        <f t="shared" si="4"/>
        <v>0.99999899867324205</v>
      </c>
      <c r="K27" s="206">
        <f t="shared" si="2"/>
        <v>79894</v>
      </c>
      <c r="L27" s="192">
        <f t="shared" si="3"/>
        <v>79893.919999999998</v>
      </c>
      <c r="M27" s="360">
        <f t="shared" si="0"/>
        <v>0.99999899867324205</v>
      </c>
      <c r="N27" s="439"/>
      <c r="O27" s="439"/>
      <c r="P27" s="439"/>
      <c r="Q27" s="439"/>
    </row>
    <row r="28" spans="1:17" x14ac:dyDescent="0.25">
      <c r="A28" s="700"/>
      <c r="B28" s="701"/>
      <c r="C28" s="701"/>
      <c r="D28" s="354" t="s">
        <v>408</v>
      </c>
      <c r="E28" s="37"/>
      <c r="F28" s="37"/>
      <c r="G28" s="203"/>
      <c r="H28" s="208">
        <v>79894</v>
      </c>
      <c r="I28" s="208">
        <v>79893.919999999998</v>
      </c>
      <c r="J28" s="202">
        <f t="shared" si="4"/>
        <v>0.99999899867324205</v>
      </c>
      <c r="K28" s="206">
        <f t="shared" si="2"/>
        <v>79894</v>
      </c>
      <c r="L28" s="192">
        <f t="shared" si="3"/>
        <v>79893.919999999998</v>
      </c>
      <c r="M28" s="360">
        <f t="shared" si="0"/>
        <v>0.99999899867324205</v>
      </c>
      <c r="N28" s="439"/>
      <c r="O28" s="439"/>
      <c r="P28" s="439"/>
      <c r="Q28" s="439"/>
    </row>
    <row r="29" spans="1:17" ht="59.25" customHeight="1" x14ac:dyDescent="0.25">
      <c r="A29" s="700" t="s">
        <v>21</v>
      </c>
      <c r="B29" s="701" t="s">
        <v>22</v>
      </c>
      <c r="C29" s="701" t="s">
        <v>23</v>
      </c>
      <c r="D29" s="24" t="s">
        <v>24</v>
      </c>
      <c r="E29" s="37">
        <f>E30</f>
        <v>880094</v>
      </c>
      <c r="F29" s="37">
        <v>764360.98</v>
      </c>
      <c r="G29" s="203">
        <f t="shared" si="1"/>
        <v>0.8684992512163473</v>
      </c>
      <c r="H29" s="208">
        <f>H31</f>
        <v>259898</v>
      </c>
      <c r="I29" s="48">
        <f>I31</f>
        <v>230802</v>
      </c>
      <c r="J29" s="202">
        <f t="shared" si="4"/>
        <v>0.88804838821383769</v>
      </c>
      <c r="K29" s="206">
        <f>E29+H29</f>
        <v>1139992</v>
      </c>
      <c r="L29" s="192">
        <f t="shared" si="3"/>
        <v>995162.98</v>
      </c>
      <c r="M29" s="360">
        <f t="shared" si="0"/>
        <v>0.87295610846391902</v>
      </c>
      <c r="N29" s="439"/>
      <c r="O29" s="439"/>
      <c r="P29" s="439"/>
      <c r="Q29" s="439"/>
    </row>
    <row r="30" spans="1:17" x14ac:dyDescent="0.25">
      <c r="A30" s="700"/>
      <c r="B30" s="701"/>
      <c r="C30" s="701"/>
      <c r="D30" s="353" t="s">
        <v>404</v>
      </c>
      <c r="E30" s="37">
        <v>880094</v>
      </c>
      <c r="F30" s="37">
        <v>764360.98</v>
      </c>
      <c r="G30" s="203">
        <f t="shared" si="1"/>
        <v>0.8684992512163473</v>
      </c>
      <c r="H30" s="208"/>
      <c r="I30" s="7">
        <v>0</v>
      </c>
      <c r="J30" s="202"/>
      <c r="K30" s="206">
        <f>E30+H30</f>
        <v>880094</v>
      </c>
      <c r="L30" s="192">
        <f t="shared" si="3"/>
        <v>764360.98</v>
      </c>
      <c r="M30" s="360">
        <f t="shared" si="0"/>
        <v>0.8684992512163473</v>
      </c>
      <c r="N30" s="439"/>
      <c r="O30" s="439"/>
      <c r="P30" s="439"/>
      <c r="Q30" s="439"/>
    </row>
    <row r="31" spans="1:17" x14ac:dyDescent="0.25">
      <c r="A31" s="771"/>
      <c r="B31" s="772"/>
      <c r="C31" s="772"/>
      <c r="D31" s="353" t="s">
        <v>407</v>
      </c>
      <c r="E31" s="37"/>
      <c r="F31" s="37"/>
      <c r="G31" s="203"/>
      <c r="H31" s="206">
        <f>H32</f>
        <v>259898</v>
      </c>
      <c r="I31" s="7">
        <f>I32</f>
        <v>230802</v>
      </c>
      <c r="J31" s="202">
        <f t="shared" si="4"/>
        <v>0.88804838821383769</v>
      </c>
      <c r="K31" s="206">
        <f t="shared" si="2"/>
        <v>259898</v>
      </c>
      <c r="L31" s="192">
        <f t="shared" si="3"/>
        <v>230802</v>
      </c>
      <c r="M31" s="360">
        <f t="shared" si="0"/>
        <v>0.88804838821383769</v>
      </c>
      <c r="N31" s="439"/>
      <c r="O31" s="439"/>
      <c r="P31" s="439"/>
      <c r="Q31" s="439"/>
    </row>
    <row r="32" spans="1:17" x14ac:dyDescent="0.25">
      <c r="A32" s="771"/>
      <c r="B32" s="772"/>
      <c r="C32" s="772"/>
      <c r="D32" s="354" t="s">
        <v>408</v>
      </c>
      <c r="E32" s="37"/>
      <c r="F32" s="37"/>
      <c r="G32" s="203"/>
      <c r="H32" s="208">
        <v>259898</v>
      </c>
      <c r="I32" s="7">
        <v>230802</v>
      </c>
      <c r="J32" s="202">
        <f t="shared" si="4"/>
        <v>0.88804838821383769</v>
      </c>
      <c r="K32" s="206">
        <f t="shared" si="2"/>
        <v>259898</v>
      </c>
      <c r="L32" s="192">
        <f t="shared" si="3"/>
        <v>230802</v>
      </c>
      <c r="M32" s="360">
        <f>L32/K32</f>
        <v>0.88804838821383769</v>
      </c>
      <c r="N32" s="439"/>
      <c r="O32" s="439"/>
      <c r="P32" s="439"/>
      <c r="Q32" s="439"/>
    </row>
    <row r="33" spans="1:17" ht="31.5" x14ac:dyDescent="0.25">
      <c r="A33" s="50" t="s">
        <v>203</v>
      </c>
      <c r="B33" s="772">
        <v>2152</v>
      </c>
      <c r="C33" s="49" t="s">
        <v>204</v>
      </c>
      <c r="D33" s="24" t="s">
        <v>214</v>
      </c>
      <c r="E33" s="37">
        <v>3047512</v>
      </c>
      <c r="F33" s="37">
        <v>2779039.63</v>
      </c>
      <c r="G33" s="203">
        <f t="shared" si="1"/>
        <v>0.91190440923612437</v>
      </c>
      <c r="H33" s="206">
        <v>0</v>
      </c>
      <c r="I33" s="7"/>
      <c r="J33" s="202"/>
      <c r="K33" s="206">
        <f t="shared" si="2"/>
        <v>3047512</v>
      </c>
      <c r="L33" s="192">
        <f t="shared" si="3"/>
        <v>2779039.63</v>
      </c>
      <c r="M33" s="360">
        <f t="shared" si="0"/>
        <v>0.91190440923612437</v>
      </c>
      <c r="N33" s="439"/>
      <c r="O33" s="439"/>
      <c r="P33" s="439"/>
      <c r="Q33" s="439"/>
    </row>
    <row r="34" spans="1:17" x14ac:dyDescent="0.25">
      <c r="A34" s="50"/>
      <c r="B34" s="772"/>
      <c r="C34" s="49"/>
      <c r="D34" s="353" t="s">
        <v>404</v>
      </c>
      <c r="E34" s="37">
        <v>3047512</v>
      </c>
      <c r="F34" s="37">
        <v>2779039.63</v>
      </c>
      <c r="G34" s="203">
        <f t="shared" si="1"/>
        <v>0.91190440923612437</v>
      </c>
      <c r="H34" s="208"/>
      <c r="I34" s="7"/>
      <c r="J34" s="202"/>
      <c r="K34" s="206">
        <f t="shared" si="2"/>
        <v>3047512</v>
      </c>
      <c r="L34" s="192">
        <f t="shared" si="3"/>
        <v>2779039.63</v>
      </c>
      <c r="M34" s="360">
        <f t="shared" si="0"/>
        <v>0.91190440923612437</v>
      </c>
      <c r="N34" s="439"/>
      <c r="O34" s="439"/>
      <c r="P34" s="439"/>
      <c r="Q34" s="439"/>
    </row>
    <row r="35" spans="1:17" ht="31.5" x14ac:dyDescent="0.25">
      <c r="A35" s="700" t="s">
        <v>28</v>
      </c>
      <c r="B35" s="701" t="s">
        <v>29</v>
      </c>
      <c r="C35" s="701" t="s">
        <v>30</v>
      </c>
      <c r="D35" s="24" t="s">
        <v>31</v>
      </c>
      <c r="E35" s="37">
        <v>177516</v>
      </c>
      <c r="F35" s="37">
        <v>177508.56</v>
      </c>
      <c r="G35" s="203">
        <f t="shared" si="1"/>
        <v>0.99995808828499966</v>
      </c>
      <c r="H35" s="208">
        <f>H37</f>
        <v>683798</v>
      </c>
      <c r="I35" s="48">
        <f>I37</f>
        <v>683797.5</v>
      </c>
      <c r="J35" s="202">
        <f t="shared" si="4"/>
        <v>0.99999926878990575</v>
      </c>
      <c r="K35" s="206">
        <f>E35+H35</f>
        <v>861314</v>
      </c>
      <c r="L35" s="192">
        <f>F35+I35</f>
        <v>861306.06</v>
      </c>
      <c r="M35" s="360">
        <f t="shared" si="0"/>
        <v>0.99999078152682996</v>
      </c>
      <c r="N35" s="439"/>
      <c r="O35" s="439"/>
      <c r="P35" s="439"/>
      <c r="Q35" s="439"/>
    </row>
    <row r="36" spans="1:17" x14ac:dyDescent="0.25">
      <c r="A36" s="700"/>
      <c r="B36" s="701"/>
      <c r="C36" s="701"/>
      <c r="D36" s="353" t="s">
        <v>404</v>
      </c>
      <c r="E36" s="37">
        <v>177516</v>
      </c>
      <c r="F36" s="37">
        <v>177508.56</v>
      </c>
      <c r="G36" s="203">
        <f t="shared" si="1"/>
        <v>0.99995808828499966</v>
      </c>
      <c r="H36" s="208"/>
      <c r="I36" s="7"/>
      <c r="J36" s="202"/>
      <c r="K36" s="206">
        <f t="shared" si="2"/>
        <v>177516</v>
      </c>
      <c r="L36" s="192">
        <f t="shared" si="3"/>
        <v>177508.56</v>
      </c>
      <c r="M36" s="360">
        <f t="shared" si="0"/>
        <v>0.99995808828499966</v>
      </c>
      <c r="N36" s="439"/>
      <c r="O36" s="439"/>
      <c r="P36" s="439"/>
      <c r="Q36" s="439"/>
    </row>
    <row r="37" spans="1:17" x14ac:dyDescent="0.25">
      <c r="A37" s="700"/>
      <c r="B37" s="701"/>
      <c r="C37" s="701"/>
      <c r="D37" s="353" t="s">
        <v>407</v>
      </c>
      <c r="E37" s="37"/>
      <c r="F37" s="37"/>
      <c r="G37" s="203"/>
      <c r="H37" s="208">
        <f>H38</f>
        <v>683798</v>
      </c>
      <c r="I37" s="601">
        <f>I38</f>
        <v>683797.5</v>
      </c>
      <c r="J37" s="202">
        <f t="shared" si="4"/>
        <v>0.99999926878990575</v>
      </c>
      <c r="K37" s="206">
        <f>H37</f>
        <v>683798</v>
      </c>
      <c r="L37" s="192">
        <f>I37</f>
        <v>683797.5</v>
      </c>
      <c r="M37" s="360">
        <f t="shared" si="0"/>
        <v>0.99999926878990575</v>
      </c>
      <c r="N37" s="439"/>
      <c r="O37" s="439"/>
      <c r="P37" s="439"/>
      <c r="Q37" s="439"/>
    </row>
    <row r="38" spans="1:17" x14ac:dyDescent="0.25">
      <c r="A38" s="700"/>
      <c r="B38" s="701"/>
      <c r="C38" s="701"/>
      <c r="D38" s="354" t="s">
        <v>408</v>
      </c>
      <c r="E38" s="37"/>
      <c r="F38" s="37"/>
      <c r="G38" s="203"/>
      <c r="H38" s="208">
        <v>683798</v>
      </c>
      <c r="I38" s="601">
        <v>683797.5</v>
      </c>
      <c r="J38" s="202">
        <f t="shared" si="4"/>
        <v>0.99999926878990575</v>
      </c>
      <c r="K38" s="206">
        <f>H38</f>
        <v>683798</v>
      </c>
      <c r="L38" s="192">
        <f>I38</f>
        <v>683797.5</v>
      </c>
      <c r="M38" s="360"/>
      <c r="N38" s="439"/>
      <c r="O38" s="439"/>
      <c r="P38" s="439"/>
      <c r="Q38" s="439"/>
    </row>
    <row r="39" spans="1:17" ht="43.5" customHeight="1" x14ac:dyDescent="0.25">
      <c r="A39" s="50" t="s">
        <v>215</v>
      </c>
      <c r="B39" s="49">
        <v>7650</v>
      </c>
      <c r="C39" s="49" t="s">
        <v>152</v>
      </c>
      <c r="D39" s="24" t="s">
        <v>216</v>
      </c>
      <c r="E39" s="37">
        <v>0</v>
      </c>
      <c r="F39" s="37">
        <v>0</v>
      </c>
      <c r="G39" s="203"/>
      <c r="H39" s="208">
        <f>H40</f>
        <v>57000</v>
      </c>
      <c r="I39" s="48">
        <f>I40</f>
        <v>9200</v>
      </c>
      <c r="J39" s="202">
        <f t="shared" si="4"/>
        <v>0.16140350877192983</v>
      </c>
      <c r="K39" s="206">
        <f t="shared" si="2"/>
        <v>57000</v>
      </c>
      <c r="L39" s="192">
        <f t="shared" si="3"/>
        <v>9200</v>
      </c>
      <c r="M39" s="360">
        <f t="shared" si="0"/>
        <v>0.16140350877192983</v>
      </c>
      <c r="N39" s="439"/>
      <c r="O39" s="439"/>
      <c r="P39" s="439"/>
      <c r="Q39" s="439"/>
    </row>
    <row r="40" spans="1:17" x14ac:dyDescent="0.25">
      <c r="A40" s="50"/>
      <c r="B40" s="49"/>
      <c r="C40" s="49"/>
      <c r="D40" s="353" t="s">
        <v>407</v>
      </c>
      <c r="E40" s="37"/>
      <c r="F40" s="37"/>
      <c r="G40" s="203"/>
      <c r="H40" s="208">
        <v>57000</v>
      </c>
      <c r="I40" s="48">
        <v>9200</v>
      </c>
      <c r="J40" s="202">
        <f t="shared" si="4"/>
        <v>0.16140350877192983</v>
      </c>
      <c r="K40" s="206">
        <f t="shared" si="2"/>
        <v>57000</v>
      </c>
      <c r="L40" s="192">
        <f t="shared" si="3"/>
        <v>9200</v>
      </c>
      <c r="M40" s="360">
        <f t="shared" si="0"/>
        <v>0.16140350877192983</v>
      </c>
      <c r="N40" s="439"/>
      <c r="O40" s="439"/>
      <c r="P40" s="439"/>
      <c r="Q40" s="439"/>
    </row>
    <row r="41" spans="1:17" x14ac:dyDescent="0.25">
      <c r="A41" s="50"/>
      <c r="B41" s="49"/>
      <c r="C41" s="49"/>
      <c r="D41" s="354" t="s">
        <v>408</v>
      </c>
      <c r="E41" s="37"/>
      <c r="F41" s="37"/>
      <c r="G41" s="203"/>
      <c r="H41" s="208">
        <v>57000</v>
      </c>
      <c r="I41" s="48">
        <v>9200</v>
      </c>
      <c r="J41" s="202">
        <f t="shared" si="4"/>
        <v>0.16140350877192983</v>
      </c>
      <c r="K41" s="206">
        <f t="shared" si="2"/>
        <v>57000</v>
      </c>
      <c r="L41" s="192">
        <f t="shared" si="3"/>
        <v>9200</v>
      </c>
      <c r="M41" s="360">
        <f t="shared" si="0"/>
        <v>0.16140350877192983</v>
      </c>
      <c r="N41" s="439"/>
      <c r="O41" s="439"/>
      <c r="P41" s="439"/>
      <c r="Q41" s="439"/>
    </row>
    <row r="42" spans="1:17" ht="80.25" customHeight="1" x14ac:dyDescent="0.25">
      <c r="A42" s="50" t="s">
        <v>217</v>
      </c>
      <c r="B42" s="49" t="s">
        <v>218</v>
      </c>
      <c r="C42" s="49" t="s">
        <v>152</v>
      </c>
      <c r="D42" s="24" t="s">
        <v>219</v>
      </c>
      <c r="E42" s="37">
        <v>0</v>
      </c>
      <c r="F42" s="37">
        <v>0</v>
      </c>
      <c r="G42" s="203"/>
      <c r="H42" s="208">
        <f>H43</f>
        <v>15200</v>
      </c>
      <c r="I42" s="48">
        <f>I43</f>
        <v>0</v>
      </c>
      <c r="J42" s="202">
        <f t="shared" si="4"/>
        <v>0</v>
      </c>
      <c r="K42" s="206">
        <f t="shared" si="2"/>
        <v>15200</v>
      </c>
      <c r="L42" s="192">
        <f t="shared" si="3"/>
        <v>0</v>
      </c>
      <c r="M42" s="360">
        <f t="shared" si="0"/>
        <v>0</v>
      </c>
      <c r="N42" s="439"/>
      <c r="O42" s="439"/>
      <c r="P42" s="439"/>
      <c r="Q42" s="439"/>
    </row>
    <row r="43" spans="1:17" x14ac:dyDescent="0.25">
      <c r="A43" s="50"/>
      <c r="B43" s="49"/>
      <c r="C43" s="49"/>
      <c r="D43" s="353" t="s">
        <v>407</v>
      </c>
      <c r="E43" s="37"/>
      <c r="F43" s="37"/>
      <c r="G43" s="203"/>
      <c r="H43" s="208">
        <v>15200</v>
      </c>
      <c r="I43" s="48">
        <v>0</v>
      </c>
      <c r="J43" s="202">
        <f t="shared" si="4"/>
        <v>0</v>
      </c>
      <c r="K43" s="206">
        <f t="shared" si="2"/>
        <v>15200</v>
      </c>
      <c r="L43" s="192">
        <f t="shared" si="3"/>
        <v>0</v>
      </c>
      <c r="M43" s="360">
        <f t="shared" si="0"/>
        <v>0</v>
      </c>
      <c r="N43" s="439"/>
      <c r="O43" s="439"/>
      <c r="P43" s="439"/>
      <c r="Q43" s="439"/>
    </row>
    <row r="44" spans="1:17" x14ac:dyDescent="0.25">
      <c r="A44" s="50"/>
      <c r="B44" s="49"/>
      <c r="C44" s="49"/>
      <c r="D44" s="354" t="s">
        <v>408</v>
      </c>
      <c r="E44" s="37"/>
      <c r="F44" s="37"/>
      <c r="G44" s="203"/>
      <c r="H44" s="208">
        <f>H43</f>
        <v>15200</v>
      </c>
      <c r="I44" s="48">
        <v>0</v>
      </c>
      <c r="J44" s="202">
        <f t="shared" si="4"/>
        <v>0</v>
      </c>
      <c r="K44" s="206">
        <f t="shared" si="2"/>
        <v>15200</v>
      </c>
      <c r="L44" s="192">
        <f t="shared" si="3"/>
        <v>0</v>
      </c>
      <c r="M44" s="360">
        <f t="shared" si="0"/>
        <v>0</v>
      </c>
      <c r="N44" s="439"/>
      <c r="O44" s="439"/>
      <c r="P44" s="439"/>
      <c r="Q44" s="439"/>
    </row>
    <row r="45" spans="1:17" ht="31.5" x14ac:dyDescent="0.25">
      <c r="A45" s="700" t="s">
        <v>150</v>
      </c>
      <c r="B45" s="701" t="s">
        <v>151</v>
      </c>
      <c r="C45" s="701" t="s">
        <v>152</v>
      </c>
      <c r="D45" s="24" t="s">
        <v>153</v>
      </c>
      <c r="E45" s="37">
        <f>E46</f>
        <v>40031</v>
      </c>
      <c r="F45" s="37">
        <v>40031</v>
      </c>
      <c r="G45" s="203">
        <f t="shared" si="1"/>
        <v>1</v>
      </c>
      <c r="H45" s="208">
        <v>0</v>
      </c>
      <c r="I45" s="7">
        <v>0</v>
      </c>
      <c r="J45" s="203"/>
      <c r="K45" s="206">
        <f t="shared" si="2"/>
        <v>40031</v>
      </c>
      <c r="L45" s="192">
        <f t="shared" si="3"/>
        <v>40031</v>
      </c>
      <c r="M45" s="360">
        <f t="shared" si="0"/>
        <v>1</v>
      </c>
      <c r="N45" s="439"/>
      <c r="O45" s="439"/>
      <c r="P45" s="439"/>
      <c r="Q45" s="439"/>
    </row>
    <row r="46" spans="1:17" x14ac:dyDescent="0.25">
      <c r="A46" s="700"/>
      <c r="B46" s="701"/>
      <c r="C46" s="701"/>
      <c r="D46" s="353" t="s">
        <v>404</v>
      </c>
      <c r="E46" s="37">
        <v>40031</v>
      </c>
      <c r="F46" s="37">
        <v>40031</v>
      </c>
      <c r="G46" s="203">
        <f t="shared" si="1"/>
        <v>1</v>
      </c>
      <c r="H46" s="208"/>
      <c r="I46" s="7"/>
      <c r="J46" s="203"/>
      <c r="K46" s="206">
        <f>E46+H46</f>
        <v>40031</v>
      </c>
      <c r="L46" s="192">
        <f t="shared" si="3"/>
        <v>40031</v>
      </c>
      <c r="M46" s="360">
        <f t="shared" si="0"/>
        <v>1</v>
      </c>
      <c r="N46" s="439"/>
      <c r="O46" s="439"/>
      <c r="P46" s="439"/>
      <c r="Q46" s="439"/>
    </row>
    <row r="47" spans="1:17" ht="47.25" x14ac:dyDescent="0.25">
      <c r="A47" s="50" t="s">
        <v>629</v>
      </c>
      <c r="B47" s="737">
        <v>8110</v>
      </c>
      <c r="C47" s="737">
        <v>320</v>
      </c>
      <c r="D47" s="354" t="s">
        <v>207</v>
      </c>
      <c r="E47" s="37">
        <v>714150</v>
      </c>
      <c r="F47" s="37">
        <v>711600</v>
      </c>
      <c r="G47" s="203">
        <f t="shared" si="1"/>
        <v>0.99642932157109854</v>
      </c>
      <c r="H47" s="208"/>
      <c r="I47" s="7"/>
      <c r="J47" s="203"/>
      <c r="K47" s="206">
        <f>E47+H47</f>
        <v>714150</v>
      </c>
      <c r="L47" s="192">
        <f t="shared" si="3"/>
        <v>711600</v>
      </c>
      <c r="M47" s="360">
        <f t="shared" si="0"/>
        <v>0.99642932157109854</v>
      </c>
      <c r="N47" s="439"/>
      <c r="O47" s="439"/>
      <c r="P47" s="439"/>
      <c r="Q47" s="439"/>
    </row>
    <row r="48" spans="1:17" x14ac:dyDescent="0.25">
      <c r="A48" s="736"/>
      <c r="B48" s="737"/>
      <c r="C48" s="737"/>
      <c r="D48" s="353" t="s">
        <v>404</v>
      </c>
      <c r="E48" s="37">
        <v>714150</v>
      </c>
      <c r="F48" s="37">
        <v>711600</v>
      </c>
      <c r="G48" s="203">
        <f t="shared" si="1"/>
        <v>0.99642932157109854</v>
      </c>
      <c r="H48" s="208"/>
      <c r="I48" s="7"/>
      <c r="J48" s="203"/>
      <c r="K48" s="206">
        <f>E48+H48</f>
        <v>714150</v>
      </c>
      <c r="L48" s="192">
        <f t="shared" si="3"/>
        <v>711600</v>
      </c>
      <c r="M48" s="360">
        <f t="shared" si="0"/>
        <v>0.99642932157109854</v>
      </c>
      <c r="N48" s="439"/>
      <c r="O48" s="439"/>
      <c r="P48" s="439"/>
      <c r="Q48" s="439"/>
    </row>
    <row r="49" spans="1:17" ht="31.5" x14ac:dyDescent="0.25">
      <c r="A49" s="821"/>
      <c r="B49" s="822"/>
      <c r="C49" s="822"/>
      <c r="D49" s="354" t="s">
        <v>406</v>
      </c>
      <c r="E49" s="37">
        <v>58050</v>
      </c>
      <c r="F49" s="37">
        <v>55500</v>
      </c>
      <c r="G49" s="203">
        <f t="shared" si="1"/>
        <v>0.95607235142118863</v>
      </c>
      <c r="H49" s="208"/>
      <c r="I49" s="7"/>
      <c r="J49" s="203"/>
      <c r="K49" s="206">
        <f>E49+H49</f>
        <v>58050</v>
      </c>
      <c r="L49" s="192">
        <f t="shared" si="3"/>
        <v>55500</v>
      </c>
      <c r="M49" s="360">
        <f t="shared" si="0"/>
        <v>0.95607235142118863</v>
      </c>
      <c r="N49" s="439"/>
      <c r="O49" s="439"/>
      <c r="P49" s="439"/>
      <c r="Q49" s="439"/>
    </row>
    <row r="50" spans="1:17" ht="31.5" x14ac:dyDescent="0.25">
      <c r="A50" s="700" t="s">
        <v>32</v>
      </c>
      <c r="B50" s="701" t="s">
        <v>33</v>
      </c>
      <c r="C50" s="701" t="s">
        <v>34</v>
      </c>
      <c r="D50" s="24" t="s">
        <v>35</v>
      </c>
      <c r="E50" s="37">
        <f>E51</f>
        <v>9500</v>
      </c>
      <c r="F50" s="37">
        <f>F51</f>
        <v>0</v>
      </c>
      <c r="G50" s="203">
        <f t="shared" si="1"/>
        <v>0</v>
      </c>
      <c r="H50" s="208">
        <v>0</v>
      </c>
      <c r="I50" s="7">
        <v>0</v>
      </c>
      <c r="J50" s="203"/>
      <c r="K50" s="206">
        <f t="shared" si="2"/>
        <v>9500</v>
      </c>
      <c r="L50" s="192">
        <f t="shared" si="3"/>
        <v>0</v>
      </c>
      <c r="M50" s="360">
        <f t="shared" si="0"/>
        <v>0</v>
      </c>
      <c r="N50" s="439"/>
      <c r="O50" s="439"/>
      <c r="P50" s="439"/>
      <c r="Q50" s="439"/>
    </row>
    <row r="51" spans="1:17" x14ac:dyDescent="0.25">
      <c r="A51" s="700"/>
      <c r="B51" s="701"/>
      <c r="C51" s="701"/>
      <c r="D51" s="353" t="s">
        <v>404</v>
      </c>
      <c r="E51" s="37">
        <v>9500</v>
      </c>
      <c r="F51" s="37">
        <v>0</v>
      </c>
      <c r="G51" s="203">
        <f t="shared" si="1"/>
        <v>0</v>
      </c>
      <c r="H51" s="208"/>
      <c r="I51" s="7"/>
      <c r="J51" s="203"/>
      <c r="K51" s="206">
        <f t="shared" si="2"/>
        <v>9500</v>
      </c>
      <c r="L51" s="192">
        <f t="shared" si="3"/>
        <v>0</v>
      </c>
      <c r="M51" s="360">
        <f t="shared" si="0"/>
        <v>0</v>
      </c>
      <c r="N51" s="439"/>
      <c r="O51" s="439"/>
      <c r="P51" s="439"/>
      <c r="Q51" s="439"/>
    </row>
    <row r="52" spans="1:17" ht="31.5" x14ac:dyDescent="0.25">
      <c r="A52" s="700" t="s">
        <v>139</v>
      </c>
      <c r="B52" s="701" t="s">
        <v>154</v>
      </c>
      <c r="C52" s="701" t="s">
        <v>34</v>
      </c>
      <c r="D52" s="24" t="s">
        <v>140</v>
      </c>
      <c r="E52" s="37">
        <f>E53</f>
        <v>18043353</v>
      </c>
      <c r="F52" s="37">
        <v>17006282.949999999</v>
      </c>
      <c r="G52" s="203">
        <f t="shared" si="1"/>
        <v>0.94252342954216983</v>
      </c>
      <c r="H52" s="208">
        <v>0</v>
      </c>
      <c r="I52" s="7">
        <v>0</v>
      </c>
      <c r="J52" s="203"/>
      <c r="K52" s="206">
        <f>E52+H52</f>
        <v>18043353</v>
      </c>
      <c r="L52" s="192">
        <f t="shared" si="3"/>
        <v>17006282.949999999</v>
      </c>
      <c r="M52" s="360">
        <f t="shared" si="0"/>
        <v>0.94252342954216983</v>
      </c>
      <c r="N52" s="439"/>
      <c r="O52" s="439"/>
      <c r="P52" s="439"/>
      <c r="Q52" s="439"/>
    </row>
    <row r="53" spans="1:17" x14ac:dyDescent="0.25">
      <c r="A53" s="35"/>
      <c r="B53" s="36"/>
      <c r="C53" s="36"/>
      <c r="D53" s="353" t="s">
        <v>404</v>
      </c>
      <c r="E53" s="38">
        <v>18043353</v>
      </c>
      <c r="F53" s="38">
        <v>17006282.949999999</v>
      </c>
      <c r="G53" s="203">
        <f t="shared" si="1"/>
        <v>0.94252342954216983</v>
      </c>
      <c r="H53" s="206"/>
      <c r="I53" s="7"/>
      <c r="J53" s="203"/>
      <c r="K53" s="206">
        <f t="shared" si="2"/>
        <v>18043353</v>
      </c>
      <c r="L53" s="192">
        <f t="shared" si="3"/>
        <v>17006282.949999999</v>
      </c>
      <c r="M53" s="360">
        <f t="shared" si="0"/>
        <v>0.94252342954216983</v>
      </c>
      <c r="N53" s="439"/>
      <c r="O53" s="439"/>
      <c r="P53" s="439"/>
      <c r="Q53" s="439"/>
    </row>
    <row r="54" spans="1:17" ht="31.5" x14ac:dyDescent="0.25">
      <c r="A54" s="35">
        <v>218240</v>
      </c>
      <c r="B54" s="36">
        <v>8240</v>
      </c>
      <c r="C54" s="36">
        <v>380</v>
      </c>
      <c r="D54" s="356" t="s">
        <v>459</v>
      </c>
      <c r="E54" s="38">
        <v>241072</v>
      </c>
      <c r="F54" s="38">
        <v>240831.14</v>
      </c>
      <c r="G54" s="203">
        <f t="shared" si="1"/>
        <v>0.99900087940532289</v>
      </c>
      <c r="H54" s="574">
        <v>183598</v>
      </c>
      <c r="I54" s="207">
        <v>183597.6</v>
      </c>
      <c r="J54" s="203">
        <f>I54/H54</f>
        <v>0.99999782132702975</v>
      </c>
      <c r="K54" s="206">
        <f>E54+H54</f>
        <v>424670</v>
      </c>
      <c r="L54" s="192">
        <f>F54+I54</f>
        <v>424428.74</v>
      </c>
      <c r="M54" s="360">
        <f t="shared" si="0"/>
        <v>0.99943188828973084</v>
      </c>
      <c r="N54" s="439"/>
      <c r="O54" s="439"/>
      <c r="P54" s="439"/>
      <c r="Q54" s="439"/>
    </row>
    <row r="55" spans="1:17" x14ac:dyDescent="0.25">
      <c r="A55" s="35"/>
      <c r="B55" s="36"/>
      <c r="C55" s="36"/>
      <c r="D55" s="353" t="s">
        <v>404</v>
      </c>
      <c r="E55" s="38">
        <v>241072</v>
      </c>
      <c r="F55" s="38">
        <v>240831.14</v>
      </c>
      <c r="G55" s="203">
        <f t="shared" si="1"/>
        <v>0.99900087940532289</v>
      </c>
      <c r="H55" s="574"/>
      <c r="I55" s="207"/>
      <c r="J55" s="203"/>
      <c r="K55" s="206">
        <f>E55+H55</f>
        <v>241072</v>
      </c>
      <c r="L55" s="192">
        <f>F55+I55</f>
        <v>240831.14</v>
      </c>
      <c r="M55" s="360">
        <f t="shared" si="0"/>
        <v>0.99900087940532289</v>
      </c>
      <c r="N55" s="439"/>
      <c r="O55" s="439"/>
      <c r="P55" s="439"/>
      <c r="Q55" s="439"/>
    </row>
    <row r="56" spans="1:17" x14ac:dyDescent="0.25">
      <c r="A56" s="35"/>
      <c r="B56" s="36"/>
      <c r="C56" s="36"/>
      <c r="D56" s="355" t="s">
        <v>407</v>
      </c>
      <c r="E56" s="38"/>
      <c r="F56" s="38"/>
      <c r="G56" s="204"/>
      <c r="H56" s="574">
        <v>183598</v>
      </c>
      <c r="I56" s="207">
        <v>183597.6</v>
      </c>
      <c r="J56" s="203">
        <f t="shared" ref="J56:J57" si="5">I56/H56</f>
        <v>0.99999782132702975</v>
      </c>
      <c r="K56" s="206">
        <f t="shared" si="2"/>
        <v>183598</v>
      </c>
      <c r="L56" s="192">
        <f t="shared" si="3"/>
        <v>183597.6</v>
      </c>
      <c r="M56" s="360">
        <f t="shared" si="0"/>
        <v>0.99999782132702975</v>
      </c>
      <c r="N56" s="439"/>
      <c r="O56" s="439"/>
      <c r="P56" s="439"/>
      <c r="Q56" s="439"/>
    </row>
    <row r="57" spans="1:17" x14ac:dyDescent="0.25">
      <c r="A57" s="35"/>
      <c r="B57" s="36"/>
      <c r="C57" s="36"/>
      <c r="D57" s="356" t="s">
        <v>408</v>
      </c>
      <c r="E57" s="38"/>
      <c r="F57" s="38"/>
      <c r="G57" s="204"/>
      <c r="H57" s="574">
        <v>183598</v>
      </c>
      <c r="I57" s="207">
        <v>183597.6</v>
      </c>
      <c r="J57" s="203">
        <f t="shared" si="5"/>
        <v>0.99999782132702975</v>
      </c>
      <c r="K57" s="206">
        <f t="shared" si="2"/>
        <v>183598</v>
      </c>
      <c r="L57" s="192">
        <f t="shared" si="3"/>
        <v>183597.6</v>
      </c>
      <c r="M57" s="360">
        <f t="shared" si="0"/>
        <v>0.99999782132702975</v>
      </c>
      <c r="N57" s="439"/>
      <c r="O57" s="439"/>
      <c r="P57" s="439"/>
      <c r="Q57" s="439"/>
    </row>
    <row r="58" spans="1:17" ht="31.5" x14ac:dyDescent="0.25">
      <c r="A58" s="35" t="s">
        <v>36</v>
      </c>
      <c r="B58" s="36" t="s">
        <v>37</v>
      </c>
      <c r="C58" s="36" t="s">
        <v>38</v>
      </c>
      <c r="D58" s="31" t="s">
        <v>39</v>
      </c>
      <c r="E58" s="38">
        <f>E59</f>
        <v>3644210</v>
      </c>
      <c r="F58" s="38">
        <v>3607197.35</v>
      </c>
      <c r="G58" s="204">
        <f t="shared" si="1"/>
        <v>0.98984343657473095</v>
      </c>
      <c r="H58" s="574">
        <v>0</v>
      </c>
      <c r="I58" s="12">
        <v>0</v>
      </c>
      <c r="J58" s="203"/>
      <c r="K58" s="206">
        <f t="shared" si="2"/>
        <v>3644210</v>
      </c>
      <c r="L58" s="192">
        <f t="shared" si="3"/>
        <v>3607197.35</v>
      </c>
      <c r="M58" s="360">
        <f t="shared" si="0"/>
        <v>0.98984343657473095</v>
      </c>
      <c r="N58" s="439"/>
      <c r="O58" s="439"/>
      <c r="P58" s="439"/>
      <c r="Q58" s="439"/>
    </row>
    <row r="59" spans="1:17" x14ac:dyDescent="0.25">
      <c r="A59" s="700"/>
      <c r="B59" s="701"/>
      <c r="C59" s="701"/>
      <c r="D59" s="353" t="s">
        <v>404</v>
      </c>
      <c r="E59" s="37">
        <v>3644210</v>
      </c>
      <c r="F59" s="37">
        <v>3607197.35</v>
      </c>
      <c r="G59" s="203">
        <f t="shared" si="1"/>
        <v>0.98984343657473095</v>
      </c>
      <c r="H59" s="206"/>
      <c r="I59" s="7"/>
      <c r="J59" s="203"/>
      <c r="K59" s="206">
        <f t="shared" si="2"/>
        <v>3644210</v>
      </c>
      <c r="L59" s="192">
        <f t="shared" si="3"/>
        <v>3607197.35</v>
      </c>
      <c r="M59" s="360">
        <f t="shared" si="0"/>
        <v>0.98984343657473095</v>
      </c>
      <c r="N59" s="439"/>
      <c r="O59" s="439"/>
      <c r="P59" s="439"/>
      <c r="Q59" s="439"/>
    </row>
    <row r="60" spans="1:17" x14ac:dyDescent="0.25">
      <c r="A60" s="50" t="s">
        <v>508</v>
      </c>
      <c r="B60" s="772">
        <v>9770</v>
      </c>
      <c r="C60" s="49" t="s">
        <v>197</v>
      </c>
      <c r="D60" s="354" t="s">
        <v>492</v>
      </c>
      <c r="E60" s="37">
        <f>E61</f>
        <v>30000000</v>
      </c>
      <c r="F60" s="37">
        <f>F61</f>
        <v>30000000</v>
      </c>
      <c r="G60" s="203">
        <f t="shared" si="1"/>
        <v>1</v>
      </c>
      <c r="H60" s="206"/>
      <c r="I60" s="7"/>
      <c r="J60" s="203"/>
      <c r="K60" s="206">
        <f t="shared" si="2"/>
        <v>30000000</v>
      </c>
      <c r="L60" s="192">
        <f t="shared" si="3"/>
        <v>30000000</v>
      </c>
      <c r="M60" s="360">
        <f t="shared" si="0"/>
        <v>1</v>
      </c>
      <c r="N60" s="439"/>
      <c r="O60" s="439"/>
      <c r="P60" s="439"/>
      <c r="Q60" s="439"/>
    </row>
    <row r="61" spans="1:17" x14ac:dyDescent="0.25">
      <c r="A61" s="922"/>
      <c r="B61" s="924"/>
      <c r="C61" s="924"/>
      <c r="D61" s="353" t="s">
        <v>404</v>
      </c>
      <c r="E61" s="37">
        <v>30000000</v>
      </c>
      <c r="F61" s="37">
        <v>30000000</v>
      </c>
      <c r="G61" s="203">
        <f t="shared" si="1"/>
        <v>1</v>
      </c>
      <c r="H61" s="206"/>
      <c r="I61" s="7"/>
      <c r="J61" s="203"/>
      <c r="K61" s="206">
        <f t="shared" si="2"/>
        <v>30000000</v>
      </c>
      <c r="L61" s="192">
        <f t="shared" si="3"/>
        <v>30000000</v>
      </c>
      <c r="M61" s="360">
        <f t="shared" si="0"/>
        <v>1</v>
      </c>
      <c r="N61" s="439"/>
      <c r="O61" s="439"/>
      <c r="P61" s="439"/>
      <c r="Q61" s="439"/>
    </row>
    <row r="62" spans="1:17" ht="63" x14ac:dyDescent="0.25">
      <c r="A62" s="939">
        <v>219800</v>
      </c>
      <c r="B62" s="940">
        <v>9800</v>
      </c>
      <c r="C62" s="940">
        <v>180</v>
      </c>
      <c r="D62" s="941" t="s">
        <v>592</v>
      </c>
      <c r="E62" s="40">
        <v>12216839</v>
      </c>
      <c r="F62" s="40">
        <v>12215453.460000001</v>
      </c>
      <c r="G62" s="202">
        <f t="shared" si="1"/>
        <v>0.99988658768442484</v>
      </c>
      <c r="H62" s="208">
        <f>H63</f>
        <v>22143025</v>
      </c>
      <c r="I62" s="601">
        <f>I63</f>
        <v>22101893</v>
      </c>
      <c r="J62" s="202">
        <f>I62/H62</f>
        <v>0.9981424398879557</v>
      </c>
      <c r="K62" s="208">
        <f>E62+H62</f>
        <v>34359864</v>
      </c>
      <c r="L62" s="942">
        <f>F62+I62</f>
        <v>34317346.460000001</v>
      </c>
      <c r="M62" s="359">
        <f t="shared" si="0"/>
        <v>0.99876258124886641</v>
      </c>
      <c r="N62" s="439"/>
      <c r="O62" s="439"/>
      <c r="P62" s="439"/>
      <c r="Q62" s="439"/>
    </row>
    <row r="63" spans="1:17" x14ac:dyDescent="0.25">
      <c r="A63" s="700"/>
      <c r="B63" s="701"/>
      <c r="C63" s="701"/>
      <c r="D63" s="355" t="s">
        <v>407</v>
      </c>
      <c r="E63" s="37"/>
      <c r="F63" s="37"/>
      <c r="G63" s="203"/>
      <c r="H63" s="206">
        <f>H64</f>
        <v>22143025</v>
      </c>
      <c r="I63" s="7">
        <f>I64</f>
        <v>22101893</v>
      </c>
      <c r="J63" s="203">
        <f t="shared" ref="J63:J64" si="6">I63/H63</f>
        <v>0.9981424398879557</v>
      </c>
      <c r="K63" s="206">
        <f t="shared" ref="K63:L64" si="7">E63+H63</f>
        <v>22143025</v>
      </c>
      <c r="L63" s="192">
        <f t="shared" si="7"/>
        <v>22101893</v>
      </c>
      <c r="M63" s="360">
        <f t="shared" si="0"/>
        <v>0.9981424398879557</v>
      </c>
      <c r="N63" s="439"/>
      <c r="O63" s="439"/>
      <c r="P63" s="439"/>
      <c r="Q63" s="439"/>
    </row>
    <row r="64" spans="1:17" ht="16.5" thickBot="1" x14ac:dyDescent="0.3">
      <c r="A64" s="35"/>
      <c r="B64" s="36"/>
      <c r="C64" s="36"/>
      <c r="D64" s="356" t="s">
        <v>408</v>
      </c>
      <c r="E64" s="38"/>
      <c r="F64" s="38"/>
      <c r="G64" s="204"/>
      <c r="H64" s="574">
        <v>22143025</v>
      </c>
      <c r="I64" s="12">
        <v>22101893</v>
      </c>
      <c r="J64" s="204">
        <f t="shared" si="6"/>
        <v>0.9981424398879557</v>
      </c>
      <c r="K64" s="574">
        <f t="shared" si="7"/>
        <v>22143025</v>
      </c>
      <c r="L64" s="948">
        <f t="shared" si="7"/>
        <v>22101893</v>
      </c>
      <c r="M64" s="361">
        <f t="shared" si="0"/>
        <v>0.9981424398879557</v>
      </c>
      <c r="N64" s="439"/>
      <c r="O64" s="439"/>
      <c r="P64" s="439"/>
      <c r="Q64" s="439"/>
    </row>
    <row r="65" spans="1:17" ht="48" thickBot="1" x14ac:dyDescent="0.3">
      <c r="A65" s="32" t="s">
        <v>40</v>
      </c>
      <c r="B65" s="33" t="s">
        <v>14</v>
      </c>
      <c r="C65" s="33" t="s">
        <v>14</v>
      </c>
      <c r="D65" s="34" t="s">
        <v>438</v>
      </c>
      <c r="E65" s="51">
        <f>E66</f>
        <v>280916914</v>
      </c>
      <c r="F65" s="51">
        <f>F66</f>
        <v>270457864.19999999</v>
      </c>
      <c r="G65" s="201">
        <f t="shared" si="1"/>
        <v>0.96276817351054911</v>
      </c>
      <c r="H65" s="51">
        <f>H66</f>
        <v>23411588</v>
      </c>
      <c r="I65" s="823">
        <f>I66</f>
        <v>22888699.059999995</v>
      </c>
      <c r="J65" s="201">
        <f t="shared" ref="J65:J220" si="8">I65/H65</f>
        <v>0.97766537921306296</v>
      </c>
      <c r="K65" s="199">
        <f>K66</f>
        <v>304328502</v>
      </c>
      <c r="L65" s="199">
        <f>L66</f>
        <v>293346563.26000005</v>
      </c>
      <c r="M65" s="209">
        <f t="shared" si="0"/>
        <v>0.96391419578571069</v>
      </c>
      <c r="N65" s="439"/>
      <c r="O65" s="439"/>
      <c r="P65" s="439"/>
      <c r="Q65" s="439"/>
    </row>
    <row r="66" spans="1:17" s="28" customFormat="1" ht="47.25" x14ac:dyDescent="0.25">
      <c r="A66" s="45" t="s">
        <v>41</v>
      </c>
      <c r="B66" s="46" t="s">
        <v>14</v>
      </c>
      <c r="C66" s="46" t="s">
        <v>14</v>
      </c>
      <c r="D66" s="47" t="s">
        <v>438</v>
      </c>
      <c r="E66" s="39">
        <f>E67+E73+E79+E85+E88+E94+E98+E100+E105+E108+E119+E133+E140+E122+E124+E138</f>
        <v>280916914</v>
      </c>
      <c r="F66" s="39">
        <f>F67+F73+F79+F85+F88+F94+F98+F100+F105+F108+F119+F133+F140+F122+F124+F138</f>
        <v>270457864.19999999</v>
      </c>
      <c r="G66" s="202">
        <f t="shared" si="1"/>
        <v>0.96276817351054911</v>
      </c>
      <c r="H66" s="39">
        <f>H67+H73+H79+H85+H88+H94+H98+H100+H105+H108+H113+H116+H119+H128+H133+H140+H144+H126+H136+H130</f>
        <v>23411588</v>
      </c>
      <c r="I66" s="39">
        <f>I67+I73+I79+I85+I88+I94+I98+I100+I105+I108+I113+I116+I119+I128+I133+I140+I144+I126+I136+I130</f>
        <v>22888699.059999995</v>
      </c>
      <c r="J66" s="202">
        <f t="shared" si="8"/>
        <v>0.97766537921306296</v>
      </c>
      <c r="K66" s="39">
        <f>K67+K73+K79+K85+K88+K94+K98+K100+K105+K108+K113+K116+K119+K128+K133+K140+K144+K122+K124+K126+K136+K138+K130</f>
        <v>304328502</v>
      </c>
      <c r="L66" s="39">
        <f>L67+L73+L79+L85+L88+L94+L98+L100+L105+L108+L113+L116+L119+L128+L133+L140+L144+L122+L124+L126+L136+L138+L130</f>
        <v>293346563.26000005</v>
      </c>
      <c r="M66" s="362">
        <f>L66/K66</f>
        <v>0.96391419578571069</v>
      </c>
      <c r="N66" s="439"/>
      <c r="O66" s="439"/>
      <c r="P66" s="439"/>
      <c r="Q66" s="439"/>
    </row>
    <row r="67" spans="1:17" ht="47.25" x14ac:dyDescent="0.25">
      <c r="A67" s="700" t="s">
        <v>155</v>
      </c>
      <c r="B67" s="701" t="s">
        <v>42</v>
      </c>
      <c r="C67" s="701" t="s">
        <v>16</v>
      </c>
      <c r="D67" s="24" t="s">
        <v>156</v>
      </c>
      <c r="E67" s="37">
        <v>5364445</v>
      </c>
      <c r="F67" s="37">
        <v>5311879.57</v>
      </c>
      <c r="G67" s="203">
        <f t="shared" si="1"/>
        <v>0.99020114289549066</v>
      </c>
      <c r="H67" s="7">
        <f>H68+H71</f>
        <v>49510</v>
      </c>
      <c r="I67" s="7">
        <f>I68+I71</f>
        <v>49510</v>
      </c>
      <c r="J67" s="202"/>
      <c r="K67" s="7">
        <f>E67+H67</f>
        <v>5413955</v>
      </c>
      <c r="L67" s="7">
        <f>F67+I67</f>
        <v>5361389.57</v>
      </c>
      <c r="M67" s="361">
        <f t="shared" si="0"/>
        <v>0.99029075232431751</v>
      </c>
      <c r="N67" s="439"/>
      <c r="O67" s="439"/>
      <c r="P67" s="439"/>
      <c r="Q67" s="439"/>
    </row>
    <row r="68" spans="1:17" x14ac:dyDescent="0.25">
      <c r="A68" s="700"/>
      <c r="B68" s="701"/>
      <c r="C68" s="701"/>
      <c r="D68" s="353" t="s">
        <v>404</v>
      </c>
      <c r="E68" s="37">
        <v>5364445</v>
      </c>
      <c r="F68" s="37">
        <v>5311879.57</v>
      </c>
      <c r="G68" s="203">
        <f t="shared" si="1"/>
        <v>0.99020114289549066</v>
      </c>
      <c r="H68" s="7"/>
      <c r="I68" s="7"/>
      <c r="J68" s="202"/>
      <c r="K68" s="186">
        <f t="shared" ref="K68:K110" si="9">E68+H68</f>
        <v>5364445</v>
      </c>
      <c r="L68" s="186">
        <f t="shared" ref="L68:L146" si="10">F68+I68</f>
        <v>5311879.57</v>
      </c>
      <c r="M68" s="361">
        <f t="shared" si="0"/>
        <v>0.99020114289549066</v>
      </c>
      <c r="N68" s="439"/>
      <c r="O68" s="439"/>
      <c r="P68" s="439"/>
      <c r="Q68" s="439"/>
    </row>
    <row r="69" spans="1:17" x14ac:dyDescent="0.25">
      <c r="A69" s="700"/>
      <c r="B69" s="701"/>
      <c r="C69" s="701"/>
      <c r="D69" s="354" t="s">
        <v>405</v>
      </c>
      <c r="E69" s="37">
        <v>4781527</v>
      </c>
      <c r="F69" s="37">
        <v>4775163.1900000004</v>
      </c>
      <c r="G69" s="203">
        <f t="shared" si="1"/>
        <v>0.99866908416495404</v>
      </c>
      <c r="H69" s="7"/>
      <c r="I69" s="7"/>
      <c r="J69" s="202"/>
      <c r="K69" s="186">
        <f t="shared" si="9"/>
        <v>4781527</v>
      </c>
      <c r="L69" s="186">
        <f t="shared" si="10"/>
        <v>4775163.1900000004</v>
      </c>
      <c r="M69" s="361">
        <f t="shared" si="0"/>
        <v>0.99866908416495404</v>
      </c>
      <c r="N69" s="439"/>
      <c r="O69" s="439"/>
      <c r="P69" s="439"/>
      <c r="Q69" s="439"/>
    </row>
    <row r="70" spans="1:17" ht="31.5" x14ac:dyDescent="0.25">
      <c r="A70" s="700"/>
      <c r="B70" s="701"/>
      <c r="C70" s="701"/>
      <c r="D70" s="354" t="s">
        <v>406</v>
      </c>
      <c r="E70" s="37">
        <v>192076</v>
      </c>
      <c r="F70" s="37">
        <v>158614.32999999999</v>
      </c>
      <c r="G70" s="203">
        <f t="shared" si="1"/>
        <v>0.82578942710177217</v>
      </c>
      <c r="H70" s="7"/>
      <c r="I70" s="7"/>
      <c r="J70" s="202"/>
      <c r="K70" s="186">
        <f t="shared" si="9"/>
        <v>192076</v>
      </c>
      <c r="L70" s="186">
        <f t="shared" si="10"/>
        <v>158614.32999999999</v>
      </c>
      <c r="M70" s="361">
        <f t="shared" si="0"/>
        <v>0.82578942710177217</v>
      </c>
      <c r="N70" s="439"/>
      <c r="O70" s="439"/>
      <c r="P70" s="439"/>
      <c r="Q70" s="439"/>
    </row>
    <row r="71" spans="1:17" x14ac:dyDescent="0.25">
      <c r="A71" s="795"/>
      <c r="B71" s="796"/>
      <c r="C71" s="796"/>
      <c r="D71" s="353" t="s">
        <v>407</v>
      </c>
      <c r="E71" s="37"/>
      <c r="F71" s="37"/>
      <c r="G71" s="203"/>
      <c r="H71" s="7">
        <f>H72</f>
        <v>49510</v>
      </c>
      <c r="I71" s="7">
        <f>I72</f>
        <v>49510</v>
      </c>
      <c r="J71" s="202">
        <f t="shared" si="8"/>
        <v>1</v>
      </c>
      <c r="K71" s="186">
        <f t="shared" si="9"/>
        <v>49510</v>
      </c>
      <c r="L71" s="186">
        <f>F71+I71</f>
        <v>49510</v>
      </c>
      <c r="M71" s="361">
        <f t="shared" si="0"/>
        <v>1</v>
      </c>
      <c r="N71" s="439"/>
      <c r="O71" s="439"/>
      <c r="P71" s="439"/>
      <c r="Q71" s="439"/>
    </row>
    <row r="72" spans="1:17" x14ac:dyDescent="0.25">
      <c r="A72" s="795"/>
      <c r="B72" s="796"/>
      <c r="C72" s="796"/>
      <c r="D72" s="356" t="s">
        <v>408</v>
      </c>
      <c r="E72" s="37"/>
      <c r="F72" s="37"/>
      <c r="G72" s="203"/>
      <c r="H72" s="7">
        <v>49510</v>
      </c>
      <c r="I72" s="7">
        <v>49510</v>
      </c>
      <c r="J72" s="202">
        <f t="shared" si="8"/>
        <v>1</v>
      </c>
      <c r="K72" s="186">
        <f t="shared" si="9"/>
        <v>49510</v>
      </c>
      <c r="L72" s="186">
        <f t="shared" si="10"/>
        <v>49510</v>
      </c>
      <c r="M72" s="361">
        <f t="shared" si="0"/>
        <v>1</v>
      </c>
      <c r="N72" s="439"/>
      <c r="O72" s="439"/>
      <c r="P72" s="439"/>
      <c r="Q72" s="439"/>
    </row>
    <row r="73" spans="1:17" x14ac:dyDescent="0.25">
      <c r="A73" s="700" t="s">
        <v>43</v>
      </c>
      <c r="B73" s="701" t="s">
        <v>44</v>
      </c>
      <c r="C73" s="701" t="s">
        <v>45</v>
      </c>
      <c r="D73" s="24" t="s">
        <v>46</v>
      </c>
      <c r="E73" s="37">
        <f>E74</f>
        <v>87152947</v>
      </c>
      <c r="F73" s="37">
        <f>F74</f>
        <v>86004049.060000002</v>
      </c>
      <c r="G73" s="203">
        <f t="shared" si="1"/>
        <v>0.98681745162329393</v>
      </c>
      <c r="H73" s="7">
        <f>H74+H77</f>
        <v>2128492</v>
      </c>
      <c r="I73" s="819">
        <v>4907868.1600000001</v>
      </c>
      <c r="J73" s="203">
        <f t="shared" si="8"/>
        <v>2.3057959156059784</v>
      </c>
      <c r="K73" s="186">
        <f t="shared" si="9"/>
        <v>89281439</v>
      </c>
      <c r="L73" s="186">
        <f t="shared" si="10"/>
        <v>90911917.219999999</v>
      </c>
      <c r="M73" s="361">
        <f t="shared" si="0"/>
        <v>1.0182622305180364</v>
      </c>
      <c r="N73" s="439"/>
      <c r="O73" s="439"/>
      <c r="P73" s="439"/>
      <c r="Q73" s="439"/>
    </row>
    <row r="74" spans="1:17" x14ac:dyDescent="0.25">
      <c r="A74" s="700"/>
      <c r="B74" s="701"/>
      <c r="C74" s="701"/>
      <c r="D74" s="353" t="s">
        <v>404</v>
      </c>
      <c r="E74" s="37">
        <v>87152947</v>
      </c>
      <c r="F74" s="37">
        <v>86004049.060000002</v>
      </c>
      <c r="G74" s="203">
        <f t="shared" si="1"/>
        <v>0.98681745162329393</v>
      </c>
      <c r="H74" s="7">
        <v>1910484</v>
      </c>
      <c r="I74" s="7">
        <v>2463995.06</v>
      </c>
      <c r="J74" s="203">
        <f>I74/H74</f>
        <v>1.2897229497865463</v>
      </c>
      <c r="K74" s="186">
        <f t="shared" si="9"/>
        <v>89063431</v>
      </c>
      <c r="L74" s="186">
        <f t="shared" si="10"/>
        <v>88468044.120000005</v>
      </c>
      <c r="M74" s="361">
        <f t="shared" si="0"/>
        <v>0.99331502421010487</v>
      </c>
      <c r="N74" s="439"/>
      <c r="O74" s="439"/>
      <c r="P74" s="439"/>
      <c r="Q74" s="439"/>
    </row>
    <row r="75" spans="1:17" x14ac:dyDescent="0.25">
      <c r="A75" s="700"/>
      <c r="B75" s="701"/>
      <c r="C75" s="701"/>
      <c r="D75" s="354" t="s">
        <v>405</v>
      </c>
      <c r="E75" s="37">
        <v>64238681</v>
      </c>
      <c r="F75" s="37">
        <v>63568996.770000003</v>
      </c>
      <c r="G75" s="203">
        <f t="shared" si="1"/>
        <v>0.98957506257016703</v>
      </c>
      <c r="H75" s="7"/>
      <c r="I75" s="7"/>
      <c r="J75" s="203"/>
      <c r="K75" s="186">
        <f t="shared" si="9"/>
        <v>64238681</v>
      </c>
      <c r="L75" s="186">
        <f t="shared" si="10"/>
        <v>63568996.770000003</v>
      </c>
      <c r="M75" s="361">
        <f t="shared" si="0"/>
        <v>0.98957506257016703</v>
      </c>
      <c r="N75" s="439"/>
      <c r="O75" s="439"/>
      <c r="P75" s="439"/>
      <c r="Q75" s="439"/>
    </row>
    <row r="76" spans="1:17" ht="31.5" x14ac:dyDescent="0.25">
      <c r="A76" s="700"/>
      <c r="B76" s="701"/>
      <c r="C76" s="701"/>
      <c r="D76" s="354" t="s">
        <v>406</v>
      </c>
      <c r="E76" s="37">
        <v>10067773</v>
      </c>
      <c r="F76" s="37">
        <v>9691488.5299999993</v>
      </c>
      <c r="G76" s="203">
        <f t="shared" si="1"/>
        <v>0.96262485556637001</v>
      </c>
      <c r="H76" s="7"/>
      <c r="I76" s="7"/>
      <c r="J76" s="203"/>
      <c r="K76" s="186">
        <f t="shared" si="9"/>
        <v>10067773</v>
      </c>
      <c r="L76" s="186">
        <f t="shared" si="10"/>
        <v>9691488.5299999993</v>
      </c>
      <c r="M76" s="361">
        <f t="shared" si="0"/>
        <v>0.96262485556637001</v>
      </c>
      <c r="N76" s="439"/>
      <c r="O76" s="439"/>
      <c r="P76" s="439"/>
      <c r="Q76" s="439"/>
    </row>
    <row r="77" spans="1:17" x14ac:dyDescent="0.25">
      <c r="A77" s="700"/>
      <c r="B77" s="701"/>
      <c r="C77" s="701"/>
      <c r="D77" s="353" t="s">
        <v>407</v>
      </c>
      <c r="E77" s="37"/>
      <c r="F77" s="37"/>
      <c r="G77" s="203"/>
      <c r="H77" s="7">
        <v>218008</v>
      </c>
      <c r="I77" s="7">
        <v>2443873.1</v>
      </c>
      <c r="J77" s="203">
        <f>I77/H77</f>
        <v>11.210015687497707</v>
      </c>
      <c r="K77" s="186">
        <f t="shared" si="9"/>
        <v>218008</v>
      </c>
      <c r="L77" s="186">
        <f t="shared" si="10"/>
        <v>2443873.1</v>
      </c>
      <c r="M77" s="361">
        <v>0</v>
      </c>
      <c r="N77" s="439"/>
      <c r="O77" s="439"/>
      <c r="P77" s="439"/>
      <c r="Q77" s="439"/>
    </row>
    <row r="78" spans="1:17" s="163" customFormat="1" x14ac:dyDescent="0.25">
      <c r="A78" s="56"/>
      <c r="B78" s="57"/>
      <c r="C78" s="57"/>
      <c r="D78" s="356" t="s">
        <v>408</v>
      </c>
      <c r="E78" s="575"/>
      <c r="F78" s="575"/>
      <c r="G78" s="576"/>
      <c r="H78" s="577">
        <v>218008</v>
      </c>
      <c r="I78" s="577">
        <v>218008</v>
      </c>
      <c r="J78" s="203">
        <f>I78/H78</f>
        <v>1</v>
      </c>
      <c r="K78" s="578">
        <f>E78+H78</f>
        <v>218008</v>
      </c>
      <c r="L78" s="578">
        <f>F78+I78</f>
        <v>218008</v>
      </c>
      <c r="M78" s="361">
        <f t="shared" si="0"/>
        <v>1</v>
      </c>
      <c r="N78" s="579"/>
      <c r="O78" s="579"/>
      <c r="P78" s="579"/>
      <c r="Q78" s="579"/>
    </row>
    <row r="79" spans="1:17" ht="31.5" x14ac:dyDescent="0.25">
      <c r="A79" s="700" t="s">
        <v>47</v>
      </c>
      <c r="B79" s="701" t="s">
        <v>48</v>
      </c>
      <c r="C79" s="701" t="s">
        <v>49</v>
      </c>
      <c r="D79" s="24" t="s">
        <v>50</v>
      </c>
      <c r="E79" s="37">
        <f>E80</f>
        <v>72801153</v>
      </c>
      <c r="F79" s="37">
        <f>F80</f>
        <v>69187015.730000004</v>
      </c>
      <c r="G79" s="203">
        <f t="shared" si="1"/>
        <v>0.950356043536838</v>
      </c>
      <c r="H79" s="7">
        <f>H80+H83</f>
        <v>9658744</v>
      </c>
      <c r="I79" s="819">
        <v>6092341.2199999997</v>
      </c>
      <c r="J79" s="203">
        <f t="shared" si="8"/>
        <v>0.63075915667710003</v>
      </c>
      <c r="K79" s="186">
        <f t="shared" si="9"/>
        <v>82459897</v>
      </c>
      <c r="L79" s="186">
        <f t="shared" si="10"/>
        <v>75279356.950000003</v>
      </c>
      <c r="M79" s="361">
        <f t="shared" si="0"/>
        <v>0.91292082198453395</v>
      </c>
      <c r="N79" s="439"/>
      <c r="O79" s="439"/>
      <c r="P79" s="439"/>
      <c r="Q79" s="439"/>
    </row>
    <row r="80" spans="1:17" x14ac:dyDescent="0.25">
      <c r="A80" s="700"/>
      <c r="B80" s="701"/>
      <c r="C80" s="701"/>
      <c r="D80" s="353" t="s">
        <v>404</v>
      </c>
      <c r="E80" s="37">
        <v>72801153</v>
      </c>
      <c r="F80" s="37">
        <v>69187015.730000004</v>
      </c>
      <c r="G80" s="203">
        <f t="shared" si="1"/>
        <v>0.950356043536838</v>
      </c>
      <c r="H80" s="7">
        <v>8830751</v>
      </c>
      <c r="I80" s="819">
        <v>2536676.61</v>
      </c>
      <c r="J80" s="203">
        <f t="shared" si="8"/>
        <v>0.2872549129739928</v>
      </c>
      <c r="K80" s="186">
        <f t="shared" si="9"/>
        <v>81631904</v>
      </c>
      <c r="L80" s="186">
        <f t="shared" si="10"/>
        <v>71723692.340000004</v>
      </c>
      <c r="M80" s="361">
        <f t="shared" si="0"/>
        <v>0.87862329341234036</v>
      </c>
      <c r="N80" s="439"/>
      <c r="O80" s="439"/>
      <c r="P80" s="439"/>
      <c r="Q80" s="439"/>
    </row>
    <row r="81" spans="1:17" x14ac:dyDescent="0.25">
      <c r="A81" s="700"/>
      <c r="B81" s="701"/>
      <c r="C81" s="701"/>
      <c r="D81" s="354" t="s">
        <v>405</v>
      </c>
      <c r="E81" s="37">
        <v>42449203</v>
      </c>
      <c r="F81" s="37">
        <v>42069412.740000002</v>
      </c>
      <c r="G81" s="203">
        <f t="shared" si="1"/>
        <v>0.99105306500100843</v>
      </c>
      <c r="H81" s="7">
        <v>1981242</v>
      </c>
      <c r="I81" s="819">
        <v>1234643.46</v>
      </c>
      <c r="J81" s="203">
        <f t="shared" si="8"/>
        <v>0.62316640773817633</v>
      </c>
      <c r="K81" s="186">
        <f t="shared" si="9"/>
        <v>44430445</v>
      </c>
      <c r="L81" s="186">
        <f t="shared" si="10"/>
        <v>43304056.200000003</v>
      </c>
      <c r="M81" s="361">
        <f t="shared" si="0"/>
        <v>0.97464826652085079</v>
      </c>
      <c r="N81" s="439"/>
      <c r="O81" s="439"/>
      <c r="P81" s="439"/>
      <c r="Q81" s="439"/>
    </row>
    <row r="82" spans="1:17" ht="31.5" x14ac:dyDescent="0.25">
      <c r="A82" s="700"/>
      <c r="B82" s="701"/>
      <c r="C82" s="701"/>
      <c r="D82" s="354" t="s">
        <v>406</v>
      </c>
      <c r="E82" s="37">
        <v>17851895</v>
      </c>
      <c r="F82" s="37">
        <v>15004562.07</v>
      </c>
      <c r="G82" s="203">
        <f t="shared" si="1"/>
        <v>0.84050248278964224</v>
      </c>
      <c r="H82" s="7">
        <v>60976</v>
      </c>
      <c r="I82" s="7">
        <v>32527.59</v>
      </c>
      <c r="J82" s="203">
        <f t="shared" si="8"/>
        <v>0.53344906192600372</v>
      </c>
      <c r="K82" s="186">
        <f t="shared" si="9"/>
        <v>17912871</v>
      </c>
      <c r="L82" s="186">
        <f t="shared" si="10"/>
        <v>15037089.66</v>
      </c>
      <c r="M82" s="361">
        <f t="shared" si="0"/>
        <v>0.83945726288097533</v>
      </c>
      <c r="N82" s="439"/>
      <c r="O82" s="439"/>
      <c r="P82" s="439"/>
      <c r="Q82" s="439"/>
    </row>
    <row r="83" spans="1:17" x14ac:dyDescent="0.25">
      <c r="A83" s="700"/>
      <c r="B83" s="701"/>
      <c r="C83" s="701"/>
      <c r="D83" s="353" t="s">
        <v>407</v>
      </c>
      <c r="E83" s="37"/>
      <c r="F83" s="37"/>
      <c r="G83" s="203"/>
      <c r="H83" s="7">
        <v>827993</v>
      </c>
      <c r="I83" s="7">
        <v>1603097.1</v>
      </c>
      <c r="J83" s="203">
        <v>0</v>
      </c>
      <c r="K83" s="186">
        <f t="shared" si="9"/>
        <v>827993</v>
      </c>
      <c r="L83" s="186">
        <f t="shared" si="10"/>
        <v>1603097.1</v>
      </c>
      <c r="M83" s="361">
        <v>0</v>
      </c>
      <c r="N83" s="439"/>
      <c r="O83" s="439"/>
      <c r="P83" s="439"/>
      <c r="Q83" s="439"/>
    </row>
    <row r="84" spans="1:17" x14ac:dyDescent="0.25">
      <c r="A84" s="736"/>
      <c r="B84" s="737"/>
      <c r="C84" s="737"/>
      <c r="D84" s="354" t="s">
        <v>636</v>
      </c>
      <c r="E84" s="37"/>
      <c r="F84" s="37"/>
      <c r="G84" s="203"/>
      <c r="H84" s="7">
        <v>827993</v>
      </c>
      <c r="I84" s="7">
        <v>806629</v>
      </c>
      <c r="J84" s="203">
        <f t="shared" si="8"/>
        <v>0.97419784949872767</v>
      </c>
      <c r="K84" s="186">
        <f t="shared" si="9"/>
        <v>827993</v>
      </c>
      <c r="L84" s="186">
        <f t="shared" si="10"/>
        <v>806629</v>
      </c>
      <c r="M84" s="361">
        <f t="shared" si="0"/>
        <v>0.97419784949872767</v>
      </c>
      <c r="N84" s="439"/>
      <c r="O84" s="439"/>
      <c r="P84" s="439"/>
      <c r="Q84" s="439"/>
    </row>
    <row r="85" spans="1:17" ht="31.5" x14ac:dyDescent="0.25">
      <c r="A85" s="56" t="s">
        <v>157</v>
      </c>
      <c r="B85" s="57" t="s">
        <v>158</v>
      </c>
      <c r="C85" s="57" t="s">
        <v>49</v>
      </c>
      <c r="D85" s="30" t="s">
        <v>50</v>
      </c>
      <c r="E85" s="37">
        <f>E86</f>
        <v>77435200</v>
      </c>
      <c r="F85" s="37">
        <f>F86</f>
        <v>77413343.439999998</v>
      </c>
      <c r="G85" s="203">
        <f t="shared" si="1"/>
        <v>0.9997177438684216</v>
      </c>
      <c r="H85" s="7">
        <v>0</v>
      </c>
      <c r="I85" s="7">
        <v>0</v>
      </c>
      <c r="J85" s="203"/>
      <c r="K85" s="186">
        <f t="shared" si="9"/>
        <v>77435200</v>
      </c>
      <c r="L85" s="186">
        <f t="shared" si="10"/>
        <v>77413343.439999998</v>
      </c>
      <c r="M85" s="361">
        <f t="shared" si="0"/>
        <v>0.9997177438684216</v>
      </c>
      <c r="N85" s="439"/>
      <c r="O85" s="439"/>
      <c r="P85" s="439"/>
      <c r="Q85" s="439"/>
    </row>
    <row r="86" spans="1:17" x14ac:dyDescent="0.25">
      <c r="A86" s="56"/>
      <c r="B86" s="57"/>
      <c r="C86" s="57"/>
      <c r="D86" s="353" t="s">
        <v>404</v>
      </c>
      <c r="E86" s="37">
        <f>E87</f>
        <v>77435200</v>
      </c>
      <c r="F86" s="7">
        <v>77413343.439999998</v>
      </c>
      <c r="G86" s="203">
        <f t="shared" si="1"/>
        <v>0.9997177438684216</v>
      </c>
      <c r="H86" s="7">
        <v>0</v>
      </c>
      <c r="I86" s="7">
        <v>0</v>
      </c>
      <c r="J86" s="203"/>
      <c r="K86" s="186">
        <f t="shared" si="9"/>
        <v>77435200</v>
      </c>
      <c r="L86" s="186">
        <f t="shared" si="10"/>
        <v>77413343.439999998</v>
      </c>
      <c r="M86" s="361">
        <f t="shared" si="0"/>
        <v>0.9997177438684216</v>
      </c>
      <c r="N86" s="439"/>
      <c r="O86" s="439"/>
      <c r="P86" s="439"/>
      <c r="Q86" s="439"/>
    </row>
    <row r="87" spans="1:17" x14ac:dyDescent="0.25">
      <c r="A87" s="56"/>
      <c r="B87" s="57"/>
      <c r="C87" s="57"/>
      <c r="D87" s="354" t="s">
        <v>405</v>
      </c>
      <c r="E87" s="37">
        <v>77435200</v>
      </c>
      <c r="F87" s="7">
        <v>77413343.439999998</v>
      </c>
      <c r="G87" s="203">
        <f t="shared" si="1"/>
        <v>0.9997177438684216</v>
      </c>
      <c r="H87" s="7">
        <v>0</v>
      </c>
      <c r="I87" s="7">
        <v>0</v>
      </c>
      <c r="J87" s="203"/>
      <c r="K87" s="186">
        <f t="shared" si="9"/>
        <v>77435200</v>
      </c>
      <c r="L87" s="186">
        <f t="shared" si="10"/>
        <v>77413343.439999998</v>
      </c>
      <c r="M87" s="360">
        <f t="shared" si="0"/>
        <v>0.9997177438684216</v>
      </c>
      <c r="N87" s="439"/>
      <c r="O87" s="439"/>
      <c r="P87" s="439"/>
      <c r="Q87" s="439"/>
    </row>
    <row r="88" spans="1:17" ht="47.25" x14ac:dyDescent="0.25">
      <c r="A88" s="922" t="s">
        <v>51</v>
      </c>
      <c r="B88" s="924" t="s">
        <v>52</v>
      </c>
      <c r="C88" s="924" t="s">
        <v>53</v>
      </c>
      <c r="D88" s="24" t="s">
        <v>54</v>
      </c>
      <c r="E88" s="37">
        <f>E89</f>
        <v>6282432</v>
      </c>
      <c r="F88" s="37">
        <f>F89</f>
        <v>6162687.8799999999</v>
      </c>
      <c r="G88" s="203">
        <f t="shared" si="1"/>
        <v>0.98093984622515606</v>
      </c>
      <c r="H88" s="7">
        <f>H89+H92</f>
        <v>43899</v>
      </c>
      <c r="I88" s="7">
        <f>I89+I92</f>
        <v>56845</v>
      </c>
      <c r="J88" s="203">
        <v>0</v>
      </c>
      <c r="K88" s="186">
        <f>E88+H88</f>
        <v>6326331</v>
      </c>
      <c r="L88" s="186">
        <f>F88+I88</f>
        <v>6219532.8799999999</v>
      </c>
      <c r="M88" s="360">
        <f t="shared" si="0"/>
        <v>0.9831184741993424</v>
      </c>
      <c r="N88" s="439"/>
      <c r="O88" s="439"/>
      <c r="P88" s="439"/>
      <c r="Q88" s="439"/>
    </row>
    <row r="89" spans="1:17" x14ac:dyDescent="0.25">
      <c r="A89" s="700"/>
      <c r="B89" s="701"/>
      <c r="C89" s="701"/>
      <c r="D89" s="353" t="s">
        <v>404</v>
      </c>
      <c r="E89" s="37">
        <v>6282432</v>
      </c>
      <c r="F89" s="37">
        <v>6162687.8799999999</v>
      </c>
      <c r="G89" s="203">
        <f t="shared" si="1"/>
        <v>0.98093984622515606</v>
      </c>
      <c r="H89" s="7">
        <v>0</v>
      </c>
      <c r="I89" s="7">
        <v>12946</v>
      </c>
      <c r="J89" s="203">
        <v>0</v>
      </c>
      <c r="K89" s="186">
        <f t="shared" si="9"/>
        <v>6282432</v>
      </c>
      <c r="L89" s="186">
        <f t="shared" si="10"/>
        <v>6175633.8799999999</v>
      </c>
      <c r="M89" s="361">
        <f t="shared" si="0"/>
        <v>0.98300051317706261</v>
      </c>
      <c r="N89" s="439"/>
      <c r="O89" s="439"/>
      <c r="P89" s="439"/>
      <c r="Q89" s="439"/>
    </row>
    <row r="90" spans="1:17" x14ac:dyDescent="0.25">
      <c r="A90" s="700"/>
      <c r="B90" s="701"/>
      <c r="C90" s="701"/>
      <c r="D90" s="354" t="s">
        <v>405</v>
      </c>
      <c r="E90" s="37">
        <v>5228377</v>
      </c>
      <c r="F90" s="37">
        <v>5217281.63</v>
      </c>
      <c r="G90" s="203">
        <f t="shared" si="1"/>
        <v>0.99787785578583943</v>
      </c>
      <c r="H90" s="7">
        <v>0</v>
      </c>
      <c r="I90" s="7">
        <v>0</v>
      </c>
      <c r="J90" s="203"/>
      <c r="K90" s="186">
        <f t="shared" si="9"/>
        <v>5228377</v>
      </c>
      <c r="L90" s="186">
        <f t="shared" si="10"/>
        <v>5217281.63</v>
      </c>
      <c r="M90" s="361">
        <f t="shared" si="0"/>
        <v>0.99787785578583943</v>
      </c>
      <c r="N90" s="439"/>
      <c r="O90" s="439"/>
      <c r="P90" s="439"/>
      <c r="Q90" s="439"/>
    </row>
    <row r="91" spans="1:17" ht="31.5" x14ac:dyDescent="0.25">
      <c r="A91" s="700"/>
      <c r="B91" s="701"/>
      <c r="C91" s="701"/>
      <c r="D91" s="354" t="s">
        <v>406</v>
      </c>
      <c r="E91" s="37">
        <v>437266</v>
      </c>
      <c r="F91" s="37">
        <v>368685.89</v>
      </c>
      <c r="G91" s="203">
        <f t="shared" si="1"/>
        <v>0.84316157670616976</v>
      </c>
      <c r="H91" s="7">
        <v>0</v>
      </c>
      <c r="I91" s="7">
        <v>0</v>
      </c>
      <c r="J91" s="203"/>
      <c r="K91" s="186">
        <f t="shared" si="9"/>
        <v>437266</v>
      </c>
      <c r="L91" s="186">
        <f t="shared" si="10"/>
        <v>368685.89</v>
      </c>
      <c r="M91" s="361">
        <f t="shared" si="0"/>
        <v>0.84316157670616976</v>
      </c>
      <c r="N91" s="439"/>
      <c r="O91" s="439"/>
      <c r="P91" s="439"/>
      <c r="Q91" s="439"/>
    </row>
    <row r="92" spans="1:17" x14ac:dyDescent="0.25">
      <c r="A92" s="795"/>
      <c r="B92" s="796"/>
      <c r="C92" s="796"/>
      <c r="D92" s="353" t="s">
        <v>407</v>
      </c>
      <c r="E92" s="37"/>
      <c r="F92" s="37"/>
      <c r="G92" s="203"/>
      <c r="H92" s="7">
        <v>43899</v>
      </c>
      <c r="I92" s="7">
        <v>43899</v>
      </c>
      <c r="J92" s="203">
        <v>0</v>
      </c>
      <c r="K92" s="186">
        <f t="shared" si="9"/>
        <v>43899</v>
      </c>
      <c r="L92" s="186">
        <f t="shared" si="10"/>
        <v>43899</v>
      </c>
      <c r="M92" s="361">
        <f t="shared" si="0"/>
        <v>1</v>
      </c>
      <c r="N92" s="439"/>
      <c r="O92" s="439"/>
      <c r="P92" s="439"/>
      <c r="Q92" s="439"/>
    </row>
    <row r="93" spans="1:17" x14ac:dyDescent="0.25">
      <c r="A93" s="795"/>
      <c r="B93" s="796"/>
      <c r="C93" s="796"/>
      <c r="D93" s="356" t="s">
        <v>408</v>
      </c>
      <c r="E93" s="37"/>
      <c r="F93" s="37"/>
      <c r="G93" s="203"/>
      <c r="H93" s="7">
        <v>43899</v>
      </c>
      <c r="I93" s="7">
        <v>43899</v>
      </c>
      <c r="J93" s="203">
        <v>0</v>
      </c>
      <c r="K93" s="186">
        <f t="shared" si="9"/>
        <v>43899</v>
      </c>
      <c r="L93" s="186">
        <f t="shared" si="10"/>
        <v>43899</v>
      </c>
      <c r="M93" s="361">
        <f t="shared" si="0"/>
        <v>1</v>
      </c>
      <c r="N93" s="439"/>
      <c r="O93" s="439"/>
      <c r="P93" s="439"/>
      <c r="Q93" s="439"/>
    </row>
    <row r="94" spans="1:17" ht="31.5" x14ac:dyDescent="0.25">
      <c r="A94" s="700" t="s">
        <v>159</v>
      </c>
      <c r="B94" s="701" t="s">
        <v>160</v>
      </c>
      <c r="C94" s="701" t="s">
        <v>55</v>
      </c>
      <c r="D94" s="24" t="s">
        <v>161</v>
      </c>
      <c r="E94" s="37">
        <f>E95</f>
        <v>5280944</v>
      </c>
      <c r="F94" s="37">
        <f>F95</f>
        <v>5185582.75</v>
      </c>
      <c r="G94" s="203">
        <f t="shared" si="1"/>
        <v>0.98194238567953007</v>
      </c>
      <c r="H94" s="7">
        <v>0</v>
      </c>
      <c r="I94" s="7">
        <v>0</v>
      </c>
      <c r="J94" s="203"/>
      <c r="K94" s="186">
        <f t="shared" si="9"/>
        <v>5280944</v>
      </c>
      <c r="L94" s="186">
        <f t="shared" si="10"/>
        <v>5185582.75</v>
      </c>
      <c r="M94" s="361">
        <f t="shared" si="0"/>
        <v>0.98194238567953007</v>
      </c>
      <c r="N94" s="439"/>
      <c r="O94" s="439"/>
      <c r="P94" s="439"/>
      <c r="Q94" s="439"/>
    </row>
    <row r="95" spans="1:17" x14ac:dyDescent="0.25">
      <c r="A95" s="700"/>
      <c r="B95" s="701"/>
      <c r="C95" s="701"/>
      <c r="D95" s="353" t="s">
        <v>404</v>
      </c>
      <c r="E95" s="37">
        <v>5280944</v>
      </c>
      <c r="F95" s="37">
        <v>5185582.75</v>
      </c>
      <c r="G95" s="203">
        <f t="shared" si="1"/>
        <v>0.98194238567953007</v>
      </c>
      <c r="H95" s="7"/>
      <c r="I95" s="7">
        <v>0</v>
      </c>
      <c r="J95" s="203"/>
      <c r="K95" s="186">
        <f t="shared" si="9"/>
        <v>5280944</v>
      </c>
      <c r="L95" s="186">
        <f t="shared" si="10"/>
        <v>5185582.75</v>
      </c>
      <c r="M95" s="361">
        <f t="shared" si="0"/>
        <v>0.98194238567953007</v>
      </c>
      <c r="N95" s="439"/>
      <c r="O95" s="439"/>
      <c r="P95" s="439"/>
      <c r="Q95" s="439"/>
    </row>
    <row r="96" spans="1:17" x14ac:dyDescent="0.25">
      <c r="A96" s="700"/>
      <c r="B96" s="701"/>
      <c r="C96" s="701"/>
      <c r="D96" s="354" t="s">
        <v>405</v>
      </c>
      <c r="E96" s="37">
        <v>4882737</v>
      </c>
      <c r="F96" s="37">
        <v>4836327.1100000003</v>
      </c>
      <c r="G96" s="203">
        <f t="shared" si="1"/>
        <v>0.99049510755955117</v>
      </c>
      <c r="H96" s="7"/>
      <c r="I96" s="7">
        <v>0</v>
      </c>
      <c r="J96" s="203"/>
      <c r="K96" s="186">
        <f t="shared" si="9"/>
        <v>4882737</v>
      </c>
      <c r="L96" s="186">
        <f t="shared" si="10"/>
        <v>4836327.1100000003</v>
      </c>
      <c r="M96" s="361">
        <f t="shared" si="0"/>
        <v>0.99049510755955117</v>
      </c>
      <c r="N96" s="439"/>
      <c r="O96" s="439"/>
      <c r="P96" s="439"/>
      <c r="Q96" s="439"/>
    </row>
    <row r="97" spans="1:17" ht="31.5" x14ac:dyDescent="0.25">
      <c r="A97" s="700"/>
      <c r="B97" s="701"/>
      <c r="C97" s="701"/>
      <c r="D97" s="354" t="s">
        <v>406</v>
      </c>
      <c r="E97" s="37">
        <v>190947</v>
      </c>
      <c r="F97" s="37">
        <v>164870.92000000001</v>
      </c>
      <c r="G97" s="203">
        <f t="shared" si="1"/>
        <v>0.86343812681005727</v>
      </c>
      <c r="H97" s="7"/>
      <c r="I97" s="7">
        <v>0</v>
      </c>
      <c r="J97" s="203"/>
      <c r="K97" s="186">
        <f t="shared" si="9"/>
        <v>190947</v>
      </c>
      <c r="L97" s="186">
        <f t="shared" si="10"/>
        <v>164870.92000000001</v>
      </c>
      <c r="M97" s="361">
        <f t="shared" si="0"/>
        <v>0.86343812681005727</v>
      </c>
      <c r="N97" s="439"/>
      <c r="O97" s="439"/>
      <c r="P97" s="439"/>
      <c r="Q97" s="439"/>
    </row>
    <row r="98" spans="1:17" x14ac:dyDescent="0.25">
      <c r="A98" s="700" t="s">
        <v>56</v>
      </c>
      <c r="B98" s="701" t="s">
        <v>57</v>
      </c>
      <c r="C98" s="701" t="s">
        <v>55</v>
      </c>
      <c r="D98" s="24" t="s">
        <v>58</v>
      </c>
      <c r="E98" s="37">
        <f>E99</f>
        <v>99030</v>
      </c>
      <c r="F98" s="37">
        <f>F99</f>
        <v>99030</v>
      </c>
      <c r="G98" s="203">
        <f t="shared" si="1"/>
        <v>1</v>
      </c>
      <c r="H98" s="7">
        <v>0</v>
      </c>
      <c r="I98" s="7"/>
      <c r="J98" s="203"/>
      <c r="K98" s="186">
        <f t="shared" si="9"/>
        <v>99030</v>
      </c>
      <c r="L98" s="186">
        <f t="shared" si="10"/>
        <v>99030</v>
      </c>
      <c r="M98" s="361">
        <f t="shared" si="0"/>
        <v>1</v>
      </c>
      <c r="N98" s="439"/>
      <c r="O98" s="439"/>
      <c r="P98" s="439"/>
      <c r="Q98" s="439"/>
    </row>
    <row r="99" spans="1:17" x14ac:dyDescent="0.25">
      <c r="A99" s="700"/>
      <c r="B99" s="701"/>
      <c r="C99" s="701"/>
      <c r="D99" s="353" t="s">
        <v>404</v>
      </c>
      <c r="E99" s="37">
        <v>99030</v>
      </c>
      <c r="F99" s="37">
        <v>99030</v>
      </c>
      <c r="G99" s="203">
        <f t="shared" si="1"/>
        <v>1</v>
      </c>
      <c r="H99" s="7"/>
      <c r="I99" s="7"/>
      <c r="J99" s="203"/>
      <c r="K99" s="186">
        <f t="shared" si="9"/>
        <v>99030</v>
      </c>
      <c r="L99" s="186">
        <f t="shared" si="10"/>
        <v>99030</v>
      </c>
      <c r="M99" s="361">
        <f t="shared" si="0"/>
        <v>1</v>
      </c>
      <c r="N99" s="439"/>
      <c r="O99" s="439"/>
      <c r="P99" s="439"/>
      <c r="Q99" s="439"/>
    </row>
    <row r="100" spans="1:17" ht="47.25" x14ac:dyDescent="0.25">
      <c r="A100" s="700" t="s">
        <v>59</v>
      </c>
      <c r="B100" s="701" t="s">
        <v>60</v>
      </c>
      <c r="C100" s="701" t="s">
        <v>55</v>
      </c>
      <c r="D100" s="24" t="s">
        <v>61</v>
      </c>
      <c r="E100" s="37">
        <f>E101</f>
        <v>1384387</v>
      </c>
      <c r="F100" s="37">
        <f>F101</f>
        <v>1328491.01</v>
      </c>
      <c r="G100" s="203">
        <f t="shared" si="1"/>
        <v>0.95962401409432474</v>
      </c>
      <c r="H100" s="7">
        <f>H101+H104</f>
        <v>0</v>
      </c>
      <c r="I100" s="819">
        <f>I101+I104</f>
        <v>543074.29</v>
      </c>
      <c r="J100" s="203">
        <v>0</v>
      </c>
      <c r="K100" s="186">
        <f t="shared" si="9"/>
        <v>1384387</v>
      </c>
      <c r="L100" s="186">
        <f t="shared" si="10"/>
        <v>1871565.3</v>
      </c>
      <c r="M100" s="361">
        <f t="shared" si="0"/>
        <v>1.3519090398855234</v>
      </c>
      <c r="N100" s="439"/>
      <c r="O100" s="439"/>
      <c r="P100" s="439"/>
      <c r="Q100" s="439"/>
    </row>
    <row r="101" spans="1:17" x14ac:dyDescent="0.25">
      <c r="A101" s="700"/>
      <c r="B101" s="701"/>
      <c r="C101" s="701"/>
      <c r="D101" s="353" t="s">
        <v>404</v>
      </c>
      <c r="E101" s="37">
        <v>1384387</v>
      </c>
      <c r="F101" s="37">
        <v>1328491.01</v>
      </c>
      <c r="G101" s="203">
        <f t="shared" si="1"/>
        <v>0.95962401409432474</v>
      </c>
      <c r="H101" s="7">
        <v>0</v>
      </c>
      <c r="I101" s="7">
        <v>186179.29</v>
      </c>
      <c r="J101" s="203">
        <v>0</v>
      </c>
      <c r="K101" s="186">
        <f>E101+H101</f>
        <v>1384387</v>
      </c>
      <c r="L101" s="186">
        <f>F101+I101</f>
        <v>1514670.3</v>
      </c>
      <c r="M101" s="361">
        <f t="shared" si="0"/>
        <v>1.0941090172040044</v>
      </c>
      <c r="N101" s="439"/>
      <c r="O101" s="439"/>
      <c r="P101" s="439"/>
      <c r="Q101" s="439"/>
    </row>
    <row r="102" spans="1:17" x14ac:dyDescent="0.25">
      <c r="A102" s="700"/>
      <c r="B102" s="701"/>
      <c r="C102" s="701"/>
      <c r="D102" s="354" t="s">
        <v>405</v>
      </c>
      <c r="E102" s="37">
        <v>890529</v>
      </c>
      <c r="F102" s="37">
        <v>866920.41</v>
      </c>
      <c r="G102" s="203">
        <f t="shared" si="1"/>
        <v>0.97348925189409896</v>
      </c>
      <c r="H102" s="7"/>
      <c r="I102" s="7"/>
      <c r="J102" s="203"/>
      <c r="K102" s="186">
        <f t="shared" si="9"/>
        <v>890529</v>
      </c>
      <c r="L102" s="186">
        <f t="shared" si="10"/>
        <v>866920.41</v>
      </c>
      <c r="M102" s="361">
        <f t="shared" si="0"/>
        <v>0.97348925189409896</v>
      </c>
      <c r="N102" s="439"/>
      <c r="O102" s="439"/>
      <c r="P102" s="439"/>
      <c r="Q102" s="439"/>
    </row>
    <row r="103" spans="1:17" ht="31.5" x14ac:dyDescent="0.25">
      <c r="A103" s="700"/>
      <c r="B103" s="701"/>
      <c r="C103" s="701"/>
      <c r="D103" s="354" t="s">
        <v>406</v>
      </c>
      <c r="E103" s="37">
        <v>308521</v>
      </c>
      <c r="F103" s="37">
        <v>279074.96000000002</v>
      </c>
      <c r="G103" s="203">
        <f t="shared" si="1"/>
        <v>0.90455742072662804</v>
      </c>
      <c r="H103" s="7"/>
      <c r="I103" s="7"/>
      <c r="J103" s="203"/>
      <c r="K103" s="186">
        <f t="shared" si="9"/>
        <v>308521</v>
      </c>
      <c r="L103" s="186">
        <f t="shared" si="10"/>
        <v>279074.96000000002</v>
      </c>
      <c r="M103" s="361">
        <f t="shared" si="0"/>
        <v>0.90455742072662804</v>
      </c>
      <c r="N103" s="439"/>
      <c r="O103" s="439"/>
      <c r="P103" s="439"/>
      <c r="Q103" s="439"/>
    </row>
    <row r="104" spans="1:17" x14ac:dyDescent="0.25">
      <c r="A104" s="700"/>
      <c r="B104" s="701"/>
      <c r="C104" s="701"/>
      <c r="D104" s="353" t="s">
        <v>407</v>
      </c>
      <c r="E104" s="37"/>
      <c r="F104" s="37"/>
      <c r="G104" s="203"/>
      <c r="H104" s="7">
        <v>0</v>
      </c>
      <c r="I104" s="7">
        <v>356895</v>
      </c>
      <c r="J104" s="203">
        <v>0</v>
      </c>
      <c r="K104" s="186">
        <f t="shared" si="9"/>
        <v>0</v>
      </c>
      <c r="L104" s="186">
        <f t="shared" si="10"/>
        <v>356895</v>
      </c>
      <c r="M104" s="361">
        <v>0</v>
      </c>
      <c r="N104" s="439"/>
      <c r="O104" s="439"/>
      <c r="P104" s="439"/>
      <c r="Q104" s="439"/>
    </row>
    <row r="105" spans="1:17" ht="47.25" x14ac:dyDescent="0.25">
      <c r="A105" s="700" t="s">
        <v>222</v>
      </c>
      <c r="B105" s="701" t="s">
        <v>223</v>
      </c>
      <c r="C105" s="701" t="s">
        <v>55</v>
      </c>
      <c r="D105" s="24" t="s">
        <v>224</v>
      </c>
      <c r="E105" s="37">
        <f>E106</f>
        <v>1773410</v>
      </c>
      <c r="F105" s="37">
        <f>F106</f>
        <v>1745439.24</v>
      </c>
      <c r="G105" s="203">
        <f t="shared" si="1"/>
        <v>0.98422769692287737</v>
      </c>
      <c r="H105" s="7"/>
      <c r="I105" s="7"/>
      <c r="J105" s="203"/>
      <c r="K105" s="186">
        <f t="shared" si="9"/>
        <v>1773410</v>
      </c>
      <c r="L105" s="186">
        <f t="shared" si="10"/>
        <v>1745439.24</v>
      </c>
      <c r="M105" s="361">
        <f t="shared" ref="M105:M212" si="11">L105/K105</f>
        <v>0.98422769692287737</v>
      </c>
      <c r="N105" s="439"/>
      <c r="O105" s="439"/>
      <c r="P105" s="439"/>
      <c r="Q105" s="439"/>
    </row>
    <row r="106" spans="1:17" x14ac:dyDescent="0.25">
      <c r="A106" s="35"/>
      <c r="B106" s="36"/>
      <c r="C106" s="36"/>
      <c r="D106" s="353" t="s">
        <v>404</v>
      </c>
      <c r="E106" s="38">
        <v>1773410</v>
      </c>
      <c r="F106" s="38">
        <v>1745439.24</v>
      </c>
      <c r="G106" s="203">
        <f t="shared" si="1"/>
        <v>0.98422769692287737</v>
      </c>
      <c r="H106" s="12"/>
      <c r="I106" s="12"/>
      <c r="J106" s="203"/>
      <c r="K106" s="186">
        <f t="shared" si="9"/>
        <v>1773410</v>
      </c>
      <c r="L106" s="186">
        <f t="shared" si="10"/>
        <v>1745439.24</v>
      </c>
      <c r="M106" s="361">
        <f t="shared" si="11"/>
        <v>0.98422769692287737</v>
      </c>
      <c r="N106" s="439"/>
      <c r="O106" s="439"/>
      <c r="P106" s="439"/>
      <c r="Q106" s="439"/>
    </row>
    <row r="107" spans="1:17" x14ac:dyDescent="0.25">
      <c r="A107" s="35"/>
      <c r="B107" s="36"/>
      <c r="C107" s="36"/>
      <c r="D107" s="354" t="s">
        <v>405</v>
      </c>
      <c r="E107" s="38">
        <v>1773410</v>
      </c>
      <c r="F107" s="38">
        <v>1745439.24</v>
      </c>
      <c r="G107" s="203">
        <f t="shared" si="1"/>
        <v>0.98422769692287737</v>
      </c>
      <c r="H107" s="12"/>
      <c r="I107" s="12"/>
      <c r="J107" s="203"/>
      <c r="K107" s="186">
        <f t="shared" si="9"/>
        <v>1773410</v>
      </c>
      <c r="L107" s="186">
        <f t="shared" si="10"/>
        <v>1745439.24</v>
      </c>
      <c r="M107" s="361">
        <f t="shared" si="11"/>
        <v>0.98422769692287737</v>
      </c>
      <c r="N107" s="439"/>
      <c r="O107" s="439"/>
      <c r="P107" s="439"/>
      <c r="Q107" s="439"/>
    </row>
    <row r="108" spans="1:17" ht="47.25" x14ac:dyDescent="0.25">
      <c r="A108" s="35" t="s">
        <v>62</v>
      </c>
      <c r="B108" s="36" t="s">
        <v>63</v>
      </c>
      <c r="C108" s="36" t="s">
        <v>55</v>
      </c>
      <c r="D108" s="31" t="s">
        <v>64</v>
      </c>
      <c r="E108" s="38">
        <f>E109</f>
        <v>1673966</v>
      </c>
      <c r="F108" s="38">
        <f>F109</f>
        <v>1640033.96</v>
      </c>
      <c r="G108" s="204">
        <f t="shared" si="1"/>
        <v>0.97972955245208082</v>
      </c>
      <c r="H108" s="12">
        <v>0</v>
      </c>
      <c r="I108" s="12">
        <f>I109+I112</f>
        <v>162520</v>
      </c>
      <c r="J108" s="203"/>
      <c r="K108" s="186">
        <f t="shared" si="9"/>
        <v>1673966</v>
      </c>
      <c r="L108" s="186">
        <f t="shared" si="10"/>
        <v>1802553.96</v>
      </c>
      <c r="M108" s="361">
        <f t="shared" si="11"/>
        <v>1.0768163511086843</v>
      </c>
      <c r="N108" s="439"/>
      <c r="O108" s="439"/>
      <c r="P108" s="439"/>
      <c r="Q108" s="439"/>
    </row>
    <row r="109" spans="1:17" x14ac:dyDescent="0.25">
      <c r="A109" s="700"/>
      <c r="B109" s="701"/>
      <c r="C109" s="701"/>
      <c r="D109" s="353" t="s">
        <v>404</v>
      </c>
      <c r="E109" s="37">
        <v>1673966</v>
      </c>
      <c r="F109" s="37">
        <v>1640033.96</v>
      </c>
      <c r="G109" s="203">
        <f t="shared" si="1"/>
        <v>0.97972955245208082</v>
      </c>
      <c r="H109" s="7"/>
      <c r="I109" s="7">
        <v>21950</v>
      </c>
      <c r="J109" s="203"/>
      <c r="K109" s="186">
        <f t="shared" si="9"/>
        <v>1673966</v>
      </c>
      <c r="L109" s="186">
        <f t="shared" si="10"/>
        <v>1661983.96</v>
      </c>
      <c r="M109" s="361">
        <f>L109/K109</f>
        <v>0.99284212463096622</v>
      </c>
      <c r="N109" s="439"/>
      <c r="O109" s="439"/>
      <c r="P109" s="439"/>
      <c r="Q109" s="439"/>
    </row>
    <row r="110" spans="1:17" x14ac:dyDescent="0.25">
      <c r="A110" s="700"/>
      <c r="B110" s="701"/>
      <c r="C110" s="701"/>
      <c r="D110" s="354" t="s">
        <v>405</v>
      </c>
      <c r="E110" s="37">
        <v>1507507</v>
      </c>
      <c r="F110" s="37">
        <v>1495344.44</v>
      </c>
      <c r="G110" s="203">
        <f t="shared" si="1"/>
        <v>0.99193200429583406</v>
      </c>
      <c r="H110" s="7"/>
      <c r="I110" s="7"/>
      <c r="J110" s="203"/>
      <c r="K110" s="186">
        <f t="shared" si="9"/>
        <v>1507507</v>
      </c>
      <c r="L110" s="186">
        <f t="shared" si="10"/>
        <v>1495344.44</v>
      </c>
      <c r="M110" s="361">
        <f t="shared" si="11"/>
        <v>0.99193200429583406</v>
      </c>
      <c r="N110" s="439"/>
      <c r="O110" s="439"/>
      <c r="P110" s="439"/>
      <c r="Q110" s="439"/>
    </row>
    <row r="111" spans="1:17" ht="31.5" x14ac:dyDescent="0.25">
      <c r="A111" s="771"/>
      <c r="B111" s="772"/>
      <c r="C111" s="772"/>
      <c r="D111" s="354" t="s">
        <v>406</v>
      </c>
      <c r="E111" s="37">
        <v>43244</v>
      </c>
      <c r="F111" s="37">
        <v>30316.240000000002</v>
      </c>
      <c r="G111" s="203">
        <f t="shared" si="1"/>
        <v>0.70105078161132184</v>
      </c>
      <c r="H111" s="7"/>
      <c r="I111" s="7"/>
      <c r="J111" s="203"/>
      <c r="K111" s="7">
        <f>E111+H111</f>
        <v>43244</v>
      </c>
      <c r="L111" s="7">
        <f t="shared" si="10"/>
        <v>30316.240000000002</v>
      </c>
      <c r="M111" s="360">
        <f>L111/K111</f>
        <v>0.70105078161132184</v>
      </c>
      <c r="N111" s="439"/>
      <c r="O111" s="439"/>
      <c r="P111" s="439"/>
      <c r="Q111" s="439"/>
    </row>
    <row r="112" spans="1:17" x14ac:dyDescent="0.25">
      <c r="A112" s="795"/>
      <c r="B112" s="796"/>
      <c r="C112" s="796"/>
      <c r="D112" s="353" t="s">
        <v>407</v>
      </c>
      <c r="E112" s="37"/>
      <c r="F112" s="37"/>
      <c r="G112" s="203"/>
      <c r="H112" s="7"/>
      <c r="I112" s="7">
        <v>140570</v>
      </c>
      <c r="J112" s="203"/>
      <c r="K112" s="7">
        <f>E112+H112</f>
        <v>0</v>
      </c>
      <c r="L112" s="7">
        <f t="shared" si="10"/>
        <v>140570</v>
      </c>
      <c r="M112" s="360" t="e">
        <f t="shared" si="11"/>
        <v>#DIV/0!</v>
      </c>
      <c r="N112" s="439"/>
      <c r="O112" s="439"/>
      <c r="P112" s="439"/>
      <c r="Q112" s="439"/>
    </row>
    <row r="113" spans="1:17" ht="128.25" customHeight="1" x14ac:dyDescent="0.25">
      <c r="A113" s="50" t="s">
        <v>461</v>
      </c>
      <c r="B113" s="49">
        <v>1183</v>
      </c>
      <c r="C113" s="49" t="s">
        <v>55</v>
      </c>
      <c r="D113" s="354" t="s">
        <v>531</v>
      </c>
      <c r="E113" s="37"/>
      <c r="F113" s="37"/>
      <c r="G113" s="203"/>
      <c r="H113" s="7">
        <f>H114</f>
        <v>579643</v>
      </c>
      <c r="I113" s="7">
        <f>I114</f>
        <v>507656.4</v>
      </c>
      <c r="J113" s="203">
        <v>0</v>
      </c>
      <c r="K113" s="7">
        <f t="shared" ref="K113:K118" si="12">E113+H113</f>
        <v>579643</v>
      </c>
      <c r="L113" s="7">
        <f t="shared" si="10"/>
        <v>507656.4</v>
      </c>
      <c r="M113" s="360">
        <f t="shared" si="11"/>
        <v>0.87580873054621555</v>
      </c>
      <c r="N113" s="439"/>
      <c r="O113" s="439"/>
      <c r="P113" s="439"/>
      <c r="Q113" s="439"/>
    </row>
    <row r="114" spans="1:17" x14ac:dyDescent="0.25">
      <c r="A114" s="50"/>
      <c r="B114" s="49"/>
      <c r="C114" s="49"/>
      <c r="D114" s="353" t="s">
        <v>407</v>
      </c>
      <c r="E114" s="37"/>
      <c r="F114" s="37"/>
      <c r="G114" s="203"/>
      <c r="H114" s="7">
        <f>H115</f>
        <v>579643</v>
      </c>
      <c r="I114" s="7">
        <f>I115</f>
        <v>507656.4</v>
      </c>
      <c r="J114" s="203">
        <v>0</v>
      </c>
      <c r="K114" s="7">
        <f t="shared" si="12"/>
        <v>579643</v>
      </c>
      <c r="L114" s="7">
        <f t="shared" si="10"/>
        <v>507656.4</v>
      </c>
      <c r="M114" s="360">
        <f t="shared" si="11"/>
        <v>0.87580873054621555</v>
      </c>
      <c r="N114" s="439"/>
      <c r="O114" s="439"/>
      <c r="P114" s="439"/>
      <c r="Q114" s="439"/>
    </row>
    <row r="115" spans="1:17" x14ac:dyDescent="0.25">
      <c r="A115" s="50"/>
      <c r="B115" s="49"/>
      <c r="C115" s="49"/>
      <c r="D115" s="354" t="s">
        <v>408</v>
      </c>
      <c r="E115" s="37"/>
      <c r="F115" s="37"/>
      <c r="G115" s="203"/>
      <c r="H115" s="7">
        <v>579643</v>
      </c>
      <c r="I115" s="7">
        <v>507656.4</v>
      </c>
      <c r="J115" s="203">
        <v>0</v>
      </c>
      <c r="K115" s="7">
        <f t="shared" si="12"/>
        <v>579643</v>
      </c>
      <c r="L115" s="7">
        <f t="shared" si="10"/>
        <v>507656.4</v>
      </c>
      <c r="M115" s="360">
        <f t="shared" si="11"/>
        <v>0.87580873054621555</v>
      </c>
      <c r="N115" s="439"/>
      <c r="O115" s="439"/>
      <c r="P115" s="439"/>
      <c r="Q115" s="439"/>
    </row>
    <row r="116" spans="1:17" ht="117" customHeight="1" x14ac:dyDescent="0.25">
      <c r="A116" s="50" t="s">
        <v>464</v>
      </c>
      <c r="B116" s="49" t="s">
        <v>465</v>
      </c>
      <c r="C116" s="49" t="s">
        <v>55</v>
      </c>
      <c r="D116" s="354" t="s">
        <v>532</v>
      </c>
      <c r="E116" s="37"/>
      <c r="F116" s="37"/>
      <c r="G116" s="203"/>
      <c r="H116" s="7">
        <f>H117</f>
        <v>1352500</v>
      </c>
      <c r="I116" s="7">
        <f>I117</f>
        <v>1184531.6000000001</v>
      </c>
      <c r="J116" s="203">
        <v>0</v>
      </c>
      <c r="K116" s="7">
        <f t="shared" si="12"/>
        <v>1352500</v>
      </c>
      <c r="L116" s="7">
        <f t="shared" si="10"/>
        <v>1184531.6000000001</v>
      </c>
      <c r="M116" s="360">
        <f t="shared" si="11"/>
        <v>0.87580894639556384</v>
      </c>
      <c r="N116" s="439"/>
      <c r="O116" s="439"/>
      <c r="P116" s="439"/>
      <c r="Q116" s="439"/>
    </row>
    <row r="117" spans="1:17" x14ac:dyDescent="0.25">
      <c r="A117" s="50"/>
      <c r="B117" s="49"/>
      <c r="C117" s="49"/>
      <c r="D117" s="353" t="s">
        <v>407</v>
      </c>
      <c r="E117" s="37"/>
      <c r="F117" s="37"/>
      <c r="G117" s="203"/>
      <c r="H117" s="7">
        <f>H118</f>
        <v>1352500</v>
      </c>
      <c r="I117" s="7">
        <f>I118</f>
        <v>1184531.6000000001</v>
      </c>
      <c r="J117" s="203">
        <v>0</v>
      </c>
      <c r="K117" s="7">
        <f t="shared" si="12"/>
        <v>1352500</v>
      </c>
      <c r="L117" s="7">
        <f t="shared" si="10"/>
        <v>1184531.6000000001</v>
      </c>
      <c r="M117" s="360">
        <f t="shared" si="11"/>
        <v>0.87580894639556384</v>
      </c>
      <c r="N117" s="439"/>
      <c r="O117" s="439"/>
      <c r="P117" s="439"/>
      <c r="Q117" s="439"/>
    </row>
    <row r="118" spans="1:17" x14ac:dyDescent="0.25">
      <c r="A118" s="50"/>
      <c r="B118" s="49"/>
      <c r="C118" s="49"/>
      <c r="D118" s="354" t="s">
        <v>408</v>
      </c>
      <c r="E118" s="37"/>
      <c r="F118" s="37"/>
      <c r="G118" s="203"/>
      <c r="H118" s="7">
        <v>1352500</v>
      </c>
      <c r="I118" s="7">
        <v>1184531.6000000001</v>
      </c>
      <c r="J118" s="203">
        <v>0</v>
      </c>
      <c r="K118" s="7">
        <f t="shared" si="12"/>
        <v>1352500</v>
      </c>
      <c r="L118" s="7">
        <f t="shared" si="10"/>
        <v>1184531.6000000001</v>
      </c>
      <c r="M118" s="360">
        <f t="shared" si="11"/>
        <v>0.87580894639556384</v>
      </c>
      <c r="N118" s="439"/>
      <c r="O118" s="439"/>
      <c r="P118" s="439"/>
      <c r="Q118" s="439"/>
    </row>
    <row r="119" spans="1:17" ht="110.25" x14ac:dyDescent="0.25">
      <c r="A119" s="50" t="s">
        <v>510</v>
      </c>
      <c r="B119" s="49" t="s">
        <v>511</v>
      </c>
      <c r="C119" s="49" t="s">
        <v>55</v>
      </c>
      <c r="D119" s="354" t="s">
        <v>509</v>
      </c>
      <c r="E119" s="37">
        <f>E120</f>
        <v>480600</v>
      </c>
      <c r="F119" s="37">
        <f>F120</f>
        <v>480600</v>
      </c>
      <c r="G119" s="203">
        <f t="shared" si="1"/>
        <v>1</v>
      </c>
      <c r="H119" s="7"/>
      <c r="I119" s="7"/>
      <c r="J119" s="203">
        <v>0</v>
      </c>
      <c r="K119" s="7">
        <f t="shared" ref="K119:K142" si="13">E119+H119</f>
        <v>480600</v>
      </c>
      <c r="L119" s="7">
        <f t="shared" si="10"/>
        <v>480600</v>
      </c>
      <c r="M119" s="360">
        <f t="shared" si="11"/>
        <v>1</v>
      </c>
      <c r="N119" s="439"/>
      <c r="O119" s="439"/>
      <c r="P119" s="439"/>
      <c r="Q119" s="439"/>
    </row>
    <row r="120" spans="1:17" x14ac:dyDescent="0.25">
      <c r="A120" s="50"/>
      <c r="B120" s="49"/>
      <c r="C120" s="49"/>
      <c r="D120" s="353" t="s">
        <v>404</v>
      </c>
      <c r="E120" s="37">
        <v>480600</v>
      </c>
      <c r="F120" s="37">
        <v>480600</v>
      </c>
      <c r="G120" s="203">
        <f t="shared" si="1"/>
        <v>1</v>
      </c>
      <c r="H120" s="7"/>
      <c r="I120" s="7"/>
      <c r="J120" s="203">
        <v>0</v>
      </c>
      <c r="K120" s="7">
        <f t="shared" si="13"/>
        <v>480600</v>
      </c>
      <c r="L120" s="7">
        <f t="shared" si="10"/>
        <v>480600</v>
      </c>
      <c r="M120" s="360">
        <f t="shared" si="11"/>
        <v>1</v>
      </c>
      <c r="N120" s="439"/>
      <c r="O120" s="439"/>
      <c r="P120" s="439"/>
      <c r="Q120" s="439"/>
    </row>
    <row r="121" spans="1:17" x14ac:dyDescent="0.25">
      <c r="A121" s="50"/>
      <c r="B121" s="49"/>
      <c r="C121" s="49"/>
      <c r="D121" s="354" t="s">
        <v>405</v>
      </c>
      <c r="E121" s="37">
        <v>480600</v>
      </c>
      <c r="F121" s="37">
        <v>480600</v>
      </c>
      <c r="G121" s="203">
        <f t="shared" si="1"/>
        <v>1</v>
      </c>
      <c r="H121" s="7"/>
      <c r="I121" s="7"/>
      <c r="J121" s="203">
        <v>0</v>
      </c>
      <c r="K121" s="7">
        <f t="shared" si="13"/>
        <v>480600</v>
      </c>
      <c r="L121" s="7">
        <f t="shared" si="10"/>
        <v>480600</v>
      </c>
      <c r="M121" s="360">
        <f t="shared" si="11"/>
        <v>1</v>
      </c>
      <c r="N121" s="439"/>
      <c r="O121" s="439"/>
      <c r="P121" s="439"/>
      <c r="Q121" s="439"/>
    </row>
    <row r="122" spans="1:17" ht="177" customHeight="1" x14ac:dyDescent="0.25">
      <c r="A122" s="50" t="s">
        <v>630</v>
      </c>
      <c r="B122" s="49" t="s">
        <v>631</v>
      </c>
      <c r="C122" s="49" t="s">
        <v>55</v>
      </c>
      <c r="D122" s="354" t="s">
        <v>632</v>
      </c>
      <c r="E122" s="37">
        <f>E123</f>
        <v>1250000</v>
      </c>
      <c r="F122" s="37">
        <f>F123</f>
        <v>0</v>
      </c>
      <c r="G122" s="203">
        <f t="shared" si="1"/>
        <v>0</v>
      </c>
      <c r="H122" s="7"/>
      <c r="I122" s="7"/>
      <c r="J122" s="203">
        <v>0</v>
      </c>
      <c r="K122" s="7">
        <f t="shared" si="13"/>
        <v>1250000</v>
      </c>
      <c r="L122" s="7">
        <f t="shared" si="10"/>
        <v>0</v>
      </c>
      <c r="M122" s="360">
        <f t="shared" si="11"/>
        <v>0</v>
      </c>
      <c r="N122" s="439"/>
      <c r="O122" s="439"/>
      <c r="P122" s="439"/>
      <c r="Q122" s="439"/>
    </row>
    <row r="123" spans="1:17" x14ac:dyDescent="0.25">
      <c r="A123" s="50"/>
      <c r="B123" s="49"/>
      <c r="C123" s="49"/>
      <c r="D123" s="353" t="s">
        <v>404</v>
      </c>
      <c r="E123" s="37">
        <v>1250000</v>
      </c>
      <c r="F123" s="37">
        <v>0</v>
      </c>
      <c r="G123" s="203">
        <f t="shared" si="1"/>
        <v>0</v>
      </c>
      <c r="H123" s="7"/>
      <c r="I123" s="7"/>
      <c r="J123" s="203">
        <v>0</v>
      </c>
      <c r="K123" s="7">
        <f t="shared" si="13"/>
        <v>1250000</v>
      </c>
      <c r="L123" s="7">
        <f t="shared" si="10"/>
        <v>0</v>
      </c>
      <c r="M123" s="360">
        <f t="shared" si="11"/>
        <v>0</v>
      </c>
      <c r="N123" s="439"/>
      <c r="O123" s="439"/>
      <c r="P123" s="439"/>
      <c r="Q123" s="439"/>
    </row>
    <row r="124" spans="1:17" ht="159.75" customHeight="1" x14ac:dyDescent="0.25">
      <c r="A124" s="50" t="s">
        <v>633</v>
      </c>
      <c r="B124" s="49" t="s">
        <v>634</v>
      </c>
      <c r="C124" s="49" t="s">
        <v>55</v>
      </c>
      <c r="D124" s="354" t="s">
        <v>635</v>
      </c>
      <c r="E124" s="37">
        <v>1250000</v>
      </c>
      <c r="F124" s="37">
        <v>0</v>
      </c>
      <c r="G124" s="203">
        <f t="shared" si="1"/>
        <v>0</v>
      </c>
      <c r="H124" s="7"/>
      <c r="I124" s="7"/>
      <c r="J124" s="203">
        <v>0</v>
      </c>
      <c r="K124" s="7">
        <f t="shared" si="13"/>
        <v>1250000</v>
      </c>
      <c r="L124" s="7">
        <f t="shared" si="10"/>
        <v>0</v>
      </c>
      <c r="M124" s="360">
        <f t="shared" si="11"/>
        <v>0</v>
      </c>
      <c r="N124" s="439"/>
      <c r="O124" s="439"/>
      <c r="P124" s="439"/>
      <c r="Q124" s="439"/>
    </row>
    <row r="125" spans="1:17" x14ac:dyDescent="0.25">
      <c r="A125" s="50"/>
      <c r="B125" s="49"/>
      <c r="C125" s="49"/>
      <c r="D125" s="353" t="s">
        <v>404</v>
      </c>
      <c r="E125" s="37">
        <v>1250000</v>
      </c>
      <c r="F125" s="37">
        <v>0</v>
      </c>
      <c r="G125" s="203">
        <f t="shared" si="1"/>
        <v>0</v>
      </c>
      <c r="H125" s="7"/>
      <c r="I125" s="7"/>
      <c r="J125" s="203">
        <v>0</v>
      </c>
      <c r="K125" s="7">
        <f t="shared" si="13"/>
        <v>1250000</v>
      </c>
      <c r="L125" s="7">
        <f t="shared" si="10"/>
        <v>0</v>
      </c>
      <c r="M125" s="360">
        <f t="shared" si="11"/>
        <v>0</v>
      </c>
      <c r="N125" s="439"/>
      <c r="O125" s="439"/>
      <c r="P125" s="439"/>
      <c r="Q125" s="439"/>
    </row>
    <row r="126" spans="1:17" ht="94.5" x14ac:dyDescent="0.25">
      <c r="A126" s="50" t="s">
        <v>637</v>
      </c>
      <c r="B126" s="49" t="s">
        <v>638</v>
      </c>
      <c r="C126" s="49" t="s">
        <v>55</v>
      </c>
      <c r="D126" s="354" t="s">
        <v>639</v>
      </c>
      <c r="E126" s="37"/>
      <c r="F126" s="37"/>
      <c r="G126" s="203"/>
      <c r="H126" s="7">
        <f>H127</f>
        <v>2511700</v>
      </c>
      <c r="I126" s="7">
        <f>I127</f>
        <v>2482375.2400000002</v>
      </c>
      <c r="J126" s="203">
        <v>0</v>
      </c>
      <c r="K126" s="7">
        <f t="shared" si="13"/>
        <v>2511700</v>
      </c>
      <c r="L126" s="7">
        <f t="shared" si="10"/>
        <v>2482375.2400000002</v>
      </c>
      <c r="M126" s="360">
        <f t="shared" si="11"/>
        <v>0.98832473623442296</v>
      </c>
      <c r="N126" s="439"/>
      <c r="O126" s="439"/>
      <c r="P126" s="439"/>
      <c r="Q126" s="439"/>
    </row>
    <row r="127" spans="1:17" x14ac:dyDescent="0.25">
      <c r="A127" s="50"/>
      <c r="B127" s="49"/>
      <c r="C127" s="49"/>
      <c r="D127" s="353" t="s">
        <v>404</v>
      </c>
      <c r="E127" s="37"/>
      <c r="F127" s="37"/>
      <c r="G127" s="203"/>
      <c r="H127" s="7">
        <v>2511700</v>
      </c>
      <c r="I127" s="7">
        <v>2482375.2400000002</v>
      </c>
      <c r="J127" s="203">
        <v>0</v>
      </c>
      <c r="K127" s="7">
        <f t="shared" si="13"/>
        <v>2511700</v>
      </c>
      <c r="L127" s="7">
        <f t="shared" si="10"/>
        <v>2482375.2400000002</v>
      </c>
      <c r="M127" s="360">
        <f t="shared" si="11"/>
        <v>0.98832473623442296</v>
      </c>
      <c r="N127" s="439"/>
      <c r="O127" s="439"/>
      <c r="P127" s="439"/>
      <c r="Q127" s="439"/>
    </row>
    <row r="128" spans="1:17" ht="69.75" customHeight="1" x14ac:dyDescent="0.25">
      <c r="A128" s="50" t="s">
        <v>529</v>
      </c>
      <c r="B128" s="49" t="s">
        <v>530</v>
      </c>
      <c r="C128" s="49" t="s">
        <v>55</v>
      </c>
      <c r="D128" s="354" t="s">
        <v>533</v>
      </c>
      <c r="E128" s="37"/>
      <c r="F128" s="37"/>
      <c r="G128" s="203"/>
      <c r="H128" s="7">
        <f>H129</f>
        <v>3500600</v>
      </c>
      <c r="I128" s="7">
        <f>I129</f>
        <v>3500600</v>
      </c>
      <c r="J128" s="203">
        <f>I128/H128</f>
        <v>1</v>
      </c>
      <c r="K128" s="7">
        <f t="shared" si="13"/>
        <v>3500600</v>
      </c>
      <c r="L128" s="7">
        <f t="shared" si="10"/>
        <v>3500600</v>
      </c>
      <c r="M128" s="360">
        <f t="shared" si="11"/>
        <v>1</v>
      </c>
      <c r="N128" s="439"/>
      <c r="O128" s="439"/>
      <c r="P128" s="439"/>
      <c r="Q128" s="439"/>
    </row>
    <row r="129" spans="1:17" s="598" customFormat="1" x14ac:dyDescent="0.25">
      <c r="A129" s="50"/>
      <c r="B129" s="49"/>
      <c r="C129" s="49"/>
      <c r="D129" s="353" t="s">
        <v>404</v>
      </c>
      <c r="E129" s="37"/>
      <c r="F129" s="37"/>
      <c r="G129" s="203"/>
      <c r="H129" s="7">
        <v>3500600</v>
      </c>
      <c r="I129" s="7">
        <v>3500600</v>
      </c>
      <c r="J129" s="203">
        <f>I129/H129</f>
        <v>1</v>
      </c>
      <c r="K129" s="7">
        <f t="shared" si="13"/>
        <v>3500600</v>
      </c>
      <c r="L129" s="7">
        <f t="shared" si="10"/>
        <v>3500600</v>
      </c>
      <c r="M129" s="360">
        <f t="shared" si="11"/>
        <v>1</v>
      </c>
      <c r="N129" s="597"/>
      <c r="O129" s="597"/>
      <c r="P129" s="597"/>
      <c r="Q129" s="597"/>
    </row>
    <row r="130" spans="1:17" s="598" customFormat="1" ht="133.5" customHeight="1" x14ac:dyDescent="0.25">
      <c r="A130" s="50" t="s">
        <v>689</v>
      </c>
      <c r="B130" s="49" t="s">
        <v>690</v>
      </c>
      <c r="C130" s="49" t="s">
        <v>55</v>
      </c>
      <c r="D130" s="354" t="s">
        <v>691</v>
      </c>
      <c r="E130" s="37"/>
      <c r="F130" s="37"/>
      <c r="G130" s="203"/>
      <c r="H130" s="7">
        <f>H131</f>
        <v>205700</v>
      </c>
      <c r="I130" s="7">
        <f>I131</f>
        <v>205700</v>
      </c>
      <c r="J130" s="203">
        <f t="shared" ref="J130:J132" si="14">I130/H130</f>
        <v>1</v>
      </c>
      <c r="K130" s="7">
        <f>E130+H130</f>
        <v>205700</v>
      </c>
      <c r="L130" s="7">
        <f>F130+I130</f>
        <v>205700</v>
      </c>
      <c r="M130" s="360">
        <f t="shared" si="11"/>
        <v>1</v>
      </c>
      <c r="N130" s="597"/>
      <c r="O130" s="597"/>
      <c r="P130" s="597"/>
      <c r="Q130" s="597"/>
    </row>
    <row r="131" spans="1:17" s="598" customFormat="1" x14ac:dyDescent="0.25">
      <c r="A131" s="50"/>
      <c r="B131" s="49"/>
      <c r="C131" s="49"/>
      <c r="D131" s="353" t="s">
        <v>404</v>
      </c>
      <c r="E131" s="37"/>
      <c r="F131" s="37"/>
      <c r="G131" s="203"/>
      <c r="H131" s="7">
        <v>205700</v>
      </c>
      <c r="I131" s="7">
        <v>205700</v>
      </c>
      <c r="J131" s="203">
        <f t="shared" si="14"/>
        <v>1</v>
      </c>
      <c r="K131" s="7">
        <f t="shared" ref="K131:K132" si="15">E131+H131</f>
        <v>205700</v>
      </c>
      <c r="L131" s="7">
        <f t="shared" ref="L131:L132" si="16">F131+I131</f>
        <v>205700</v>
      </c>
      <c r="M131" s="360">
        <f t="shared" si="11"/>
        <v>1</v>
      </c>
      <c r="N131" s="597"/>
      <c r="O131" s="597"/>
      <c r="P131" s="597"/>
      <c r="Q131" s="597"/>
    </row>
    <row r="132" spans="1:17" s="598" customFormat="1" x14ac:dyDescent="0.25">
      <c r="A132" s="50"/>
      <c r="B132" s="49"/>
      <c r="C132" s="49"/>
      <c r="D132" s="354" t="s">
        <v>405</v>
      </c>
      <c r="E132" s="37"/>
      <c r="F132" s="37"/>
      <c r="G132" s="203"/>
      <c r="H132" s="7">
        <v>205700</v>
      </c>
      <c r="I132" s="7">
        <v>205700</v>
      </c>
      <c r="J132" s="203">
        <f t="shared" si="14"/>
        <v>1</v>
      </c>
      <c r="K132" s="7">
        <f t="shared" si="15"/>
        <v>205700</v>
      </c>
      <c r="L132" s="7">
        <f t="shared" si="16"/>
        <v>205700</v>
      </c>
      <c r="M132" s="360">
        <f t="shared" si="11"/>
        <v>1</v>
      </c>
      <c r="N132" s="597"/>
      <c r="O132" s="597"/>
      <c r="P132" s="597"/>
      <c r="Q132" s="597"/>
    </row>
    <row r="133" spans="1:17" ht="66" customHeight="1" x14ac:dyDescent="0.25">
      <c r="A133" s="50" t="s">
        <v>513</v>
      </c>
      <c r="B133" s="49" t="s">
        <v>514</v>
      </c>
      <c r="C133" s="49" t="s">
        <v>55</v>
      </c>
      <c r="D133" s="354" t="s">
        <v>512</v>
      </c>
      <c r="E133" s="37">
        <f>E134</f>
        <v>9379900</v>
      </c>
      <c r="F133" s="37">
        <f>F134</f>
        <v>9123035.5399999991</v>
      </c>
      <c r="G133" s="203">
        <f t="shared" si="1"/>
        <v>0.9726154372647895</v>
      </c>
      <c r="H133" s="7"/>
      <c r="I133" s="7"/>
      <c r="J133" s="203"/>
      <c r="K133" s="7">
        <f t="shared" si="13"/>
        <v>9379900</v>
      </c>
      <c r="L133" s="7">
        <f t="shared" si="10"/>
        <v>9123035.5399999991</v>
      </c>
      <c r="M133" s="360">
        <f t="shared" si="11"/>
        <v>0.9726154372647895</v>
      </c>
      <c r="N133" s="439"/>
      <c r="O133" s="439"/>
      <c r="P133" s="439"/>
      <c r="Q133" s="439"/>
    </row>
    <row r="134" spans="1:17" x14ac:dyDescent="0.25">
      <c r="A134" s="50"/>
      <c r="B134" s="49"/>
      <c r="C134" s="49"/>
      <c r="D134" s="353" t="s">
        <v>404</v>
      </c>
      <c r="E134" s="37">
        <v>9379900</v>
      </c>
      <c r="F134" s="37">
        <v>9123035.5399999991</v>
      </c>
      <c r="G134" s="203">
        <f t="shared" si="1"/>
        <v>0.9726154372647895</v>
      </c>
      <c r="H134" s="7"/>
      <c r="I134" s="7"/>
      <c r="J134" s="203"/>
      <c r="K134" s="7">
        <f t="shared" si="13"/>
        <v>9379900</v>
      </c>
      <c r="L134" s="7">
        <f t="shared" si="10"/>
        <v>9123035.5399999991</v>
      </c>
      <c r="M134" s="360">
        <f t="shared" si="11"/>
        <v>0.9726154372647895</v>
      </c>
      <c r="N134" s="439"/>
      <c r="O134" s="439"/>
      <c r="P134" s="439"/>
      <c r="Q134" s="439"/>
    </row>
    <row r="135" spans="1:17" x14ac:dyDescent="0.25">
      <c r="A135" s="50"/>
      <c r="B135" s="49"/>
      <c r="C135" s="49"/>
      <c r="D135" s="354" t="s">
        <v>405</v>
      </c>
      <c r="E135" s="37">
        <v>9379900</v>
      </c>
      <c r="F135" s="37">
        <v>9123035.5399999991</v>
      </c>
      <c r="G135" s="203">
        <f t="shared" si="1"/>
        <v>0.9726154372647895</v>
      </c>
      <c r="H135" s="7"/>
      <c r="I135" s="7"/>
      <c r="J135" s="203"/>
      <c r="K135" s="7">
        <f t="shared" si="13"/>
        <v>9379900</v>
      </c>
      <c r="L135" s="7">
        <f t="shared" si="10"/>
        <v>9123035.5399999991</v>
      </c>
      <c r="M135" s="360">
        <f t="shared" si="11"/>
        <v>0.9726154372647895</v>
      </c>
      <c r="N135" s="439"/>
      <c r="O135" s="439"/>
      <c r="P135" s="439"/>
      <c r="Q135" s="439"/>
    </row>
    <row r="136" spans="1:17" ht="110.25" customHeight="1" x14ac:dyDescent="0.25">
      <c r="A136" s="50" t="s">
        <v>640</v>
      </c>
      <c r="B136" s="49" t="s">
        <v>641</v>
      </c>
      <c r="C136" s="49" t="s">
        <v>55</v>
      </c>
      <c r="D136" s="354" t="s">
        <v>642</v>
      </c>
      <c r="E136" s="37"/>
      <c r="F136" s="37"/>
      <c r="G136" s="203"/>
      <c r="H136" s="7">
        <f>H137</f>
        <v>1380800</v>
      </c>
      <c r="I136" s="7">
        <f>I137</f>
        <v>1195677.1499999999</v>
      </c>
      <c r="J136" s="203">
        <f t="shared" ref="J136" si="17">I136/H136</f>
        <v>0.86593072856315167</v>
      </c>
      <c r="K136" s="7">
        <f t="shared" si="13"/>
        <v>1380800</v>
      </c>
      <c r="L136" s="7">
        <f t="shared" si="10"/>
        <v>1195677.1499999999</v>
      </c>
      <c r="M136" s="360">
        <f t="shared" si="11"/>
        <v>0.86593072856315167</v>
      </c>
      <c r="N136" s="439"/>
      <c r="O136" s="439"/>
      <c r="P136" s="439"/>
      <c r="Q136" s="439"/>
    </row>
    <row r="137" spans="1:17" x14ac:dyDescent="0.25">
      <c r="A137" s="50"/>
      <c r="B137" s="49"/>
      <c r="C137" s="49"/>
      <c r="D137" s="353" t="s">
        <v>404</v>
      </c>
      <c r="E137" s="37"/>
      <c r="F137" s="37"/>
      <c r="G137" s="203"/>
      <c r="H137" s="7">
        <v>1380800</v>
      </c>
      <c r="I137" s="7">
        <v>1195677.1499999999</v>
      </c>
      <c r="J137" s="203">
        <f t="shared" ref="J137" si="18">I137/H137</f>
        <v>0.86593072856315167</v>
      </c>
      <c r="K137" s="7">
        <f t="shared" si="13"/>
        <v>1380800</v>
      </c>
      <c r="L137" s="7">
        <f t="shared" si="10"/>
        <v>1195677.1499999999</v>
      </c>
      <c r="M137" s="360">
        <f t="shared" si="11"/>
        <v>0.86593072856315167</v>
      </c>
      <c r="N137" s="439"/>
      <c r="O137" s="439"/>
      <c r="P137" s="439"/>
      <c r="Q137" s="439"/>
    </row>
    <row r="138" spans="1:17" ht="71.25" customHeight="1" x14ac:dyDescent="0.25">
      <c r="A138" s="50" t="s">
        <v>666</v>
      </c>
      <c r="B138" s="49" t="s">
        <v>667</v>
      </c>
      <c r="C138" s="949" t="s">
        <v>55</v>
      </c>
      <c r="D138" s="354" t="s">
        <v>668</v>
      </c>
      <c r="E138" s="37">
        <v>8230500</v>
      </c>
      <c r="F138" s="37">
        <v>5698856.0199999996</v>
      </c>
      <c r="G138" s="203">
        <f t="shared" si="1"/>
        <v>0.69240702508960572</v>
      </c>
      <c r="H138" s="7"/>
      <c r="I138" s="7"/>
      <c r="J138" s="203"/>
      <c r="K138" s="7">
        <f>E138+H138</f>
        <v>8230500</v>
      </c>
      <c r="L138" s="7">
        <f>F138+I138</f>
        <v>5698856.0199999996</v>
      </c>
      <c r="M138" s="360">
        <f t="shared" si="11"/>
        <v>0.69240702508960572</v>
      </c>
      <c r="N138" s="439"/>
      <c r="O138" s="439"/>
      <c r="P138" s="439"/>
      <c r="Q138" s="439"/>
    </row>
    <row r="139" spans="1:17" x14ac:dyDescent="0.25">
      <c r="A139" s="50"/>
      <c r="B139" s="49"/>
      <c r="C139" s="49"/>
      <c r="D139" s="353" t="s">
        <v>404</v>
      </c>
      <c r="E139" s="37">
        <v>8230500</v>
      </c>
      <c r="F139" s="37">
        <v>5698856.0199999996</v>
      </c>
      <c r="G139" s="203">
        <f t="shared" si="1"/>
        <v>0.69240702508960572</v>
      </c>
      <c r="H139" s="7"/>
      <c r="I139" s="7"/>
      <c r="J139" s="203"/>
      <c r="K139" s="7">
        <f t="shared" si="13"/>
        <v>8230500</v>
      </c>
      <c r="L139" s="7">
        <f t="shared" si="10"/>
        <v>5698856.0199999996</v>
      </c>
      <c r="M139" s="360">
        <f t="shared" si="11"/>
        <v>0.69240702508960572</v>
      </c>
      <c r="N139" s="439"/>
      <c r="O139" s="439"/>
      <c r="P139" s="439"/>
      <c r="Q139" s="439"/>
    </row>
    <row r="140" spans="1:17" ht="97.5" customHeight="1" x14ac:dyDescent="0.25">
      <c r="A140" s="50" t="s">
        <v>517</v>
      </c>
      <c r="B140" s="49" t="s">
        <v>516</v>
      </c>
      <c r="C140" s="49" t="s">
        <v>65</v>
      </c>
      <c r="D140" s="354" t="s">
        <v>515</v>
      </c>
      <c r="E140" s="37">
        <f>E141</f>
        <v>1078000</v>
      </c>
      <c r="F140" s="37">
        <f>F141</f>
        <v>1077820</v>
      </c>
      <c r="G140" s="203">
        <f t="shared" si="1"/>
        <v>0.99983302411873842</v>
      </c>
      <c r="H140" s="7"/>
      <c r="I140" s="7"/>
      <c r="J140" s="203"/>
      <c r="K140" s="7">
        <f t="shared" si="13"/>
        <v>1078000</v>
      </c>
      <c r="L140" s="7">
        <f t="shared" si="10"/>
        <v>1077820</v>
      </c>
      <c r="M140" s="360">
        <f t="shared" si="11"/>
        <v>0.99983302411873842</v>
      </c>
      <c r="N140" s="439"/>
      <c r="O140" s="439"/>
      <c r="P140" s="439"/>
      <c r="Q140" s="439"/>
    </row>
    <row r="141" spans="1:17" x14ac:dyDescent="0.25">
      <c r="A141" s="50"/>
      <c r="B141" s="49"/>
      <c r="C141" s="49"/>
      <c r="D141" s="353" t="s">
        <v>404</v>
      </c>
      <c r="E141" s="37">
        <v>1078000</v>
      </c>
      <c r="F141" s="37">
        <v>1077820</v>
      </c>
      <c r="G141" s="203">
        <f t="shared" si="1"/>
        <v>0.99983302411873842</v>
      </c>
      <c r="H141" s="7"/>
      <c r="I141" s="7"/>
      <c r="J141" s="203"/>
      <c r="K141" s="7">
        <f t="shared" si="13"/>
        <v>1078000</v>
      </c>
      <c r="L141" s="7">
        <f t="shared" si="10"/>
        <v>1077820</v>
      </c>
      <c r="M141" s="360">
        <f t="shared" si="11"/>
        <v>0.99983302411873842</v>
      </c>
      <c r="N141" s="439"/>
      <c r="O141" s="439"/>
      <c r="P141" s="439"/>
      <c r="Q141" s="439"/>
    </row>
    <row r="142" spans="1:17" ht="23.25" customHeight="1" x14ac:dyDescent="0.25">
      <c r="A142" s="50"/>
      <c r="B142" s="49"/>
      <c r="C142" s="49"/>
      <c r="D142" s="354" t="s">
        <v>405</v>
      </c>
      <c r="E142" s="37">
        <v>400566</v>
      </c>
      <c r="F142" s="37">
        <v>400565</v>
      </c>
      <c r="G142" s="203">
        <f t="shared" si="1"/>
        <v>0.9999975035325015</v>
      </c>
      <c r="H142" s="7"/>
      <c r="I142" s="7"/>
      <c r="J142" s="203"/>
      <c r="K142" s="7">
        <f t="shared" si="13"/>
        <v>400566</v>
      </c>
      <c r="L142" s="7">
        <f t="shared" si="10"/>
        <v>400565</v>
      </c>
      <c r="M142" s="360">
        <f t="shared" si="11"/>
        <v>0.9999975035325015</v>
      </c>
      <c r="N142" s="439"/>
      <c r="O142" s="439"/>
      <c r="P142" s="439"/>
      <c r="Q142" s="439"/>
    </row>
    <row r="143" spans="1:17" ht="39.75" customHeight="1" x14ac:dyDescent="0.25">
      <c r="A143" s="50"/>
      <c r="B143" s="49"/>
      <c r="C143" s="49"/>
      <c r="D143" s="354" t="s">
        <v>406</v>
      </c>
      <c r="E143" s="37">
        <v>13441</v>
      </c>
      <c r="F143" s="37">
        <v>13262</v>
      </c>
      <c r="G143" s="203">
        <f t="shared" si="1"/>
        <v>0.98668253850159959</v>
      </c>
      <c r="H143" s="7"/>
      <c r="I143" s="7"/>
      <c r="J143" s="204"/>
      <c r="K143" s="7">
        <f>E143+H143</f>
        <v>13441</v>
      </c>
      <c r="L143" s="7">
        <f t="shared" si="10"/>
        <v>13262</v>
      </c>
      <c r="M143" s="360">
        <f t="shared" si="11"/>
        <v>0.98668253850159959</v>
      </c>
      <c r="N143" s="439"/>
      <c r="O143" s="439"/>
      <c r="P143" s="439"/>
      <c r="Q143" s="439"/>
    </row>
    <row r="144" spans="1:17" s="589" customFormat="1" ht="47.25" x14ac:dyDescent="0.25">
      <c r="A144" s="702" t="s">
        <v>595</v>
      </c>
      <c r="B144" s="58" t="s">
        <v>597</v>
      </c>
      <c r="C144" s="58" t="s">
        <v>197</v>
      </c>
      <c r="D144" s="354" t="s">
        <v>596</v>
      </c>
      <c r="E144" s="575"/>
      <c r="F144" s="575"/>
      <c r="G144" s="576"/>
      <c r="H144" s="577">
        <f>H145</f>
        <v>2000000</v>
      </c>
      <c r="I144" s="577">
        <f>I145</f>
        <v>2000000</v>
      </c>
      <c r="J144" s="576">
        <f t="shared" si="8"/>
        <v>1</v>
      </c>
      <c r="K144" s="577">
        <f t="shared" ref="K144:K146" si="19">E144+H144</f>
        <v>2000000</v>
      </c>
      <c r="L144" s="577">
        <f t="shared" si="10"/>
        <v>2000000</v>
      </c>
      <c r="M144" s="703">
        <f t="shared" si="11"/>
        <v>1</v>
      </c>
      <c r="N144" s="588"/>
      <c r="O144" s="588"/>
      <c r="P144" s="588"/>
      <c r="Q144" s="588"/>
    </row>
    <row r="145" spans="1:17" s="589" customFormat="1" ht="21" customHeight="1" x14ac:dyDescent="0.25">
      <c r="A145" s="702"/>
      <c r="B145" s="58"/>
      <c r="C145" s="58"/>
      <c r="D145" s="353" t="s">
        <v>407</v>
      </c>
      <c r="E145" s="575"/>
      <c r="F145" s="575"/>
      <c r="G145" s="576"/>
      <c r="H145" s="577">
        <f>H146</f>
        <v>2000000</v>
      </c>
      <c r="I145" s="577">
        <f>I146</f>
        <v>2000000</v>
      </c>
      <c r="J145" s="576">
        <f t="shared" si="8"/>
        <v>1</v>
      </c>
      <c r="K145" s="577">
        <f t="shared" si="19"/>
        <v>2000000</v>
      </c>
      <c r="L145" s="577">
        <f t="shared" si="10"/>
        <v>2000000</v>
      </c>
      <c r="M145" s="703">
        <f t="shared" si="11"/>
        <v>1</v>
      </c>
      <c r="N145" s="588"/>
      <c r="O145" s="588"/>
      <c r="P145" s="588"/>
      <c r="Q145" s="588"/>
    </row>
    <row r="146" spans="1:17" s="589" customFormat="1" ht="21.75" customHeight="1" thickBot="1" x14ac:dyDescent="0.3">
      <c r="A146" s="704"/>
      <c r="B146" s="582"/>
      <c r="C146" s="582"/>
      <c r="D146" s="356" t="s">
        <v>408</v>
      </c>
      <c r="E146" s="583"/>
      <c r="F146" s="583"/>
      <c r="G146" s="584"/>
      <c r="H146" s="585">
        <v>2000000</v>
      </c>
      <c r="I146" s="586">
        <v>2000000</v>
      </c>
      <c r="J146" s="587">
        <f t="shared" si="8"/>
        <v>1</v>
      </c>
      <c r="K146" s="577">
        <f t="shared" si="19"/>
        <v>2000000</v>
      </c>
      <c r="L146" s="577">
        <f t="shared" si="10"/>
        <v>2000000</v>
      </c>
      <c r="M146" s="703">
        <f t="shared" si="11"/>
        <v>1</v>
      </c>
      <c r="N146" s="588"/>
      <c r="O146" s="588"/>
      <c r="P146" s="588"/>
      <c r="Q146" s="588"/>
    </row>
    <row r="147" spans="1:17" ht="60" customHeight="1" thickBot="1" x14ac:dyDescent="0.3">
      <c r="A147" s="32" t="s">
        <v>66</v>
      </c>
      <c r="B147" s="33" t="s">
        <v>14</v>
      </c>
      <c r="C147" s="33" t="s">
        <v>14</v>
      </c>
      <c r="D147" s="34" t="s">
        <v>439</v>
      </c>
      <c r="E147" s="51">
        <f>E148</f>
        <v>56580043</v>
      </c>
      <c r="F147" s="51">
        <f>F148</f>
        <v>53347932.960000001</v>
      </c>
      <c r="G147" s="201">
        <f t="shared" si="1"/>
        <v>0.94287544037391424</v>
      </c>
      <c r="H147" s="51">
        <f>H148</f>
        <v>2942026</v>
      </c>
      <c r="I147" s="823">
        <f>I148</f>
        <v>4869158.2799999993</v>
      </c>
      <c r="J147" s="201">
        <f t="shared" si="8"/>
        <v>1.6550357746668449</v>
      </c>
      <c r="K147" s="199">
        <f>K148</f>
        <v>59522069</v>
      </c>
      <c r="L147" s="199">
        <f>L148</f>
        <v>58217091.240000002</v>
      </c>
      <c r="M147" s="209">
        <f t="shared" si="11"/>
        <v>0.97807573254888036</v>
      </c>
      <c r="N147" s="439"/>
      <c r="O147" s="439"/>
      <c r="P147" s="439"/>
      <c r="Q147" s="439"/>
    </row>
    <row r="148" spans="1:17" ht="54.75" customHeight="1" x14ac:dyDescent="0.25">
      <c r="A148" s="45" t="s">
        <v>67</v>
      </c>
      <c r="B148" s="46" t="s">
        <v>14</v>
      </c>
      <c r="C148" s="46" t="s">
        <v>14</v>
      </c>
      <c r="D148" s="47" t="s">
        <v>439</v>
      </c>
      <c r="E148" s="40">
        <f>E149+E153+E155+E157+E159+E165+E167+E175+E181+E169+E185</f>
        <v>56580043</v>
      </c>
      <c r="F148" s="40">
        <f>F149+F153+F155+F157+F159+F165+F167+F175+F181+F185</f>
        <v>53347932.960000001</v>
      </c>
      <c r="G148" s="202">
        <f t="shared" si="1"/>
        <v>0.94287544037391424</v>
      </c>
      <c r="H148" s="40">
        <f>H149+H153+H155+H157+H159+H165+H167+H175+H181+H172</f>
        <v>2942026</v>
      </c>
      <c r="I148" s="40">
        <f>I149+I153+I155+I157+I159+I165+I167+I175+I181+I172</f>
        <v>4869158.2799999993</v>
      </c>
      <c r="J148" s="202">
        <f t="shared" si="8"/>
        <v>1.6550357746668449</v>
      </c>
      <c r="K148" s="200">
        <f>K149+K153+K155+K157+K159+K165+K167+K175+K181+K169+K185+K172</f>
        <v>59522069</v>
      </c>
      <c r="L148" s="200">
        <f>L149+L153+L155+L157+L159+L165+L167+L175+L181+L169+L185+L172</f>
        <v>58217091.240000002</v>
      </c>
      <c r="M148" s="362">
        <f t="shared" si="11"/>
        <v>0.97807573254888036</v>
      </c>
      <c r="N148" s="439"/>
      <c r="O148" s="439"/>
      <c r="P148" s="439"/>
      <c r="Q148" s="439"/>
    </row>
    <row r="149" spans="1:17" ht="56.25" customHeight="1" x14ac:dyDescent="0.25">
      <c r="A149" s="700" t="s">
        <v>162</v>
      </c>
      <c r="B149" s="701" t="s">
        <v>42</v>
      </c>
      <c r="C149" s="701" t="s">
        <v>16</v>
      </c>
      <c r="D149" s="24" t="s">
        <v>156</v>
      </c>
      <c r="E149" s="37">
        <f>E150</f>
        <v>10490357</v>
      </c>
      <c r="F149" s="37">
        <f>F150</f>
        <v>10415093.74</v>
      </c>
      <c r="G149" s="203">
        <f t="shared" si="1"/>
        <v>0.99282548153508987</v>
      </c>
      <c r="H149" s="7"/>
      <c r="I149" s="7"/>
      <c r="J149" s="202"/>
      <c r="K149" s="186">
        <f>E149+H149</f>
        <v>10490357</v>
      </c>
      <c r="L149" s="186">
        <f>F149+I149</f>
        <v>10415093.74</v>
      </c>
      <c r="M149" s="361">
        <f t="shared" si="11"/>
        <v>0.99282548153508987</v>
      </c>
      <c r="N149" s="439"/>
      <c r="O149" s="439"/>
      <c r="P149" s="439"/>
      <c r="Q149" s="439"/>
    </row>
    <row r="150" spans="1:17" x14ac:dyDescent="0.25">
      <c r="A150" s="700"/>
      <c r="B150" s="701"/>
      <c r="C150" s="701"/>
      <c r="D150" s="353" t="s">
        <v>404</v>
      </c>
      <c r="E150" s="37">
        <v>10490357</v>
      </c>
      <c r="F150" s="37">
        <v>10415093.74</v>
      </c>
      <c r="G150" s="203">
        <f t="shared" si="1"/>
        <v>0.99282548153508987</v>
      </c>
      <c r="H150" s="7"/>
      <c r="I150" s="7"/>
      <c r="J150" s="202"/>
      <c r="K150" s="186">
        <f t="shared" ref="K150:K186" si="20">E150+H150</f>
        <v>10490357</v>
      </c>
      <c r="L150" s="186">
        <f t="shared" ref="L150:L186" si="21">F150+I150</f>
        <v>10415093.74</v>
      </c>
      <c r="M150" s="361">
        <f t="shared" si="11"/>
        <v>0.99282548153508987</v>
      </c>
      <c r="N150" s="439"/>
      <c r="O150" s="439"/>
      <c r="P150" s="439"/>
      <c r="Q150" s="439"/>
    </row>
    <row r="151" spans="1:17" x14ac:dyDescent="0.25">
      <c r="A151" s="700"/>
      <c r="B151" s="701"/>
      <c r="C151" s="701"/>
      <c r="D151" s="354" t="s">
        <v>405</v>
      </c>
      <c r="E151" s="37">
        <v>9959569</v>
      </c>
      <c r="F151" s="37">
        <v>9957066.5299999993</v>
      </c>
      <c r="G151" s="203">
        <f t="shared" si="1"/>
        <v>0.99974873711904599</v>
      </c>
      <c r="H151" s="7"/>
      <c r="I151" s="7"/>
      <c r="J151" s="202"/>
      <c r="K151" s="186">
        <f t="shared" si="20"/>
        <v>9959569</v>
      </c>
      <c r="L151" s="186">
        <f t="shared" si="21"/>
        <v>9957066.5299999993</v>
      </c>
      <c r="M151" s="361">
        <f t="shared" si="11"/>
        <v>0.99974873711904599</v>
      </c>
      <c r="N151" s="439"/>
      <c r="O151" s="439"/>
      <c r="P151" s="439"/>
      <c r="Q151" s="439"/>
    </row>
    <row r="152" spans="1:17" ht="34.5" customHeight="1" x14ac:dyDescent="0.25">
      <c r="A152" s="700"/>
      <c r="B152" s="701"/>
      <c r="C152" s="701"/>
      <c r="D152" s="354" t="s">
        <v>406</v>
      </c>
      <c r="E152" s="37">
        <v>199920</v>
      </c>
      <c r="F152" s="37">
        <v>171714.06</v>
      </c>
      <c r="G152" s="203">
        <f t="shared" si="1"/>
        <v>0.85891386554621851</v>
      </c>
      <c r="H152" s="7"/>
      <c r="I152" s="7"/>
      <c r="J152" s="202"/>
      <c r="K152" s="186">
        <f t="shared" si="20"/>
        <v>199920</v>
      </c>
      <c r="L152" s="186">
        <f t="shared" si="21"/>
        <v>171714.06</v>
      </c>
      <c r="M152" s="361">
        <f t="shared" si="11"/>
        <v>0.85891386554621851</v>
      </c>
      <c r="N152" s="439"/>
      <c r="O152" s="439"/>
      <c r="P152" s="439"/>
      <c r="Q152" s="439"/>
    </row>
    <row r="153" spans="1:17" ht="44.25" customHeight="1" x14ac:dyDescent="0.25">
      <c r="A153" s="700" t="s">
        <v>69</v>
      </c>
      <c r="B153" s="701" t="s">
        <v>70</v>
      </c>
      <c r="C153" s="701" t="s">
        <v>52</v>
      </c>
      <c r="D153" s="24" t="s">
        <v>71</v>
      </c>
      <c r="E153" s="37">
        <f>E154</f>
        <v>3619</v>
      </c>
      <c r="F153" s="37">
        <f>F154</f>
        <v>3573.24</v>
      </c>
      <c r="G153" s="203">
        <f t="shared" si="1"/>
        <v>0.98735562310030389</v>
      </c>
      <c r="H153" s="7">
        <v>0</v>
      </c>
      <c r="I153" s="7">
        <v>0</v>
      </c>
      <c r="J153" s="202"/>
      <c r="K153" s="186">
        <f t="shared" si="20"/>
        <v>3619</v>
      </c>
      <c r="L153" s="186">
        <f t="shared" si="21"/>
        <v>3573.24</v>
      </c>
      <c r="M153" s="361">
        <f t="shared" si="11"/>
        <v>0.98735562310030389</v>
      </c>
      <c r="N153" s="439"/>
      <c r="O153" s="439"/>
      <c r="P153" s="439"/>
      <c r="Q153" s="439"/>
    </row>
    <row r="154" spans="1:17" x14ac:dyDescent="0.25">
      <c r="A154" s="700"/>
      <c r="B154" s="701"/>
      <c r="C154" s="701"/>
      <c r="D154" s="353" t="s">
        <v>404</v>
      </c>
      <c r="E154" s="37">
        <v>3619</v>
      </c>
      <c r="F154" s="37">
        <v>3573.24</v>
      </c>
      <c r="G154" s="203">
        <f t="shared" si="1"/>
        <v>0.98735562310030389</v>
      </c>
      <c r="H154" s="7"/>
      <c r="I154" s="7"/>
      <c r="J154" s="202"/>
      <c r="K154" s="186">
        <f t="shared" si="20"/>
        <v>3619</v>
      </c>
      <c r="L154" s="186">
        <f t="shared" si="21"/>
        <v>3573.24</v>
      </c>
      <c r="M154" s="361">
        <f t="shared" si="11"/>
        <v>0.98735562310030389</v>
      </c>
      <c r="N154" s="439"/>
      <c r="O154" s="439"/>
      <c r="P154" s="439"/>
      <c r="Q154" s="439"/>
    </row>
    <row r="155" spans="1:17" ht="53.25" customHeight="1" x14ac:dyDescent="0.25">
      <c r="A155" s="700">
        <v>813050</v>
      </c>
      <c r="B155" s="701">
        <v>3050</v>
      </c>
      <c r="C155" s="701">
        <v>1070</v>
      </c>
      <c r="D155" s="24" t="s">
        <v>225</v>
      </c>
      <c r="E155" s="37">
        <f>E156</f>
        <v>136573</v>
      </c>
      <c r="F155" s="37">
        <f>F156</f>
        <v>69914.149999999994</v>
      </c>
      <c r="G155" s="203">
        <f t="shared" si="1"/>
        <v>0.51191780220102068</v>
      </c>
      <c r="H155" s="7">
        <v>0</v>
      </c>
      <c r="I155" s="7">
        <v>0</v>
      </c>
      <c r="J155" s="202"/>
      <c r="K155" s="186">
        <f t="shared" si="20"/>
        <v>136573</v>
      </c>
      <c r="L155" s="186">
        <f t="shared" si="21"/>
        <v>69914.149999999994</v>
      </c>
      <c r="M155" s="361">
        <f t="shared" si="11"/>
        <v>0.51191780220102068</v>
      </c>
      <c r="N155" s="439"/>
      <c r="O155" s="439"/>
      <c r="P155" s="439"/>
      <c r="Q155" s="439"/>
    </row>
    <row r="156" spans="1:17" x14ac:dyDescent="0.25">
      <c r="A156" s="705"/>
      <c r="B156" s="602"/>
      <c r="C156" s="602"/>
      <c r="D156" s="353" t="s">
        <v>404</v>
      </c>
      <c r="E156" s="37">
        <v>136573</v>
      </c>
      <c r="F156" s="37">
        <v>69914.149999999994</v>
      </c>
      <c r="G156" s="203">
        <f t="shared" si="1"/>
        <v>0.51191780220102068</v>
      </c>
      <c r="H156" s="7"/>
      <c r="I156" s="7"/>
      <c r="J156" s="202"/>
      <c r="K156" s="186">
        <f t="shared" si="20"/>
        <v>136573</v>
      </c>
      <c r="L156" s="186">
        <f t="shared" si="21"/>
        <v>69914.149999999994</v>
      </c>
      <c r="M156" s="361">
        <f t="shared" si="11"/>
        <v>0.51191780220102068</v>
      </c>
      <c r="N156" s="439"/>
      <c r="O156" s="439"/>
      <c r="P156" s="439"/>
      <c r="Q156" s="439"/>
    </row>
    <row r="157" spans="1:17" ht="37.5" customHeight="1" x14ac:dyDescent="0.25">
      <c r="A157" s="50" t="s">
        <v>226</v>
      </c>
      <c r="B157" s="49" t="s">
        <v>227</v>
      </c>
      <c r="C157" s="701">
        <v>1030</v>
      </c>
      <c r="D157" s="24" t="s">
        <v>228</v>
      </c>
      <c r="E157" s="37">
        <f>E158</f>
        <v>164690</v>
      </c>
      <c r="F157" s="37">
        <f>F158</f>
        <v>60125</v>
      </c>
      <c r="G157" s="203">
        <f t="shared" si="1"/>
        <v>0.36507984698524498</v>
      </c>
      <c r="H157" s="7">
        <v>0</v>
      </c>
      <c r="I157" s="7">
        <v>0</v>
      </c>
      <c r="J157" s="202"/>
      <c r="K157" s="186">
        <f t="shared" si="20"/>
        <v>164690</v>
      </c>
      <c r="L157" s="186">
        <f t="shared" si="21"/>
        <v>60125</v>
      </c>
      <c r="M157" s="361">
        <f t="shared" si="11"/>
        <v>0.36507984698524498</v>
      </c>
      <c r="N157" s="439"/>
      <c r="O157" s="439"/>
      <c r="P157" s="439"/>
      <c r="Q157" s="439"/>
    </row>
    <row r="158" spans="1:17" x14ac:dyDescent="0.25">
      <c r="A158" s="50"/>
      <c r="B158" s="49"/>
      <c r="C158" s="701"/>
      <c r="D158" s="353" t="s">
        <v>404</v>
      </c>
      <c r="E158" s="37">
        <v>164690</v>
      </c>
      <c r="F158" s="37">
        <v>60125</v>
      </c>
      <c r="G158" s="203">
        <f t="shared" si="1"/>
        <v>0.36507984698524498</v>
      </c>
      <c r="H158" s="7"/>
      <c r="I158" s="7"/>
      <c r="J158" s="202"/>
      <c r="K158" s="186">
        <f t="shared" si="20"/>
        <v>164690</v>
      </c>
      <c r="L158" s="186">
        <f t="shared" si="21"/>
        <v>60125</v>
      </c>
      <c r="M158" s="361">
        <f t="shared" si="11"/>
        <v>0.36507984698524498</v>
      </c>
      <c r="N158" s="439"/>
      <c r="O158" s="439"/>
      <c r="P158" s="439"/>
      <c r="Q158" s="439"/>
    </row>
    <row r="159" spans="1:17" s="591" customFormat="1" ht="41.25" customHeight="1" x14ac:dyDescent="0.25">
      <c r="A159" s="50" t="s">
        <v>163</v>
      </c>
      <c r="B159" s="49" t="s">
        <v>164</v>
      </c>
      <c r="C159" s="49" t="s">
        <v>44</v>
      </c>
      <c r="D159" s="357" t="s">
        <v>165</v>
      </c>
      <c r="E159" s="37">
        <f>E160</f>
        <v>4346770</v>
      </c>
      <c r="F159" s="37">
        <f>F160</f>
        <v>4338059.9400000004</v>
      </c>
      <c r="G159" s="203">
        <f t="shared" si="1"/>
        <v>0.99799619947685303</v>
      </c>
      <c r="H159" s="7">
        <f>H163</f>
        <v>312000</v>
      </c>
      <c r="I159" s="7">
        <f>I163+I160</f>
        <v>483708.42</v>
      </c>
      <c r="J159" s="202">
        <f t="shared" si="8"/>
        <v>1.5503475</v>
      </c>
      <c r="K159" s="186">
        <f t="shared" si="20"/>
        <v>4658770</v>
      </c>
      <c r="L159" s="186">
        <f>F159+I159</f>
        <v>4821768.3600000003</v>
      </c>
      <c r="M159" s="361">
        <f t="shared" si="11"/>
        <v>1.0349874237191363</v>
      </c>
      <c r="N159" s="590"/>
      <c r="O159" s="590"/>
      <c r="P159" s="590"/>
      <c r="Q159" s="590"/>
    </row>
    <row r="160" spans="1:17" s="591" customFormat="1" x14ac:dyDescent="0.25">
      <c r="A160" s="50"/>
      <c r="B160" s="49"/>
      <c r="C160" s="49"/>
      <c r="D160" s="437" t="s">
        <v>404</v>
      </c>
      <c r="E160" s="37">
        <v>4346770</v>
      </c>
      <c r="F160" s="37">
        <v>4338059.9400000004</v>
      </c>
      <c r="G160" s="203">
        <f t="shared" si="1"/>
        <v>0.99799619947685303</v>
      </c>
      <c r="H160" s="7"/>
      <c r="I160" s="7">
        <v>30000</v>
      </c>
      <c r="J160" s="203"/>
      <c r="K160" s="186">
        <f t="shared" si="20"/>
        <v>4346770</v>
      </c>
      <c r="L160" s="186">
        <f>F160+I160</f>
        <v>4368059.9400000004</v>
      </c>
      <c r="M160" s="361">
        <f t="shared" si="11"/>
        <v>1.0048978758940548</v>
      </c>
      <c r="N160" s="590"/>
      <c r="O160" s="590"/>
      <c r="P160" s="590"/>
      <c r="Q160" s="590"/>
    </row>
    <row r="161" spans="1:17" s="591" customFormat="1" x14ac:dyDescent="0.25">
      <c r="A161" s="50"/>
      <c r="B161" s="49"/>
      <c r="C161" s="49"/>
      <c r="D161" s="357" t="s">
        <v>405</v>
      </c>
      <c r="E161" s="37">
        <v>4024415</v>
      </c>
      <c r="F161" s="37">
        <v>4018909.24</v>
      </c>
      <c r="G161" s="203">
        <f t="shared" si="1"/>
        <v>0.99863191047642952</v>
      </c>
      <c r="H161" s="7"/>
      <c r="I161" s="7"/>
      <c r="J161" s="202"/>
      <c r="K161" s="186">
        <f t="shared" si="20"/>
        <v>4024415</v>
      </c>
      <c r="L161" s="186">
        <f t="shared" si="21"/>
        <v>4018909.24</v>
      </c>
      <c r="M161" s="360">
        <f t="shared" si="11"/>
        <v>0.99863191047642952</v>
      </c>
      <c r="N161" s="590"/>
      <c r="O161" s="590"/>
      <c r="P161" s="590"/>
      <c r="Q161" s="590"/>
    </row>
    <row r="162" spans="1:17" s="591" customFormat="1" ht="45.75" customHeight="1" x14ac:dyDescent="0.25">
      <c r="A162" s="50"/>
      <c r="B162" s="49"/>
      <c r="C162" s="49"/>
      <c r="D162" s="357" t="s">
        <v>406</v>
      </c>
      <c r="E162" s="37">
        <v>92250</v>
      </c>
      <c r="F162" s="37">
        <v>92169.3</v>
      </c>
      <c r="G162" s="203">
        <f t="shared" si="1"/>
        <v>0.99912520325203258</v>
      </c>
      <c r="H162" s="7"/>
      <c r="I162" s="7"/>
      <c r="J162" s="202"/>
      <c r="K162" s="186">
        <f t="shared" si="20"/>
        <v>92250</v>
      </c>
      <c r="L162" s="186">
        <f t="shared" si="21"/>
        <v>92169.3</v>
      </c>
      <c r="M162" s="361">
        <f t="shared" si="11"/>
        <v>0.99912520325203258</v>
      </c>
      <c r="N162" s="590"/>
      <c r="O162" s="590"/>
      <c r="P162" s="590"/>
      <c r="Q162" s="590"/>
    </row>
    <row r="163" spans="1:17" s="591" customFormat="1" ht="21" customHeight="1" x14ac:dyDescent="0.25">
      <c r="A163" s="50"/>
      <c r="B163" s="49"/>
      <c r="C163" s="49"/>
      <c r="D163" s="437" t="s">
        <v>407</v>
      </c>
      <c r="E163" s="37"/>
      <c r="F163" s="37"/>
      <c r="G163" s="203"/>
      <c r="H163" s="7">
        <f>H164</f>
        <v>312000</v>
      </c>
      <c r="I163" s="7">
        <v>453708.42</v>
      </c>
      <c r="J163" s="202">
        <f t="shared" si="8"/>
        <v>1.4541936538461537</v>
      </c>
      <c r="K163" s="186">
        <f t="shared" si="20"/>
        <v>312000</v>
      </c>
      <c r="L163" s="186">
        <f>F163+I163</f>
        <v>453708.42</v>
      </c>
      <c r="M163" s="361">
        <f t="shared" si="11"/>
        <v>1.4541936538461537</v>
      </c>
      <c r="N163" s="590"/>
      <c r="O163" s="590"/>
      <c r="P163" s="590"/>
      <c r="Q163" s="590"/>
    </row>
    <row r="164" spans="1:17" s="591" customFormat="1" ht="20.25" customHeight="1" x14ac:dyDescent="0.25">
      <c r="A164" s="50"/>
      <c r="B164" s="49"/>
      <c r="C164" s="49"/>
      <c r="D164" s="357" t="s">
        <v>408</v>
      </c>
      <c r="E164" s="37"/>
      <c r="F164" s="37"/>
      <c r="G164" s="203"/>
      <c r="H164" s="7">
        <v>312000</v>
      </c>
      <c r="I164" s="7">
        <v>311432.8</v>
      </c>
      <c r="J164" s="202">
        <f t="shared" si="8"/>
        <v>0.99818205128205129</v>
      </c>
      <c r="K164" s="186">
        <f t="shared" si="20"/>
        <v>312000</v>
      </c>
      <c r="L164" s="186">
        <f t="shared" si="21"/>
        <v>311432.8</v>
      </c>
      <c r="M164" s="361">
        <f t="shared" si="11"/>
        <v>0.99818205128205129</v>
      </c>
      <c r="N164" s="590"/>
      <c r="O164" s="590"/>
      <c r="P164" s="590"/>
      <c r="Q164" s="590"/>
    </row>
    <row r="165" spans="1:17" ht="109.5" customHeight="1" x14ac:dyDescent="0.25">
      <c r="A165" s="700" t="s">
        <v>166</v>
      </c>
      <c r="B165" s="701" t="s">
        <v>167</v>
      </c>
      <c r="C165" s="701" t="s">
        <v>44</v>
      </c>
      <c r="D165" s="24" t="s">
        <v>168</v>
      </c>
      <c r="E165" s="37">
        <f>E166</f>
        <v>215221</v>
      </c>
      <c r="F165" s="37">
        <f>F166</f>
        <v>200380.01</v>
      </c>
      <c r="G165" s="203">
        <f t="shared" si="1"/>
        <v>0.93104302089480118</v>
      </c>
      <c r="H165" s="7">
        <v>0</v>
      </c>
      <c r="I165" s="7">
        <v>0</v>
      </c>
      <c r="J165" s="202"/>
      <c r="K165" s="186">
        <f t="shared" si="20"/>
        <v>215221</v>
      </c>
      <c r="L165" s="186">
        <f t="shared" si="21"/>
        <v>200380.01</v>
      </c>
      <c r="M165" s="361">
        <f t="shared" si="11"/>
        <v>0.93104302089480118</v>
      </c>
      <c r="N165" s="439"/>
      <c r="O165" s="439"/>
      <c r="P165" s="439"/>
      <c r="Q165" s="439"/>
    </row>
    <row r="166" spans="1:17" ht="21" customHeight="1" x14ac:dyDescent="0.25">
      <c r="A166" s="700"/>
      <c r="B166" s="701"/>
      <c r="C166" s="701"/>
      <c r="D166" s="353" t="s">
        <v>404</v>
      </c>
      <c r="E166" s="37">
        <v>215221</v>
      </c>
      <c r="F166" s="37">
        <v>200380.01</v>
      </c>
      <c r="G166" s="203">
        <f t="shared" si="1"/>
        <v>0.93104302089480118</v>
      </c>
      <c r="H166" s="7"/>
      <c r="I166" s="7"/>
      <c r="J166" s="202"/>
      <c r="K166" s="186">
        <f t="shared" si="20"/>
        <v>215221</v>
      </c>
      <c r="L166" s="186">
        <f t="shared" si="21"/>
        <v>200380.01</v>
      </c>
      <c r="M166" s="361">
        <f t="shared" si="11"/>
        <v>0.93104302089480118</v>
      </c>
      <c r="N166" s="439"/>
      <c r="O166" s="439"/>
      <c r="P166" s="439"/>
      <c r="Q166" s="439"/>
    </row>
    <row r="167" spans="1:17" ht="72" customHeight="1" x14ac:dyDescent="0.25">
      <c r="A167" s="50" t="s">
        <v>229</v>
      </c>
      <c r="B167" s="49" t="s">
        <v>230</v>
      </c>
      <c r="C167" s="49" t="s">
        <v>44</v>
      </c>
      <c r="D167" s="358" t="s">
        <v>231</v>
      </c>
      <c r="E167" s="37">
        <f>E168</f>
        <v>17623</v>
      </c>
      <c r="F167" s="37">
        <f>F168</f>
        <v>13410.6</v>
      </c>
      <c r="G167" s="203">
        <f t="shared" si="1"/>
        <v>0.76097145775407138</v>
      </c>
      <c r="H167" s="7"/>
      <c r="I167" s="7">
        <v>0</v>
      </c>
      <c r="J167" s="202"/>
      <c r="K167" s="186">
        <f t="shared" si="20"/>
        <v>17623</v>
      </c>
      <c r="L167" s="186">
        <f t="shared" si="21"/>
        <v>13410.6</v>
      </c>
      <c r="M167" s="361">
        <f t="shared" si="11"/>
        <v>0.76097145775407138</v>
      </c>
      <c r="N167" s="439"/>
      <c r="O167" s="439"/>
      <c r="P167" s="439"/>
      <c r="Q167" s="439"/>
    </row>
    <row r="168" spans="1:17" ht="18.75" customHeight="1" x14ac:dyDescent="0.25">
      <c r="A168" s="50"/>
      <c r="B168" s="49"/>
      <c r="C168" s="49"/>
      <c r="D168" s="353" t="s">
        <v>404</v>
      </c>
      <c r="E168" s="37">
        <v>17623</v>
      </c>
      <c r="F168" s="37">
        <v>13410.6</v>
      </c>
      <c r="G168" s="203">
        <f t="shared" si="1"/>
        <v>0.76097145775407138</v>
      </c>
      <c r="H168" s="7"/>
      <c r="I168" s="7"/>
      <c r="J168" s="202"/>
      <c r="K168" s="186">
        <f t="shared" si="20"/>
        <v>17623</v>
      </c>
      <c r="L168" s="186">
        <f t="shared" si="21"/>
        <v>13410.6</v>
      </c>
      <c r="M168" s="361">
        <f t="shared" si="11"/>
        <v>0.76097145775407138</v>
      </c>
      <c r="N168" s="439"/>
      <c r="O168" s="439"/>
      <c r="P168" s="439"/>
      <c r="Q168" s="439"/>
    </row>
    <row r="169" spans="1:17" ht="108" customHeight="1" x14ac:dyDescent="0.25">
      <c r="A169" s="50" t="s">
        <v>519</v>
      </c>
      <c r="B169" s="49" t="s">
        <v>520</v>
      </c>
      <c r="C169" s="49" t="s">
        <v>68</v>
      </c>
      <c r="D169" s="354" t="s">
        <v>518</v>
      </c>
      <c r="E169" s="37">
        <f>E170</f>
        <v>295047</v>
      </c>
      <c r="F169" s="37">
        <f>F170</f>
        <v>0</v>
      </c>
      <c r="G169" s="203">
        <f t="shared" si="1"/>
        <v>0</v>
      </c>
      <c r="H169" s="7"/>
      <c r="I169" s="7"/>
      <c r="J169" s="202"/>
      <c r="K169" s="186">
        <f t="shared" si="20"/>
        <v>295047</v>
      </c>
      <c r="L169" s="186">
        <f t="shared" si="21"/>
        <v>0</v>
      </c>
      <c r="M169" s="361">
        <f t="shared" si="11"/>
        <v>0</v>
      </c>
      <c r="N169" s="439"/>
      <c r="O169" s="439"/>
      <c r="P169" s="439"/>
      <c r="Q169" s="439"/>
    </row>
    <row r="170" spans="1:17" ht="19.5" customHeight="1" x14ac:dyDescent="0.25">
      <c r="A170" s="50"/>
      <c r="B170" s="49"/>
      <c r="C170" s="49"/>
      <c r="D170" s="353" t="s">
        <v>404</v>
      </c>
      <c r="E170" s="37">
        <v>295047</v>
      </c>
      <c r="F170" s="37">
        <v>0</v>
      </c>
      <c r="G170" s="203">
        <f t="shared" si="1"/>
        <v>0</v>
      </c>
      <c r="H170" s="7"/>
      <c r="I170" s="7"/>
      <c r="J170" s="203"/>
      <c r="K170" s="186">
        <f t="shared" si="20"/>
        <v>295047</v>
      </c>
      <c r="L170" s="186">
        <f t="shared" si="21"/>
        <v>0</v>
      </c>
      <c r="M170" s="361">
        <f t="shared" si="11"/>
        <v>0</v>
      </c>
      <c r="N170" s="439"/>
      <c r="O170" s="439"/>
      <c r="P170" s="439"/>
      <c r="Q170" s="439"/>
    </row>
    <row r="171" spans="1:17" ht="21.75" customHeight="1" x14ac:dyDescent="0.25">
      <c r="A171" s="50"/>
      <c r="B171" s="49"/>
      <c r="C171" s="49"/>
      <c r="D171" s="354" t="s">
        <v>405</v>
      </c>
      <c r="E171" s="37">
        <v>295047</v>
      </c>
      <c r="F171" s="37">
        <v>0</v>
      </c>
      <c r="G171" s="203">
        <f t="shared" si="1"/>
        <v>0</v>
      </c>
      <c r="H171" s="7"/>
      <c r="I171" s="7"/>
      <c r="J171" s="202"/>
      <c r="K171" s="186">
        <f t="shared" si="20"/>
        <v>295047</v>
      </c>
      <c r="L171" s="186">
        <f t="shared" si="21"/>
        <v>0</v>
      </c>
      <c r="M171" s="360">
        <f t="shared" si="11"/>
        <v>0</v>
      </c>
      <c r="N171" s="439"/>
      <c r="O171" s="439"/>
      <c r="P171" s="439"/>
      <c r="Q171" s="439"/>
    </row>
    <row r="172" spans="1:17" ht="408.75" customHeight="1" x14ac:dyDescent="0.25">
      <c r="A172" s="50" t="s">
        <v>692</v>
      </c>
      <c r="B172" s="49" t="s">
        <v>693</v>
      </c>
      <c r="C172" s="49" t="s">
        <v>694</v>
      </c>
      <c r="D172" s="820" t="s">
        <v>695</v>
      </c>
      <c r="E172" s="37"/>
      <c r="F172" s="37"/>
      <c r="G172" s="203"/>
      <c r="H172" s="7">
        <f>H173</f>
        <v>2534226</v>
      </c>
      <c r="I172" s="7">
        <f>I173</f>
        <v>2534225.9</v>
      </c>
      <c r="J172" s="202">
        <f t="shared" si="8"/>
        <v>0.99999996054022011</v>
      </c>
      <c r="K172" s="186">
        <f t="shared" si="20"/>
        <v>2534226</v>
      </c>
      <c r="L172" s="186">
        <f t="shared" si="21"/>
        <v>2534225.9</v>
      </c>
      <c r="M172" s="361">
        <f t="shared" si="11"/>
        <v>0.99999996054022011</v>
      </c>
      <c r="N172" s="439"/>
      <c r="O172" s="439"/>
      <c r="P172" s="439"/>
      <c r="Q172" s="439"/>
    </row>
    <row r="173" spans="1:17" ht="14.45" customHeight="1" x14ac:dyDescent="0.25">
      <c r="A173" s="50"/>
      <c r="B173" s="49"/>
      <c r="C173" s="49"/>
      <c r="D173" s="355" t="s">
        <v>407</v>
      </c>
      <c r="E173" s="37"/>
      <c r="F173" s="37"/>
      <c r="G173" s="203"/>
      <c r="H173" s="7">
        <v>2534226</v>
      </c>
      <c r="I173" s="7">
        <v>2534225.9</v>
      </c>
      <c r="J173" s="202">
        <f t="shared" si="8"/>
        <v>0.99999996054022011</v>
      </c>
      <c r="K173" s="186">
        <f t="shared" si="20"/>
        <v>2534226</v>
      </c>
      <c r="L173" s="186">
        <f t="shared" si="21"/>
        <v>2534225.9</v>
      </c>
      <c r="M173" s="361">
        <f t="shared" si="11"/>
        <v>0.99999996054022011</v>
      </c>
      <c r="N173" s="439"/>
      <c r="O173" s="439"/>
      <c r="P173" s="439"/>
      <c r="Q173" s="439"/>
    </row>
    <row r="174" spans="1:17" ht="17.45" customHeight="1" x14ac:dyDescent="0.25">
      <c r="A174" s="50"/>
      <c r="B174" s="49"/>
      <c r="C174" s="49"/>
      <c r="D174" s="356" t="s">
        <v>408</v>
      </c>
      <c r="E174" s="37"/>
      <c r="F174" s="37"/>
      <c r="G174" s="203"/>
      <c r="H174" s="7">
        <v>2534226</v>
      </c>
      <c r="I174" s="7">
        <v>2534225.9</v>
      </c>
      <c r="J174" s="202">
        <f t="shared" si="8"/>
        <v>0.99999996054022011</v>
      </c>
      <c r="K174" s="186">
        <f t="shared" si="20"/>
        <v>2534226</v>
      </c>
      <c r="L174" s="186">
        <f t="shared" si="21"/>
        <v>2534225.9</v>
      </c>
      <c r="M174" s="361">
        <f t="shared" si="11"/>
        <v>0.99999996054022011</v>
      </c>
      <c r="N174" s="439"/>
      <c r="O174" s="439"/>
      <c r="P174" s="439"/>
      <c r="Q174" s="439"/>
    </row>
    <row r="175" spans="1:17" ht="63" x14ac:dyDescent="0.25">
      <c r="A175" s="700" t="s">
        <v>169</v>
      </c>
      <c r="B175" s="701" t="s">
        <v>170</v>
      </c>
      <c r="C175" s="701" t="s">
        <v>72</v>
      </c>
      <c r="D175" s="24" t="s">
        <v>521</v>
      </c>
      <c r="E175" s="37">
        <f>E176</f>
        <v>5692104</v>
      </c>
      <c r="F175" s="37">
        <f>F176</f>
        <v>5619121.2800000003</v>
      </c>
      <c r="G175" s="203">
        <f t="shared" si="1"/>
        <v>0.98717825254071256</v>
      </c>
      <c r="H175" s="7">
        <f>H176+H179</f>
        <v>95800</v>
      </c>
      <c r="I175" s="7">
        <f>I176+I179</f>
        <v>74322.679999999993</v>
      </c>
      <c r="J175" s="203">
        <f t="shared" si="8"/>
        <v>0.77581085594989552</v>
      </c>
      <c r="K175" s="186">
        <f t="shared" si="20"/>
        <v>5787904</v>
      </c>
      <c r="L175" s="186">
        <f t="shared" si="21"/>
        <v>5693443.96</v>
      </c>
      <c r="M175" s="361">
        <f t="shared" si="11"/>
        <v>0.98367975004423014</v>
      </c>
      <c r="N175" s="439"/>
      <c r="O175" s="439"/>
      <c r="P175" s="439"/>
      <c r="Q175" s="439"/>
    </row>
    <row r="176" spans="1:17" x14ac:dyDescent="0.25">
      <c r="A176" s="35"/>
      <c r="B176" s="36"/>
      <c r="C176" s="36"/>
      <c r="D176" s="353" t="s">
        <v>404</v>
      </c>
      <c r="E176" s="38">
        <v>5692104</v>
      </c>
      <c r="F176" s="38">
        <v>5619121.2800000003</v>
      </c>
      <c r="G176" s="203">
        <f t="shared" si="1"/>
        <v>0.98717825254071256</v>
      </c>
      <c r="H176" s="12">
        <v>15000</v>
      </c>
      <c r="I176" s="12">
        <v>28322.68</v>
      </c>
      <c r="J176" s="203">
        <f t="shared" si="8"/>
        <v>1.8881786666666667</v>
      </c>
      <c r="K176" s="186">
        <f t="shared" si="20"/>
        <v>5707104</v>
      </c>
      <c r="L176" s="186">
        <f t="shared" si="21"/>
        <v>5647443.96</v>
      </c>
      <c r="M176" s="361">
        <f t="shared" si="11"/>
        <v>0.9895463548587865</v>
      </c>
      <c r="N176" s="439"/>
      <c r="O176" s="439"/>
      <c r="P176" s="439"/>
      <c r="Q176" s="439"/>
    </row>
    <row r="177" spans="1:17" x14ac:dyDescent="0.25">
      <c r="A177" s="35"/>
      <c r="B177" s="36"/>
      <c r="C177" s="36"/>
      <c r="D177" s="354" t="s">
        <v>405</v>
      </c>
      <c r="E177" s="38">
        <v>5218271</v>
      </c>
      <c r="F177" s="38">
        <v>5182329.62</v>
      </c>
      <c r="G177" s="203">
        <f t="shared" si="1"/>
        <v>0.99311239680729502</v>
      </c>
      <c r="H177" s="12"/>
      <c r="I177" s="12"/>
      <c r="J177" s="203"/>
      <c r="K177" s="186">
        <f t="shared" si="20"/>
        <v>5218271</v>
      </c>
      <c r="L177" s="186">
        <f t="shared" si="21"/>
        <v>5182329.62</v>
      </c>
      <c r="M177" s="361">
        <f t="shared" si="11"/>
        <v>0.99311239680729502</v>
      </c>
      <c r="N177" s="439"/>
      <c r="O177" s="439"/>
      <c r="P177" s="439"/>
      <c r="Q177" s="439"/>
    </row>
    <row r="178" spans="1:17" ht="31.5" x14ac:dyDescent="0.25">
      <c r="A178" s="35"/>
      <c r="B178" s="36"/>
      <c r="C178" s="36"/>
      <c r="D178" s="354" t="s">
        <v>406</v>
      </c>
      <c r="E178" s="38">
        <v>101974</v>
      </c>
      <c r="F178" s="38">
        <v>65346.15</v>
      </c>
      <c r="G178" s="203">
        <f t="shared" si="1"/>
        <v>0.64081187361484304</v>
      </c>
      <c r="H178" s="12"/>
      <c r="I178" s="12"/>
      <c r="J178" s="203"/>
      <c r="K178" s="186">
        <f t="shared" si="20"/>
        <v>101974</v>
      </c>
      <c r="L178" s="186">
        <f t="shared" si="21"/>
        <v>65346.15</v>
      </c>
      <c r="M178" s="361">
        <f t="shared" si="11"/>
        <v>0.64081187361484304</v>
      </c>
      <c r="N178" s="439"/>
      <c r="O178" s="439"/>
      <c r="P178" s="439"/>
      <c r="Q178" s="439"/>
    </row>
    <row r="179" spans="1:17" x14ac:dyDescent="0.25">
      <c r="A179" s="35"/>
      <c r="B179" s="36"/>
      <c r="C179" s="36"/>
      <c r="D179" s="355" t="s">
        <v>407</v>
      </c>
      <c r="E179" s="38"/>
      <c r="F179" s="38"/>
      <c r="G179" s="204"/>
      <c r="H179" s="12">
        <f>H180</f>
        <v>80800</v>
      </c>
      <c r="I179" s="12">
        <f>I180</f>
        <v>46000</v>
      </c>
      <c r="J179" s="203">
        <f t="shared" si="8"/>
        <v>0.56930693069306926</v>
      </c>
      <c r="K179" s="186">
        <f t="shared" si="20"/>
        <v>80800</v>
      </c>
      <c r="L179" s="186">
        <f t="shared" si="21"/>
        <v>46000</v>
      </c>
      <c r="M179" s="361">
        <f t="shared" si="11"/>
        <v>0.56930693069306926</v>
      </c>
      <c r="N179" s="439"/>
      <c r="O179" s="439"/>
      <c r="P179" s="439"/>
      <c r="Q179" s="439"/>
    </row>
    <row r="180" spans="1:17" x14ac:dyDescent="0.25">
      <c r="A180" s="35"/>
      <c r="B180" s="36"/>
      <c r="C180" s="36"/>
      <c r="D180" s="356" t="s">
        <v>408</v>
      </c>
      <c r="E180" s="38"/>
      <c r="F180" s="38"/>
      <c r="G180" s="204"/>
      <c r="H180" s="12">
        <v>80800</v>
      </c>
      <c r="I180" s="12">
        <v>46000</v>
      </c>
      <c r="J180" s="203">
        <f t="shared" si="8"/>
        <v>0.56930693069306926</v>
      </c>
      <c r="K180" s="186">
        <f t="shared" si="20"/>
        <v>80800</v>
      </c>
      <c r="L180" s="186">
        <f t="shared" si="21"/>
        <v>46000</v>
      </c>
      <c r="M180" s="361">
        <f t="shared" si="11"/>
        <v>0.56930693069306926</v>
      </c>
      <c r="N180" s="439"/>
      <c r="O180" s="439"/>
      <c r="P180" s="439"/>
      <c r="Q180" s="439"/>
    </row>
    <row r="181" spans="1:17" s="591" customFormat="1" ht="31.5" x14ac:dyDescent="0.25">
      <c r="A181" s="35" t="s">
        <v>73</v>
      </c>
      <c r="B181" s="36" t="s">
        <v>74</v>
      </c>
      <c r="C181" s="36" t="s">
        <v>72</v>
      </c>
      <c r="D181" s="31" t="s">
        <v>75</v>
      </c>
      <c r="E181" s="38">
        <f>E182</f>
        <v>35196676</v>
      </c>
      <c r="F181" s="38">
        <f>F182</f>
        <v>32606892</v>
      </c>
      <c r="G181" s="204">
        <f t="shared" si="1"/>
        <v>0.92641964258215748</v>
      </c>
      <c r="H181" s="12">
        <v>0</v>
      </c>
      <c r="I181" s="12">
        <f>I182+I183</f>
        <v>1776901.28</v>
      </c>
      <c r="J181" s="203">
        <v>0</v>
      </c>
      <c r="K181" s="186">
        <f t="shared" si="20"/>
        <v>35196676</v>
      </c>
      <c r="L181" s="186">
        <f>F181+I181</f>
        <v>34383793.280000001</v>
      </c>
      <c r="M181" s="361">
        <f t="shared" si="11"/>
        <v>0.97690455996469672</v>
      </c>
      <c r="N181" s="590"/>
      <c r="O181" s="590"/>
      <c r="P181" s="590"/>
      <c r="Q181" s="590"/>
    </row>
    <row r="182" spans="1:17" s="591" customFormat="1" x14ac:dyDescent="0.25">
      <c r="A182" s="35"/>
      <c r="B182" s="36"/>
      <c r="C182" s="36"/>
      <c r="D182" s="355" t="s">
        <v>404</v>
      </c>
      <c r="E182" s="38">
        <v>35196676</v>
      </c>
      <c r="F182" s="38">
        <v>32606892</v>
      </c>
      <c r="G182" s="204">
        <f t="shared" si="1"/>
        <v>0.92641964258215748</v>
      </c>
      <c r="H182" s="12"/>
      <c r="I182" s="12">
        <v>800872</v>
      </c>
      <c r="J182" s="203">
        <v>0</v>
      </c>
      <c r="K182" s="189">
        <f t="shared" si="20"/>
        <v>35196676</v>
      </c>
      <c r="L182" s="189">
        <f>F182+I182</f>
        <v>33407764</v>
      </c>
      <c r="M182" s="361">
        <f t="shared" si="11"/>
        <v>0.94917383675663014</v>
      </c>
      <c r="N182" s="590"/>
      <c r="O182" s="590"/>
      <c r="P182" s="590"/>
      <c r="Q182" s="590"/>
    </row>
    <row r="183" spans="1:17" s="591" customFormat="1" x14ac:dyDescent="0.25">
      <c r="A183" s="35"/>
      <c r="B183" s="36"/>
      <c r="C183" s="36"/>
      <c r="D183" s="437" t="s">
        <v>407</v>
      </c>
      <c r="E183" s="38"/>
      <c r="F183" s="38"/>
      <c r="G183" s="204"/>
      <c r="H183" s="12"/>
      <c r="I183" s="12">
        <v>976029.28</v>
      </c>
      <c r="J183" s="203">
        <v>0</v>
      </c>
      <c r="K183" s="189">
        <f t="shared" si="20"/>
        <v>0</v>
      </c>
      <c r="L183" s="189">
        <f>F183+I183</f>
        <v>976029.28</v>
      </c>
      <c r="M183" s="361" t="e">
        <f t="shared" si="11"/>
        <v>#DIV/0!</v>
      </c>
      <c r="N183" s="590"/>
      <c r="O183" s="590"/>
      <c r="P183" s="590"/>
      <c r="Q183" s="590"/>
    </row>
    <row r="184" spans="1:17" s="591" customFormat="1" x14ac:dyDescent="0.25">
      <c r="A184" s="35"/>
      <c r="B184" s="36"/>
      <c r="C184" s="36"/>
      <c r="D184" s="357" t="s">
        <v>408</v>
      </c>
      <c r="E184" s="38"/>
      <c r="F184" s="38"/>
      <c r="G184" s="204"/>
      <c r="H184" s="12"/>
      <c r="I184" s="12"/>
      <c r="J184" s="204"/>
      <c r="K184" s="189"/>
      <c r="L184" s="189"/>
      <c r="M184" s="361"/>
      <c r="N184" s="590"/>
      <c r="O184" s="590"/>
      <c r="P184" s="590"/>
      <c r="Q184" s="590"/>
    </row>
    <row r="185" spans="1:17" s="42" customFormat="1" x14ac:dyDescent="0.25">
      <c r="A185" s="922">
        <v>819770</v>
      </c>
      <c r="B185" s="924">
        <v>9770</v>
      </c>
      <c r="C185" s="924">
        <v>180</v>
      </c>
      <c r="D185" s="354" t="s">
        <v>492</v>
      </c>
      <c r="E185" s="37">
        <f>E186</f>
        <v>21363</v>
      </c>
      <c r="F185" s="37">
        <f>F186</f>
        <v>21363</v>
      </c>
      <c r="G185" s="203">
        <f t="shared" si="1"/>
        <v>1</v>
      </c>
      <c r="H185" s="7"/>
      <c r="I185" s="7"/>
      <c r="J185" s="203"/>
      <c r="K185" s="7">
        <f t="shared" si="20"/>
        <v>21363</v>
      </c>
      <c r="L185" s="7">
        <f t="shared" si="21"/>
        <v>21363</v>
      </c>
      <c r="M185" s="360">
        <f t="shared" si="11"/>
        <v>1</v>
      </c>
      <c r="N185" s="573"/>
      <c r="O185" s="573"/>
      <c r="P185" s="573"/>
      <c r="Q185" s="573"/>
    </row>
    <row r="186" spans="1:17" ht="16.5" thickBot="1" x14ac:dyDescent="0.3">
      <c r="A186" s="35"/>
      <c r="B186" s="36"/>
      <c r="C186" s="36"/>
      <c r="D186" s="355" t="s">
        <v>404</v>
      </c>
      <c r="E186" s="38">
        <v>21363</v>
      </c>
      <c r="F186" s="38">
        <v>21363</v>
      </c>
      <c r="G186" s="204">
        <f t="shared" si="1"/>
        <v>1</v>
      </c>
      <c r="H186" s="12"/>
      <c r="I186" s="12"/>
      <c r="J186" s="204"/>
      <c r="K186" s="12">
        <f t="shared" si="20"/>
        <v>21363</v>
      </c>
      <c r="L186" s="12">
        <f t="shared" si="21"/>
        <v>21363</v>
      </c>
      <c r="M186" s="361">
        <f t="shared" si="11"/>
        <v>1</v>
      </c>
      <c r="N186" s="439"/>
      <c r="O186" s="439"/>
      <c r="P186" s="439"/>
      <c r="Q186" s="439"/>
    </row>
    <row r="187" spans="1:17" ht="45.75" customHeight="1" thickBot="1" x14ac:dyDescent="0.3">
      <c r="A187" s="32" t="s">
        <v>76</v>
      </c>
      <c r="B187" s="33" t="s">
        <v>14</v>
      </c>
      <c r="C187" s="33" t="s">
        <v>14</v>
      </c>
      <c r="D187" s="34" t="s">
        <v>440</v>
      </c>
      <c r="E187" s="51">
        <f>E188</f>
        <v>2713579</v>
      </c>
      <c r="F187" s="51">
        <f>F188</f>
        <v>2700581.85</v>
      </c>
      <c r="G187" s="201">
        <f t="shared" si="1"/>
        <v>0.99521032923677555</v>
      </c>
      <c r="H187" s="51">
        <f>H188</f>
        <v>23000</v>
      </c>
      <c r="I187" s="51">
        <f>I188</f>
        <v>23000</v>
      </c>
      <c r="J187" s="201">
        <f t="shared" si="8"/>
        <v>1</v>
      </c>
      <c r="K187" s="199">
        <f>K188</f>
        <v>2736579</v>
      </c>
      <c r="L187" s="199">
        <f>L188</f>
        <v>2723581.85</v>
      </c>
      <c r="M187" s="209">
        <f t="shared" si="11"/>
        <v>0.99525058476294681</v>
      </c>
      <c r="N187" s="439"/>
      <c r="O187" s="439"/>
      <c r="P187" s="439"/>
      <c r="Q187" s="439"/>
    </row>
    <row r="188" spans="1:17" ht="47.25" x14ac:dyDescent="0.25">
      <c r="A188" s="45" t="s">
        <v>77</v>
      </c>
      <c r="B188" s="46" t="s">
        <v>14</v>
      </c>
      <c r="C188" s="46" t="s">
        <v>14</v>
      </c>
      <c r="D188" s="47" t="s">
        <v>440</v>
      </c>
      <c r="E188" s="39">
        <f>E189+E194</f>
        <v>2713579</v>
      </c>
      <c r="F188" s="39">
        <f>F189+F194</f>
        <v>2700581.85</v>
      </c>
      <c r="G188" s="202">
        <f t="shared" si="1"/>
        <v>0.99521032923677555</v>
      </c>
      <c r="H188" s="39">
        <f>H189</f>
        <v>23000</v>
      </c>
      <c r="I188" s="39">
        <f>I189</f>
        <v>23000</v>
      </c>
      <c r="J188" s="202">
        <f t="shared" si="8"/>
        <v>1</v>
      </c>
      <c r="K188" s="200">
        <f>K189+K194</f>
        <v>2736579</v>
      </c>
      <c r="L188" s="200">
        <f>L189+L194</f>
        <v>2723581.85</v>
      </c>
      <c r="M188" s="362">
        <f t="shared" si="11"/>
        <v>0.99525058476294681</v>
      </c>
      <c r="N188" s="439"/>
      <c r="O188" s="439"/>
      <c r="P188" s="439"/>
      <c r="Q188" s="439"/>
    </row>
    <row r="189" spans="1:17" ht="47.25" x14ac:dyDescent="0.25">
      <c r="A189" s="700" t="s">
        <v>171</v>
      </c>
      <c r="B189" s="701" t="s">
        <v>42</v>
      </c>
      <c r="C189" s="701" t="s">
        <v>16</v>
      </c>
      <c r="D189" s="24" t="s">
        <v>156</v>
      </c>
      <c r="E189" s="37">
        <f>E190</f>
        <v>2618579</v>
      </c>
      <c r="F189" s="37">
        <f>F190</f>
        <v>2605581.85</v>
      </c>
      <c r="G189" s="203">
        <f t="shared" si="1"/>
        <v>0.99503656372406568</v>
      </c>
      <c r="H189" s="7">
        <f>H192</f>
        <v>23000</v>
      </c>
      <c r="I189" s="7">
        <f>I190+I192</f>
        <v>23000</v>
      </c>
      <c r="J189" s="203">
        <f t="shared" si="8"/>
        <v>1</v>
      </c>
      <c r="K189" s="186">
        <f>E189+H189</f>
        <v>2641579</v>
      </c>
      <c r="L189" s="186">
        <f>F189+I189</f>
        <v>2628581.85</v>
      </c>
      <c r="M189" s="361">
        <f t="shared" si="11"/>
        <v>0.9950797799346528</v>
      </c>
      <c r="N189" s="439"/>
      <c r="O189" s="439"/>
      <c r="P189" s="439"/>
      <c r="Q189" s="439"/>
    </row>
    <row r="190" spans="1:17" x14ac:dyDescent="0.25">
      <c r="A190" s="35"/>
      <c r="B190" s="36"/>
      <c r="C190" s="36"/>
      <c r="D190" s="353" t="s">
        <v>404</v>
      </c>
      <c r="E190" s="38">
        <v>2618579</v>
      </c>
      <c r="F190" s="38">
        <v>2605581.85</v>
      </c>
      <c r="G190" s="203">
        <f t="shared" si="1"/>
        <v>0.99503656372406568</v>
      </c>
      <c r="H190" s="12"/>
      <c r="I190" s="12"/>
      <c r="J190" s="203"/>
      <c r="K190" s="186">
        <f t="shared" ref="K190:K195" si="22">E190+H190</f>
        <v>2618579</v>
      </c>
      <c r="L190" s="186">
        <f t="shared" ref="L190:L195" si="23">F190+I190</f>
        <v>2605581.85</v>
      </c>
      <c r="M190" s="361">
        <f t="shared" si="11"/>
        <v>0.99503656372406568</v>
      </c>
      <c r="N190" s="439"/>
      <c r="O190" s="439"/>
      <c r="P190" s="439"/>
      <c r="Q190" s="439"/>
    </row>
    <row r="191" spans="1:17" x14ac:dyDescent="0.25">
      <c r="A191" s="35"/>
      <c r="B191" s="36"/>
      <c r="C191" s="36"/>
      <c r="D191" s="354" t="s">
        <v>405</v>
      </c>
      <c r="E191" s="38">
        <v>2554131</v>
      </c>
      <c r="F191" s="38">
        <v>2541724.9900000002</v>
      </c>
      <c r="G191" s="203">
        <f t="shared" si="1"/>
        <v>0.99514276675706936</v>
      </c>
      <c r="H191" s="12"/>
      <c r="I191" s="12"/>
      <c r="J191" s="203"/>
      <c r="K191" s="186">
        <f t="shared" si="22"/>
        <v>2554131</v>
      </c>
      <c r="L191" s="186">
        <f t="shared" si="23"/>
        <v>2541724.9900000002</v>
      </c>
      <c r="M191" s="361">
        <f t="shared" si="11"/>
        <v>0.99514276675706936</v>
      </c>
      <c r="N191" s="439"/>
      <c r="O191" s="439"/>
      <c r="P191" s="439"/>
      <c r="Q191" s="439"/>
    </row>
    <row r="192" spans="1:17" x14ac:dyDescent="0.25">
      <c r="A192" s="35"/>
      <c r="B192" s="36"/>
      <c r="C192" s="36"/>
      <c r="D192" s="355" t="s">
        <v>407</v>
      </c>
      <c r="E192" s="38"/>
      <c r="F192" s="38"/>
      <c r="G192" s="204"/>
      <c r="H192" s="12">
        <f>H193</f>
        <v>23000</v>
      </c>
      <c r="I192" s="12">
        <f>I193</f>
        <v>23000</v>
      </c>
      <c r="J192" s="203">
        <f t="shared" si="8"/>
        <v>1</v>
      </c>
      <c r="K192" s="186">
        <f t="shared" si="22"/>
        <v>23000</v>
      </c>
      <c r="L192" s="186">
        <f t="shared" si="23"/>
        <v>23000</v>
      </c>
      <c r="M192" s="361">
        <f t="shared" si="11"/>
        <v>1</v>
      </c>
      <c r="N192" s="439"/>
      <c r="O192" s="439"/>
      <c r="P192" s="439"/>
      <c r="Q192" s="439"/>
    </row>
    <row r="193" spans="1:17" x14ac:dyDescent="0.25">
      <c r="A193" s="35"/>
      <c r="B193" s="36"/>
      <c r="C193" s="36"/>
      <c r="D193" s="356" t="s">
        <v>408</v>
      </c>
      <c r="E193" s="38"/>
      <c r="F193" s="38"/>
      <c r="G193" s="204"/>
      <c r="H193" s="12">
        <v>23000</v>
      </c>
      <c r="I193" s="12">
        <v>23000</v>
      </c>
      <c r="J193" s="203">
        <f t="shared" si="8"/>
        <v>1</v>
      </c>
      <c r="K193" s="186">
        <f t="shared" si="22"/>
        <v>23000</v>
      </c>
      <c r="L193" s="186">
        <f t="shared" si="23"/>
        <v>23000</v>
      </c>
      <c r="M193" s="361">
        <f t="shared" si="11"/>
        <v>1</v>
      </c>
      <c r="N193" s="439"/>
      <c r="O193" s="439"/>
      <c r="P193" s="439"/>
      <c r="Q193" s="439"/>
    </row>
    <row r="194" spans="1:17" ht="31.5" x14ac:dyDescent="0.25">
      <c r="A194" s="35" t="s">
        <v>78</v>
      </c>
      <c r="B194" s="36" t="s">
        <v>79</v>
      </c>
      <c r="C194" s="36" t="s">
        <v>65</v>
      </c>
      <c r="D194" s="31" t="s">
        <v>80</v>
      </c>
      <c r="E194" s="38">
        <f>E195</f>
        <v>95000</v>
      </c>
      <c r="F194" s="38">
        <f>F195</f>
        <v>95000</v>
      </c>
      <c r="G194" s="204">
        <f t="shared" si="1"/>
        <v>1</v>
      </c>
      <c r="H194" s="12">
        <v>0</v>
      </c>
      <c r="I194" s="12">
        <v>0</v>
      </c>
      <c r="J194" s="204"/>
      <c r="K194" s="186">
        <f t="shared" si="22"/>
        <v>95000</v>
      </c>
      <c r="L194" s="186">
        <f t="shared" si="23"/>
        <v>95000</v>
      </c>
      <c r="M194" s="361">
        <f t="shared" si="11"/>
        <v>1</v>
      </c>
      <c r="N194" s="439"/>
      <c r="O194" s="439"/>
      <c r="P194" s="439"/>
      <c r="Q194" s="439"/>
    </row>
    <row r="195" spans="1:17" ht="16.5" thickBot="1" x14ac:dyDescent="0.3">
      <c r="A195" s="35"/>
      <c r="B195" s="36"/>
      <c r="C195" s="36"/>
      <c r="D195" s="355" t="s">
        <v>404</v>
      </c>
      <c r="E195" s="38">
        <v>95000</v>
      </c>
      <c r="F195" s="38">
        <v>95000</v>
      </c>
      <c r="G195" s="204">
        <f t="shared" si="1"/>
        <v>1</v>
      </c>
      <c r="H195" s="12"/>
      <c r="I195" s="12"/>
      <c r="J195" s="204"/>
      <c r="K195" s="189">
        <f t="shared" si="22"/>
        <v>95000</v>
      </c>
      <c r="L195" s="189">
        <f t="shared" si="23"/>
        <v>95000</v>
      </c>
      <c r="M195" s="361">
        <f t="shared" si="11"/>
        <v>1</v>
      </c>
      <c r="N195" s="439"/>
      <c r="O195" s="439"/>
      <c r="P195" s="439"/>
      <c r="Q195" s="439"/>
    </row>
    <row r="196" spans="1:17" s="29" customFormat="1" ht="64.5" customHeight="1" thickBot="1" x14ac:dyDescent="0.3">
      <c r="A196" s="32" t="s">
        <v>81</v>
      </c>
      <c r="B196" s="33" t="s">
        <v>14</v>
      </c>
      <c r="C196" s="33" t="s">
        <v>14</v>
      </c>
      <c r="D196" s="34" t="s">
        <v>441</v>
      </c>
      <c r="E196" s="51">
        <f>E197</f>
        <v>104872060</v>
      </c>
      <c r="F196" s="51">
        <f>F197</f>
        <v>98538431.640000001</v>
      </c>
      <c r="G196" s="201">
        <f t="shared" si="1"/>
        <v>0.9396061414260386</v>
      </c>
      <c r="H196" s="51">
        <f>H197</f>
        <v>1496174</v>
      </c>
      <c r="I196" s="823">
        <f>I197</f>
        <v>1448981.73</v>
      </c>
      <c r="J196" s="201">
        <f t="shared" si="8"/>
        <v>0.96845803362443139</v>
      </c>
      <c r="K196" s="199">
        <f>K197</f>
        <v>106368234</v>
      </c>
      <c r="L196" s="199">
        <f>L197</f>
        <v>99987413.370000005</v>
      </c>
      <c r="M196" s="209">
        <f t="shared" si="11"/>
        <v>0.94001197171328432</v>
      </c>
      <c r="N196" s="439"/>
      <c r="O196" s="439"/>
      <c r="P196" s="439"/>
      <c r="Q196" s="439"/>
    </row>
    <row r="197" spans="1:17" s="28" customFormat="1" ht="63" x14ac:dyDescent="0.25">
      <c r="A197" s="45" t="s">
        <v>82</v>
      </c>
      <c r="B197" s="46" t="s">
        <v>14</v>
      </c>
      <c r="C197" s="46" t="s">
        <v>14</v>
      </c>
      <c r="D197" s="47" t="s">
        <v>441</v>
      </c>
      <c r="E197" s="39">
        <f>E198+E201+E205+E207+E213+E219+E223+E226+E228+E230+E234+E241+E245+E238</f>
        <v>104872060</v>
      </c>
      <c r="F197" s="39">
        <f>F198+F201+F205+F207+F213+F219+F223+F226+F228+F230+F234+F241+F245+F238</f>
        <v>98538431.640000001</v>
      </c>
      <c r="G197" s="202">
        <f t="shared" si="1"/>
        <v>0.9396061414260386</v>
      </c>
      <c r="H197" s="39">
        <f>H198+H201+H205+H207+H213+H219+H223+H226+H228+H230+H234+H241+H245</f>
        <v>1496174</v>
      </c>
      <c r="I197" s="39">
        <f>I198+I201+I205+I207+I213+I219+I223+I226+I228+I230+I234+I241+I245</f>
        <v>1448981.73</v>
      </c>
      <c r="J197" s="202">
        <f t="shared" si="8"/>
        <v>0.96845803362443139</v>
      </c>
      <c r="K197" s="200">
        <f>K198+K201+K205+K207+K213+K219+K223+K226+K228+K230+K234+K241+K245+K238</f>
        <v>106368234</v>
      </c>
      <c r="L197" s="200">
        <f>L198+L201+L205+L207+L213+L219+L223+L226+L228+L230+L234+L241+L245+L238</f>
        <v>99987413.370000005</v>
      </c>
      <c r="M197" s="362">
        <f t="shared" si="11"/>
        <v>0.94001197171328432</v>
      </c>
      <c r="N197" s="439"/>
      <c r="O197" s="439"/>
      <c r="P197" s="439"/>
      <c r="Q197" s="439"/>
    </row>
    <row r="198" spans="1:17" ht="49.5" customHeight="1" x14ac:dyDescent="0.25">
      <c r="A198" s="700" t="s">
        <v>172</v>
      </c>
      <c r="B198" s="701" t="s">
        <v>42</v>
      </c>
      <c r="C198" s="701" t="s">
        <v>16</v>
      </c>
      <c r="D198" s="24" t="s">
        <v>156</v>
      </c>
      <c r="E198" s="37">
        <f>E199</f>
        <v>3375381</v>
      </c>
      <c r="F198" s="37">
        <f>F199</f>
        <v>3282303.02</v>
      </c>
      <c r="G198" s="203">
        <f t="shared" si="1"/>
        <v>0.9724244522322073</v>
      </c>
      <c r="H198" s="7">
        <v>0</v>
      </c>
      <c r="I198" s="7">
        <v>0</v>
      </c>
      <c r="J198" s="203"/>
      <c r="K198" s="186">
        <f>E198+H198</f>
        <v>3375381</v>
      </c>
      <c r="L198" s="186">
        <f>F198+I198</f>
        <v>3282303.02</v>
      </c>
      <c r="M198" s="361">
        <f t="shared" si="11"/>
        <v>0.9724244522322073</v>
      </c>
      <c r="N198" s="439"/>
      <c r="O198" s="439"/>
      <c r="P198" s="439"/>
      <c r="Q198" s="439"/>
    </row>
    <row r="199" spans="1:17" x14ac:dyDescent="0.25">
      <c r="A199" s="700"/>
      <c r="B199" s="701"/>
      <c r="C199" s="701"/>
      <c r="D199" s="353" t="s">
        <v>404</v>
      </c>
      <c r="E199" s="37">
        <v>3375381</v>
      </c>
      <c r="F199" s="37">
        <v>3282303.02</v>
      </c>
      <c r="G199" s="203">
        <f t="shared" si="1"/>
        <v>0.9724244522322073</v>
      </c>
      <c r="H199" s="7"/>
      <c r="I199" s="7"/>
      <c r="J199" s="203"/>
      <c r="K199" s="186">
        <f t="shared" ref="K199:K246" si="24">E199+H199</f>
        <v>3375381</v>
      </c>
      <c r="L199" s="186">
        <f t="shared" ref="L199:L246" si="25">F199+I199</f>
        <v>3282303.02</v>
      </c>
      <c r="M199" s="361">
        <f t="shared" si="11"/>
        <v>0.9724244522322073</v>
      </c>
      <c r="N199" s="439"/>
      <c r="O199" s="439"/>
      <c r="P199" s="439"/>
      <c r="Q199" s="439"/>
    </row>
    <row r="200" spans="1:17" x14ac:dyDescent="0.25">
      <c r="A200" s="700"/>
      <c r="B200" s="701"/>
      <c r="C200" s="701"/>
      <c r="D200" s="354" t="s">
        <v>405</v>
      </c>
      <c r="E200" s="37">
        <v>3295490</v>
      </c>
      <c r="F200" s="37">
        <v>3203462.02</v>
      </c>
      <c r="G200" s="203">
        <f t="shared" si="1"/>
        <v>0.97207456857705532</v>
      </c>
      <c r="H200" s="7"/>
      <c r="I200" s="7"/>
      <c r="J200" s="203"/>
      <c r="K200" s="186">
        <f t="shared" si="24"/>
        <v>3295490</v>
      </c>
      <c r="L200" s="186">
        <f t="shared" si="25"/>
        <v>3203462.02</v>
      </c>
      <c r="M200" s="361">
        <f t="shared" si="11"/>
        <v>0.97207456857705532</v>
      </c>
      <c r="N200" s="439"/>
      <c r="O200" s="439"/>
      <c r="P200" s="439"/>
      <c r="Q200" s="439"/>
    </row>
    <row r="201" spans="1:17" ht="31.5" x14ac:dyDescent="0.25">
      <c r="A201" s="700" t="s">
        <v>83</v>
      </c>
      <c r="B201" s="701" t="s">
        <v>84</v>
      </c>
      <c r="C201" s="701" t="s">
        <v>53</v>
      </c>
      <c r="D201" s="24" t="s">
        <v>85</v>
      </c>
      <c r="E201" s="37">
        <f>E202</f>
        <v>15091091</v>
      </c>
      <c r="F201" s="37">
        <f>F202</f>
        <v>14935681.27</v>
      </c>
      <c r="G201" s="203">
        <f t="shared" si="1"/>
        <v>0.98970188901518119</v>
      </c>
      <c r="H201" s="7">
        <f>H202</f>
        <v>799155</v>
      </c>
      <c r="I201" s="7">
        <f>I202</f>
        <v>802068.4</v>
      </c>
      <c r="J201" s="203">
        <f t="shared" si="8"/>
        <v>1.0036456006657031</v>
      </c>
      <c r="K201" s="186">
        <f t="shared" si="24"/>
        <v>15890246</v>
      </c>
      <c r="L201" s="186">
        <f>F201+I201</f>
        <v>15737749.67</v>
      </c>
      <c r="M201" s="361">
        <f t="shared" si="11"/>
        <v>0.99040314857303025</v>
      </c>
      <c r="N201" s="439"/>
      <c r="O201" s="439"/>
      <c r="P201" s="439"/>
      <c r="Q201" s="439"/>
    </row>
    <row r="202" spans="1:17" x14ac:dyDescent="0.25">
      <c r="A202" s="700"/>
      <c r="B202" s="701"/>
      <c r="C202" s="701"/>
      <c r="D202" s="353" t="s">
        <v>404</v>
      </c>
      <c r="E202" s="37">
        <v>15091091</v>
      </c>
      <c r="F202" s="37">
        <v>14935681.27</v>
      </c>
      <c r="G202" s="203">
        <f t="shared" si="1"/>
        <v>0.98970188901518119</v>
      </c>
      <c r="H202" s="7">
        <f>H203</f>
        <v>799155</v>
      </c>
      <c r="I202" s="7">
        <v>802068.4</v>
      </c>
      <c r="J202" s="203">
        <f t="shared" si="8"/>
        <v>1.0036456006657031</v>
      </c>
      <c r="K202" s="186">
        <f t="shared" si="24"/>
        <v>15890246</v>
      </c>
      <c r="L202" s="186">
        <f>F202+I202</f>
        <v>15737749.67</v>
      </c>
      <c r="M202" s="361">
        <f t="shared" si="11"/>
        <v>0.99040314857303025</v>
      </c>
      <c r="N202" s="439"/>
      <c r="O202" s="439"/>
      <c r="P202" s="439"/>
      <c r="Q202" s="439"/>
    </row>
    <row r="203" spans="1:17" x14ac:dyDescent="0.25">
      <c r="A203" s="700"/>
      <c r="B203" s="701"/>
      <c r="C203" s="701"/>
      <c r="D203" s="354" t="s">
        <v>405</v>
      </c>
      <c r="E203" s="37">
        <v>14384358</v>
      </c>
      <c r="F203" s="37">
        <v>14384327.33</v>
      </c>
      <c r="G203" s="203">
        <f t="shared" si="1"/>
        <v>0.99999786782281141</v>
      </c>
      <c r="H203" s="7">
        <v>799155</v>
      </c>
      <c r="I203" s="7">
        <v>799155</v>
      </c>
      <c r="J203" s="203">
        <f t="shared" si="8"/>
        <v>1</v>
      </c>
      <c r="K203" s="186">
        <f t="shared" si="24"/>
        <v>15183513</v>
      </c>
      <c r="L203" s="186">
        <f>F203+I203</f>
        <v>15183482.33</v>
      </c>
      <c r="M203" s="361">
        <f t="shared" si="11"/>
        <v>0.99999798004585627</v>
      </c>
      <c r="N203" s="439"/>
      <c r="O203" s="439"/>
      <c r="P203" s="439"/>
      <c r="Q203" s="439"/>
    </row>
    <row r="204" spans="1:17" ht="31.5" x14ac:dyDescent="0.25">
      <c r="A204" s="700"/>
      <c r="B204" s="701"/>
      <c r="C204" s="701"/>
      <c r="D204" s="354" t="s">
        <v>406</v>
      </c>
      <c r="E204" s="37">
        <v>447307</v>
      </c>
      <c r="F204" s="37">
        <v>314596.78999999998</v>
      </c>
      <c r="G204" s="203">
        <f t="shared" si="1"/>
        <v>0.70331291484372027</v>
      </c>
      <c r="H204" s="7"/>
      <c r="I204" s="7"/>
      <c r="J204" s="203"/>
      <c r="K204" s="186">
        <f t="shared" si="24"/>
        <v>447307</v>
      </c>
      <c r="L204" s="186">
        <f t="shared" si="25"/>
        <v>314596.78999999998</v>
      </c>
      <c r="M204" s="361">
        <f t="shared" si="11"/>
        <v>0.70331291484372027</v>
      </c>
      <c r="N204" s="439"/>
      <c r="O204" s="439"/>
      <c r="P204" s="439"/>
      <c r="Q204" s="439"/>
    </row>
    <row r="205" spans="1:17" ht="63" x14ac:dyDescent="0.25">
      <c r="A205" s="700" t="s">
        <v>86</v>
      </c>
      <c r="B205" s="701" t="s">
        <v>87</v>
      </c>
      <c r="C205" s="701" t="s">
        <v>65</v>
      </c>
      <c r="D205" s="24" t="s">
        <v>522</v>
      </c>
      <c r="E205" s="37">
        <f>E206</f>
        <v>340763</v>
      </c>
      <c r="F205" s="37">
        <f>F206</f>
        <v>333555</v>
      </c>
      <c r="G205" s="203">
        <f t="shared" si="1"/>
        <v>0.97884746876861628</v>
      </c>
      <c r="H205" s="7">
        <v>0</v>
      </c>
      <c r="I205" s="7">
        <v>0</v>
      </c>
      <c r="J205" s="203"/>
      <c r="K205" s="186">
        <f t="shared" si="24"/>
        <v>340763</v>
      </c>
      <c r="L205" s="186">
        <f t="shared" si="25"/>
        <v>333555</v>
      </c>
      <c r="M205" s="361">
        <f t="shared" si="11"/>
        <v>0.97884746876861628</v>
      </c>
      <c r="N205" s="439"/>
      <c r="O205" s="439"/>
      <c r="P205" s="439"/>
      <c r="Q205" s="439"/>
    </row>
    <row r="206" spans="1:17" x14ac:dyDescent="0.25">
      <c r="A206" s="700"/>
      <c r="B206" s="701"/>
      <c r="C206" s="701"/>
      <c r="D206" s="353" t="s">
        <v>404</v>
      </c>
      <c r="E206" s="37">
        <v>340763</v>
      </c>
      <c r="F206" s="37">
        <v>333555</v>
      </c>
      <c r="G206" s="203"/>
      <c r="H206" s="7"/>
      <c r="I206" s="7"/>
      <c r="J206" s="203"/>
      <c r="K206" s="186">
        <f t="shared" si="24"/>
        <v>340763</v>
      </c>
      <c r="L206" s="186">
        <f t="shared" si="25"/>
        <v>333555</v>
      </c>
      <c r="M206" s="361">
        <f t="shared" si="11"/>
        <v>0.97884746876861628</v>
      </c>
      <c r="N206" s="439"/>
      <c r="O206" s="439"/>
      <c r="P206" s="439"/>
      <c r="Q206" s="439"/>
    </row>
    <row r="207" spans="1:17" ht="21.75" customHeight="1" thickBot="1" x14ac:dyDescent="0.3">
      <c r="A207" s="923" t="s">
        <v>89</v>
      </c>
      <c r="B207" s="925" t="s">
        <v>90</v>
      </c>
      <c r="C207" s="925" t="s">
        <v>91</v>
      </c>
      <c r="D207" s="964" t="s">
        <v>92</v>
      </c>
      <c r="E207" s="944">
        <f>E208</f>
        <v>4850477</v>
      </c>
      <c r="F207" s="944">
        <f>F208</f>
        <v>4743088.53</v>
      </c>
      <c r="G207" s="945">
        <f t="shared" si="1"/>
        <v>0.97786022488097568</v>
      </c>
      <c r="H207" s="946">
        <f>H211</f>
        <v>43262</v>
      </c>
      <c r="I207" s="946">
        <f>I208+I211</f>
        <v>117348.83</v>
      </c>
      <c r="J207" s="945">
        <f t="shared" si="8"/>
        <v>2.7125151403078913</v>
      </c>
      <c r="K207" s="954">
        <f t="shared" si="24"/>
        <v>4893739</v>
      </c>
      <c r="L207" s="954">
        <f t="shared" ref="L207:L214" si="26">F207+I207</f>
        <v>4860437.3600000003</v>
      </c>
      <c r="M207" s="947">
        <f t="shared" si="11"/>
        <v>0.99319505188159818</v>
      </c>
      <c r="N207" s="439"/>
      <c r="O207" s="439"/>
      <c r="P207" s="439"/>
      <c r="Q207" s="439"/>
    </row>
    <row r="208" spans="1:17" x14ac:dyDescent="0.25">
      <c r="A208" s="939"/>
      <c r="B208" s="940"/>
      <c r="C208" s="940"/>
      <c r="D208" s="963" t="s">
        <v>404</v>
      </c>
      <c r="E208" s="40">
        <v>4850477</v>
      </c>
      <c r="F208" s="40">
        <v>4743088.53</v>
      </c>
      <c r="G208" s="202">
        <f t="shared" si="1"/>
        <v>0.97786022488097568</v>
      </c>
      <c r="H208" s="601"/>
      <c r="I208" s="601"/>
      <c r="J208" s="202"/>
      <c r="K208" s="959">
        <f t="shared" si="24"/>
        <v>4850477</v>
      </c>
      <c r="L208" s="959">
        <f t="shared" si="26"/>
        <v>4743088.53</v>
      </c>
      <c r="M208" s="362">
        <f t="shared" si="11"/>
        <v>0.97786022488097568</v>
      </c>
      <c r="N208" s="439"/>
      <c r="O208" s="439"/>
      <c r="P208" s="439"/>
      <c r="Q208" s="439"/>
    </row>
    <row r="209" spans="1:17" x14ac:dyDescent="0.25">
      <c r="A209" s="700"/>
      <c r="B209" s="701"/>
      <c r="C209" s="701"/>
      <c r="D209" s="354" t="s">
        <v>405</v>
      </c>
      <c r="E209" s="37">
        <v>4337407</v>
      </c>
      <c r="F209" s="37">
        <v>4328524.59</v>
      </c>
      <c r="G209" s="203">
        <f t="shared" si="1"/>
        <v>0.99795213822451978</v>
      </c>
      <c r="H209" s="7"/>
      <c r="I209" s="7"/>
      <c r="J209" s="203"/>
      <c r="K209" s="186">
        <f t="shared" si="24"/>
        <v>4337407</v>
      </c>
      <c r="L209" s="186">
        <f t="shared" si="26"/>
        <v>4328524.59</v>
      </c>
      <c r="M209" s="361">
        <f t="shared" si="11"/>
        <v>0.99795213822451978</v>
      </c>
      <c r="N209" s="439"/>
      <c r="O209" s="439"/>
      <c r="P209" s="439"/>
      <c r="Q209" s="439"/>
    </row>
    <row r="210" spans="1:17" ht="33" customHeight="1" x14ac:dyDescent="0.25">
      <c r="A210" s="700"/>
      <c r="B210" s="701"/>
      <c r="C210" s="701"/>
      <c r="D210" s="354" t="s">
        <v>406</v>
      </c>
      <c r="E210" s="37">
        <v>311360</v>
      </c>
      <c r="F210" s="37">
        <v>218450.36</v>
      </c>
      <c r="G210" s="203">
        <f t="shared" si="1"/>
        <v>0.70160059095580674</v>
      </c>
      <c r="H210" s="7"/>
      <c r="I210" s="7"/>
      <c r="J210" s="203"/>
      <c r="K210" s="186">
        <f t="shared" si="24"/>
        <v>311360</v>
      </c>
      <c r="L210" s="186">
        <f t="shared" si="26"/>
        <v>218450.36</v>
      </c>
      <c r="M210" s="361">
        <f t="shared" si="11"/>
        <v>0.70160059095580674</v>
      </c>
      <c r="N210" s="439"/>
      <c r="O210" s="439"/>
      <c r="P210" s="439"/>
      <c r="Q210" s="439"/>
    </row>
    <row r="211" spans="1:17" x14ac:dyDescent="0.25">
      <c r="A211" s="700"/>
      <c r="B211" s="701"/>
      <c r="C211" s="701"/>
      <c r="D211" s="353" t="s">
        <v>407</v>
      </c>
      <c r="E211" s="37"/>
      <c r="F211" s="37"/>
      <c r="G211" s="203"/>
      <c r="H211" s="7">
        <f>H212</f>
        <v>43262</v>
      </c>
      <c r="I211" s="7">
        <v>117348.83</v>
      </c>
      <c r="J211" s="203">
        <f t="shared" si="8"/>
        <v>2.7125151403078913</v>
      </c>
      <c r="K211" s="186">
        <f t="shared" si="24"/>
        <v>43262</v>
      </c>
      <c r="L211" s="186">
        <f t="shared" si="26"/>
        <v>117348.83</v>
      </c>
      <c r="M211" s="361">
        <f t="shared" si="11"/>
        <v>2.7125151403078913</v>
      </c>
      <c r="N211" s="439"/>
      <c r="O211" s="439"/>
      <c r="P211" s="439"/>
      <c r="Q211" s="439"/>
    </row>
    <row r="212" spans="1:17" x14ac:dyDescent="0.25">
      <c r="A212" s="700"/>
      <c r="B212" s="701"/>
      <c r="C212" s="701"/>
      <c r="D212" s="354" t="s">
        <v>408</v>
      </c>
      <c r="E212" s="37"/>
      <c r="F212" s="37"/>
      <c r="G212" s="203"/>
      <c r="H212" s="7">
        <v>43262</v>
      </c>
      <c r="I212" s="7">
        <v>43262</v>
      </c>
      <c r="J212" s="203">
        <f t="shared" si="8"/>
        <v>1</v>
      </c>
      <c r="K212" s="186">
        <f t="shared" si="24"/>
        <v>43262</v>
      </c>
      <c r="L212" s="186">
        <f t="shared" si="26"/>
        <v>43262</v>
      </c>
      <c r="M212" s="361">
        <f t="shared" si="11"/>
        <v>1</v>
      </c>
      <c r="N212" s="439"/>
      <c r="O212" s="439"/>
      <c r="P212" s="439"/>
      <c r="Q212" s="439"/>
    </row>
    <row r="213" spans="1:17" ht="27.75" customHeight="1" x14ac:dyDescent="0.25">
      <c r="A213" s="700" t="s">
        <v>93</v>
      </c>
      <c r="B213" s="701" t="s">
        <v>94</v>
      </c>
      <c r="C213" s="701" t="s">
        <v>91</v>
      </c>
      <c r="D213" s="24" t="s">
        <v>95</v>
      </c>
      <c r="E213" s="37">
        <f>E214</f>
        <v>1333214</v>
      </c>
      <c r="F213" s="37">
        <f>F214</f>
        <v>1286273.21</v>
      </c>
      <c r="G213" s="203">
        <f t="shared" si="1"/>
        <v>0.96479125631744034</v>
      </c>
      <c r="H213" s="7">
        <f>H214+H217</f>
        <v>23000</v>
      </c>
      <c r="I213" s="7">
        <f>I214+I217</f>
        <v>61317.34</v>
      </c>
      <c r="J213" s="203">
        <f t="shared" si="8"/>
        <v>2.6659713043478259</v>
      </c>
      <c r="K213" s="186">
        <f t="shared" si="24"/>
        <v>1356214</v>
      </c>
      <c r="L213" s="186">
        <f t="shared" si="26"/>
        <v>1347590.55</v>
      </c>
      <c r="M213" s="361">
        <f t="shared" ref="M213:M294" si="27">L213/K213</f>
        <v>0.99364152707463571</v>
      </c>
      <c r="N213" s="439"/>
      <c r="O213" s="439"/>
      <c r="P213" s="439"/>
      <c r="Q213" s="439"/>
    </row>
    <row r="214" spans="1:17" x14ac:dyDescent="0.25">
      <c r="A214" s="700"/>
      <c r="B214" s="701"/>
      <c r="C214" s="701"/>
      <c r="D214" s="353" t="s">
        <v>404</v>
      </c>
      <c r="E214" s="37">
        <v>1333214</v>
      </c>
      <c r="F214" s="37">
        <v>1286273.21</v>
      </c>
      <c r="G214" s="203">
        <f t="shared" si="1"/>
        <v>0.96479125631744034</v>
      </c>
      <c r="H214" s="7"/>
      <c r="I214" s="7"/>
      <c r="J214" s="203"/>
      <c r="K214" s="186">
        <f t="shared" si="24"/>
        <v>1333214</v>
      </c>
      <c r="L214" s="186">
        <f t="shared" si="26"/>
        <v>1286273.21</v>
      </c>
      <c r="M214" s="361">
        <f t="shared" si="27"/>
        <v>0.96479125631744034</v>
      </c>
      <c r="N214" s="439"/>
      <c r="O214" s="439"/>
      <c r="P214" s="439"/>
      <c r="Q214" s="439"/>
    </row>
    <row r="215" spans="1:17" x14ac:dyDescent="0.25">
      <c r="A215" s="700"/>
      <c r="B215" s="701"/>
      <c r="C215" s="701"/>
      <c r="D215" s="354" t="s">
        <v>405</v>
      </c>
      <c r="E215" s="37">
        <v>1078360</v>
      </c>
      <c r="F215" s="37">
        <v>1074562.97</v>
      </c>
      <c r="G215" s="203">
        <f t="shared" si="1"/>
        <v>0.99647888460254452</v>
      </c>
      <c r="H215" s="7"/>
      <c r="I215" s="7"/>
      <c r="J215" s="203"/>
      <c r="K215" s="186">
        <f t="shared" si="24"/>
        <v>1078360</v>
      </c>
      <c r="L215" s="186">
        <f t="shared" si="25"/>
        <v>1074562.97</v>
      </c>
      <c r="M215" s="361">
        <f t="shared" si="27"/>
        <v>0.99647888460254452</v>
      </c>
      <c r="N215" s="439"/>
      <c r="O215" s="439"/>
      <c r="P215" s="439"/>
      <c r="Q215" s="439"/>
    </row>
    <row r="216" spans="1:17" ht="34.9" customHeight="1" x14ac:dyDescent="0.25">
      <c r="A216" s="700"/>
      <c r="B216" s="701"/>
      <c r="C216" s="701"/>
      <c r="D216" s="354" t="s">
        <v>406</v>
      </c>
      <c r="E216" s="37">
        <v>109471</v>
      </c>
      <c r="F216" s="37">
        <v>74835.64</v>
      </c>
      <c r="G216" s="203">
        <f t="shared" si="1"/>
        <v>0.6836115500908917</v>
      </c>
      <c r="H216" s="7"/>
      <c r="I216" s="7"/>
      <c r="J216" s="203"/>
      <c r="K216" s="186">
        <f t="shared" si="24"/>
        <v>109471</v>
      </c>
      <c r="L216" s="186">
        <f>F216+I216</f>
        <v>74835.64</v>
      </c>
      <c r="M216" s="361">
        <f t="shared" si="27"/>
        <v>0.6836115500908917</v>
      </c>
      <c r="N216" s="439"/>
      <c r="O216" s="439"/>
      <c r="P216" s="439"/>
      <c r="Q216" s="439"/>
    </row>
    <row r="217" spans="1:17" x14ac:dyDescent="0.25">
      <c r="A217" s="700"/>
      <c r="B217" s="701"/>
      <c r="C217" s="701"/>
      <c r="D217" s="353" t="s">
        <v>407</v>
      </c>
      <c r="E217" s="37"/>
      <c r="F217" s="37"/>
      <c r="G217" s="203"/>
      <c r="H217" s="7">
        <f>H218</f>
        <v>23000</v>
      </c>
      <c r="I217" s="7">
        <v>61317.34</v>
      </c>
      <c r="J217" s="203">
        <f t="shared" si="8"/>
        <v>2.6659713043478259</v>
      </c>
      <c r="K217" s="186">
        <f t="shared" si="24"/>
        <v>23000</v>
      </c>
      <c r="L217" s="186">
        <f t="shared" si="25"/>
        <v>61317.34</v>
      </c>
      <c r="M217" s="361">
        <f t="shared" si="27"/>
        <v>2.6659713043478259</v>
      </c>
      <c r="N217" s="439"/>
      <c r="O217" s="439"/>
      <c r="P217" s="439"/>
      <c r="Q217" s="439"/>
    </row>
    <row r="218" spans="1:17" x14ac:dyDescent="0.25">
      <c r="A218" s="700"/>
      <c r="B218" s="701"/>
      <c r="C218" s="701"/>
      <c r="D218" s="354" t="s">
        <v>408</v>
      </c>
      <c r="E218" s="37"/>
      <c r="F218" s="37"/>
      <c r="G218" s="203"/>
      <c r="H218" s="7">
        <v>23000</v>
      </c>
      <c r="I218" s="7">
        <v>23000</v>
      </c>
      <c r="J218" s="203">
        <f t="shared" si="8"/>
        <v>1</v>
      </c>
      <c r="K218" s="186">
        <f t="shared" si="24"/>
        <v>23000</v>
      </c>
      <c r="L218" s="186">
        <f t="shared" si="25"/>
        <v>23000</v>
      </c>
      <c r="M218" s="361">
        <f t="shared" si="27"/>
        <v>1</v>
      </c>
      <c r="N218" s="439"/>
      <c r="O218" s="439"/>
      <c r="P218" s="439"/>
      <c r="Q218" s="439"/>
    </row>
    <row r="219" spans="1:17" ht="45.75" customHeight="1" x14ac:dyDescent="0.25">
      <c r="A219" s="700" t="s">
        <v>96</v>
      </c>
      <c r="B219" s="701" t="s">
        <v>97</v>
      </c>
      <c r="C219" s="701" t="s">
        <v>98</v>
      </c>
      <c r="D219" s="24" t="s">
        <v>99</v>
      </c>
      <c r="E219" s="37">
        <f>E220</f>
        <v>25443526</v>
      </c>
      <c r="F219" s="37">
        <f>F220</f>
        <v>24382632.66</v>
      </c>
      <c r="G219" s="203">
        <f t="shared" si="1"/>
        <v>0.95830399685955481</v>
      </c>
      <c r="H219" s="7">
        <f>H220</f>
        <v>160010</v>
      </c>
      <c r="I219" s="7">
        <f>I220</f>
        <v>19091.16</v>
      </c>
      <c r="J219" s="203">
        <f t="shared" si="8"/>
        <v>0.11931229298168865</v>
      </c>
      <c r="K219" s="186">
        <f t="shared" si="24"/>
        <v>25603536</v>
      </c>
      <c r="L219" s="186">
        <f>F219+I219</f>
        <v>24401723.82</v>
      </c>
      <c r="M219" s="361">
        <f t="shared" si="27"/>
        <v>0.95306069521022407</v>
      </c>
      <c r="N219" s="439"/>
      <c r="O219" s="439"/>
      <c r="P219" s="439"/>
      <c r="Q219" s="439"/>
    </row>
    <row r="220" spans="1:17" x14ac:dyDescent="0.25">
      <c r="A220" s="700"/>
      <c r="B220" s="701"/>
      <c r="C220" s="701"/>
      <c r="D220" s="353" t="s">
        <v>404</v>
      </c>
      <c r="E220" s="37">
        <v>25443526</v>
      </c>
      <c r="F220" s="37">
        <v>24382632.66</v>
      </c>
      <c r="G220" s="203">
        <f t="shared" si="1"/>
        <v>0.95830399685955481</v>
      </c>
      <c r="H220" s="7">
        <v>160010</v>
      </c>
      <c r="I220" s="7">
        <v>19091.16</v>
      </c>
      <c r="J220" s="203">
        <f t="shared" si="8"/>
        <v>0.11931229298168865</v>
      </c>
      <c r="K220" s="186">
        <f t="shared" si="24"/>
        <v>25603536</v>
      </c>
      <c r="L220" s="186">
        <f>F220+I220</f>
        <v>24401723.82</v>
      </c>
      <c r="M220" s="361">
        <f t="shared" si="27"/>
        <v>0.95306069521022407</v>
      </c>
      <c r="N220" s="439"/>
      <c r="O220" s="439"/>
      <c r="P220" s="439"/>
      <c r="Q220" s="439"/>
    </row>
    <row r="221" spans="1:17" x14ac:dyDescent="0.25">
      <c r="A221" s="700"/>
      <c r="B221" s="701"/>
      <c r="C221" s="701"/>
      <c r="D221" s="354" t="s">
        <v>405</v>
      </c>
      <c r="E221" s="37">
        <v>18625001</v>
      </c>
      <c r="F221" s="37">
        <v>18549774.620000001</v>
      </c>
      <c r="G221" s="203">
        <f t="shared" si="1"/>
        <v>0.9959609999484027</v>
      </c>
      <c r="H221" s="7"/>
      <c r="I221" s="7"/>
      <c r="J221" s="203"/>
      <c r="K221" s="186">
        <f t="shared" si="24"/>
        <v>18625001</v>
      </c>
      <c r="L221" s="186">
        <f>F221+I221</f>
        <v>18549774.620000001</v>
      </c>
      <c r="M221" s="361">
        <f t="shared" si="27"/>
        <v>0.9959609999484027</v>
      </c>
      <c r="N221" s="439"/>
      <c r="O221" s="439"/>
      <c r="P221" s="439"/>
      <c r="Q221" s="439"/>
    </row>
    <row r="222" spans="1:17" ht="31.5" x14ac:dyDescent="0.25">
      <c r="A222" s="700"/>
      <c r="B222" s="701"/>
      <c r="C222" s="701"/>
      <c r="D222" s="354" t="s">
        <v>406</v>
      </c>
      <c r="E222" s="37">
        <v>4719136</v>
      </c>
      <c r="F222" s="37">
        <v>3905695.31</v>
      </c>
      <c r="G222" s="203">
        <f t="shared" si="1"/>
        <v>0.82762931816332486</v>
      </c>
      <c r="H222" s="7"/>
      <c r="I222" s="7"/>
      <c r="J222" s="203"/>
      <c r="K222" s="186">
        <f t="shared" si="24"/>
        <v>4719136</v>
      </c>
      <c r="L222" s="186">
        <f t="shared" si="25"/>
        <v>3905695.31</v>
      </c>
      <c r="M222" s="361">
        <f t="shared" si="27"/>
        <v>0.82762931816332486</v>
      </c>
      <c r="N222" s="439"/>
      <c r="O222" s="439"/>
      <c r="P222" s="439"/>
      <c r="Q222" s="439"/>
    </row>
    <row r="223" spans="1:17" ht="31.5" x14ac:dyDescent="0.25">
      <c r="A223" s="700" t="s">
        <v>173</v>
      </c>
      <c r="B223" s="701" t="s">
        <v>174</v>
      </c>
      <c r="C223" s="701" t="s">
        <v>100</v>
      </c>
      <c r="D223" s="24" t="s">
        <v>175</v>
      </c>
      <c r="E223" s="37">
        <f>E224</f>
        <v>2259191</v>
      </c>
      <c r="F223" s="37">
        <f>F224</f>
        <v>2253220.38</v>
      </c>
      <c r="G223" s="203">
        <f t="shared" si="1"/>
        <v>0.99735718670975582</v>
      </c>
      <c r="H223" s="7">
        <v>0</v>
      </c>
      <c r="I223" s="7">
        <v>0</v>
      </c>
      <c r="J223" s="203"/>
      <c r="K223" s="186">
        <f t="shared" si="24"/>
        <v>2259191</v>
      </c>
      <c r="L223" s="186">
        <f t="shared" si="25"/>
        <v>2253220.38</v>
      </c>
      <c r="M223" s="361">
        <f t="shared" si="27"/>
        <v>0.99735718670975582</v>
      </c>
      <c r="N223" s="439"/>
      <c r="O223" s="439"/>
      <c r="P223" s="439"/>
      <c r="Q223" s="439"/>
    </row>
    <row r="224" spans="1:17" x14ac:dyDescent="0.25">
      <c r="A224" s="700"/>
      <c r="B224" s="701"/>
      <c r="C224" s="701"/>
      <c r="D224" s="353" t="s">
        <v>404</v>
      </c>
      <c r="E224" s="37">
        <v>2259191</v>
      </c>
      <c r="F224" s="37">
        <v>2253220.38</v>
      </c>
      <c r="G224" s="203">
        <f t="shared" si="1"/>
        <v>0.99735718670975582</v>
      </c>
      <c r="H224" s="7"/>
      <c r="I224" s="7"/>
      <c r="J224" s="203"/>
      <c r="K224" s="186">
        <f t="shared" si="24"/>
        <v>2259191</v>
      </c>
      <c r="L224" s="186">
        <f t="shared" si="25"/>
        <v>2253220.38</v>
      </c>
      <c r="M224" s="361">
        <f t="shared" si="27"/>
        <v>0.99735718670975582</v>
      </c>
      <c r="N224" s="439"/>
      <c r="O224" s="439"/>
      <c r="P224" s="439"/>
      <c r="Q224" s="439"/>
    </row>
    <row r="225" spans="1:17" x14ac:dyDescent="0.25">
      <c r="A225" s="700"/>
      <c r="B225" s="701"/>
      <c r="C225" s="701"/>
      <c r="D225" s="354" t="s">
        <v>405</v>
      </c>
      <c r="E225" s="37">
        <v>2133113</v>
      </c>
      <c r="F225" s="37">
        <v>2132998.25</v>
      </c>
      <c r="G225" s="203">
        <f t="shared" si="1"/>
        <v>0.99994620538152457</v>
      </c>
      <c r="H225" s="7"/>
      <c r="I225" s="7"/>
      <c r="J225" s="203"/>
      <c r="K225" s="186">
        <f t="shared" si="24"/>
        <v>2133113</v>
      </c>
      <c r="L225" s="186">
        <f t="shared" si="25"/>
        <v>2132998.25</v>
      </c>
      <c r="M225" s="361">
        <f t="shared" si="27"/>
        <v>0.99994620538152457</v>
      </c>
      <c r="N225" s="439"/>
      <c r="O225" s="439"/>
      <c r="P225" s="439"/>
      <c r="Q225" s="439"/>
    </row>
    <row r="226" spans="1:17" ht="28.5" customHeight="1" x14ac:dyDescent="0.25">
      <c r="A226" s="700" t="s">
        <v>101</v>
      </c>
      <c r="B226" s="701" t="s">
        <v>102</v>
      </c>
      <c r="C226" s="701" t="s">
        <v>100</v>
      </c>
      <c r="D226" s="24" t="s">
        <v>103</v>
      </c>
      <c r="E226" s="37">
        <f>E227</f>
        <v>316106</v>
      </c>
      <c r="F226" s="37">
        <f>F227</f>
        <v>316106</v>
      </c>
      <c r="G226" s="203">
        <f t="shared" si="1"/>
        <v>1</v>
      </c>
      <c r="H226" s="7">
        <v>0</v>
      </c>
      <c r="I226" s="7">
        <v>0</v>
      </c>
      <c r="J226" s="203"/>
      <c r="K226" s="186">
        <f t="shared" si="24"/>
        <v>316106</v>
      </c>
      <c r="L226" s="186">
        <f t="shared" si="25"/>
        <v>316106</v>
      </c>
      <c r="M226" s="361">
        <f t="shared" si="27"/>
        <v>1</v>
      </c>
      <c r="N226" s="439"/>
      <c r="O226" s="439"/>
      <c r="P226" s="439"/>
      <c r="Q226" s="439"/>
    </row>
    <row r="227" spans="1:17" x14ac:dyDescent="0.25">
      <c r="A227" s="700"/>
      <c r="B227" s="701"/>
      <c r="C227" s="701"/>
      <c r="D227" s="353" t="s">
        <v>404</v>
      </c>
      <c r="E227" s="37">
        <v>316106</v>
      </c>
      <c r="F227" s="37">
        <v>316106</v>
      </c>
      <c r="G227" s="203">
        <f t="shared" si="1"/>
        <v>1</v>
      </c>
      <c r="H227" s="7"/>
      <c r="I227" s="7"/>
      <c r="J227" s="203"/>
      <c r="K227" s="186">
        <f t="shared" si="24"/>
        <v>316106</v>
      </c>
      <c r="L227" s="186">
        <f t="shared" si="25"/>
        <v>316106</v>
      </c>
      <c r="M227" s="361">
        <f t="shared" si="27"/>
        <v>1</v>
      </c>
      <c r="N227" s="439"/>
      <c r="O227" s="439"/>
      <c r="P227" s="439"/>
      <c r="Q227" s="439"/>
    </row>
    <row r="228" spans="1:17" ht="47.25" x14ac:dyDescent="0.25">
      <c r="A228" s="700" t="s">
        <v>104</v>
      </c>
      <c r="B228" s="701" t="s">
        <v>105</v>
      </c>
      <c r="C228" s="701" t="s">
        <v>106</v>
      </c>
      <c r="D228" s="24" t="s">
        <v>107</v>
      </c>
      <c r="E228" s="37">
        <f>E229</f>
        <v>90000</v>
      </c>
      <c r="F228" s="37">
        <f>F229</f>
        <v>87750</v>
      </c>
      <c r="G228" s="203">
        <f t="shared" si="1"/>
        <v>0.97499999999999998</v>
      </c>
      <c r="H228" s="7">
        <v>0</v>
      </c>
      <c r="I228" s="7">
        <v>0</v>
      </c>
      <c r="J228" s="203"/>
      <c r="K228" s="186">
        <f t="shared" si="24"/>
        <v>90000</v>
      </c>
      <c r="L228" s="186">
        <f t="shared" si="25"/>
        <v>87750</v>
      </c>
      <c r="M228" s="361">
        <f t="shared" si="27"/>
        <v>0.97499999999999998</v>
      </c>
      <c r="N228" s="439"/>
      <c r="O228" s="439"/>
      <c r="P228" s="439"/>
      <c r="Q228" s="439"/>
    </row>
    <row r="229" spans="1:17" x14ac:dyDescent="0.25">
      <c r="A229" s="700"/>
      <c r="B229" s="701"/>
      <c r="C229" s="701"/>
      <c r="D229" s="353" t="s">
        <v>404</v>
      </c>
      <c r="E229" s="37">
        <v>90000</v>
      </c>
      <c r="F229" s="37">
        <v>87750</v>
      </c>
      <c r="G229" s="203">
        <f t="shared" si="1"/>
        <v>0.97499999999999998</v>
      </c>
      <c r="H229" s="7"/>
      <c r="I229" s="7"/>
      <c r="J229" s="203"/>
      <c r="K229" s="186">
        <f t="shared" si="24"/>
        <v>90000</v>
      </c>
      <c r="L229" s="186">
        <f t="shared" si="25"/>
        <v>87750</v>
      </c>
      <c r="M229" s="361">
        <f t="shared" si="27"/>
        <v>0.97499999999999998</v>
      </c>
      <c r="N229" s="439"/>
      <c r="O229" s="439"/>
      <c r="P229" s="439"/>
      <c r="Q229" s="439"/>
    </row>
    <row r="230" spans="1:17" ht="70.5" customHeight="1" x14ac:dyDescent="0.25">
      <c r="A230" s="700" t="s">
        <v>108</v>
      </c>
      <c r="B230" s="701" t="s">
        <v>109</v>
      </c>
      <c r="C230" s="701" t="s">
        <v>106</v>
      </c>
      <c r="D230" s="24" t="s">
        <v>523</v>
      </c>
      <c r="E230" s="37">
        <f>E231</f>
        <v>10972796</v>
      </c>
      <c r="F230" s="37">
        <f>F231</f>
        <v>9568534.4299999997</v>
      </c>
      <c r="G230" s="203">
        <f t="shared" si="1"/>
        <v>0.87202335940629894</v>
      </c>
      <c r="H230" s="7">
        <v>0</v>
      </c>
      <c r="I230" s="7">
        <v>0</v>
      </c>
      <c r="J230" s="203"/>
      <c r="K230" s="186">
        <f t="shared" si="24"/>
        <v>10972796</v>
      </c>
      <c r="L230" s="186">
        <f t="shared" si="25"/>
        <v>9568534.4299999997</v>
      </c>
      <c r="M230" s="361">
        <f t="shared" si="27"/>
        <v>0.87202335940629894</v>
      </c>
      <c r="N230" s="439"/>
      <c r="O230" s="439"/>
      <c r="P230" s="439"/>
      <c r="Q230" s="439"/>
    </row>
    <row r="231" spans="1:17" x14ac:dyDescent="0.25">
      <c r="A231" s="700"/>
      <c r="B231" s="701"/>
      <c r="C231" s="701"/>
      <c r="D231" s="353" t="s">
        <v>404</v>
      </c>
      <c r="E231" s="37">
        <v>10972796</v>
      </c>
      <c r="F231" s="37">
        <v>9568534.4299999997</v>
      </c>
      <c r="G231" s="203">
        <f t="shared" si="1"/>
        <v>0.87202335940629894</v>
      </c>
      <c r="H231" s="7"/>
      <c r="I231" s="7"/>
      <c r="J231" s="203"/>
      <c r="K231" s="186">
        <f t="shared" si="24"/>
        <v>10972796</v>
      </c>
      <c r="L231" s="186">
        <f t="shared" si="25"/>
        <v>9568534.4299999997</v>
      </c>
      <c r="M231" s="361">
        <f t="shared" si="27"/>
        <v>0.87202335940629894</v>
      </c>
      <c r="N231" s="439"/>
      <c r="O231" s="439"/>
      <c r="P231" s="439"/>
      <c r="Q231" s="439"/>
    </row>
    <row r="232" spans="1:17" x14ac:dyDescent="0.25">
      <c r="A232" s="700"/>
      <c r="B232" s="701"/>
      <c r="C232" s="701"/>
      <c r="D232" s="354" t="s">
        <v>405</v>
      </c>
      <c r="E232" s="37">
        <v>6290303</v>
      </c>
      <c r="F232" s="37">
        <v>6270392.1200000001</v>
      </c>
      <c r="G232" s="203">
        <f t="shared" si="1"/>
        <v>0.99683467076228283</v>
      </c>
      <c r="H232" s="7"/>
      <c r="I232" s="7"/>
      <c r="J232" s="203"/>
      <c r="K232" s="186">
        <f t="shared" si="24"/>
        <v>6290303</v>
      </c>
      <c r="L232" s="186">
        <f t="shared" si="25"/>
        <v>6270392.1200000001</v>
      </c>
      <c r="M232" s="361">
        <f t="shared" si="27"/>
        <v>0.99683467076228283</v>
      </c>
      <c r="N232" s="439"/>
      <c r="O232" s="439"/>
      <c r="P232" s="439"/>
      <c r="Q232" s="439"/>
    </row>
    <row r="233" spans="1:17" ht="31.5" x14ac:dyDescent="0.25">
      <c r="A233" s="700"/>
      <c r="B233" s="701"/>
      <c r="C233" s="701"/>
      <c r="D233" s="354" t="s">
        <v>406</v>
      </c>
      <c r="E233" s="37">
        <v>542849</v>
      </c>
      <c r="F233" s="37">
        <v>390289.3</v>
      </c>
      <c r="G233" s="203">
        <f t="shared" si="1"/>
        <v>0.71896475815558281</v>
      </c>
      <c r="H233" s="7"/>
      <c r="I233" s="7"/>
      <c r="J233" s="203"/>
      <c r="K233" s="186">
        <f t="shared" si="24"/>
        <v>542849</v>
      </c>
      <c r="L233" s="186">
        <f t="shared" si="25"/>
        <v>390289.3</v>
      </c>
      <c r="M233" s="361">
        <f t="shared" si="27"/>
        <v>0.71896475815558281</v>
      </c>
      <c r="N233" s="439"/>
      <c r="O233" s="439"/>
      <c r="P233" s="439"/>
      <c r="Q233" s="439"/>
    </row>
    <row r="234" spans="1:17" ht="31.5" x14ac:dyDescent="0.25">
      <c r="A234" s="922" t="s">
        <v>176</v>
      </c>
      <c r="B234" s="924" t="s">
        <v>177</v>
      </c>
      <c r="C234" s="924" t="s">
        <v>106</v>
      </c>
      <c r="D234" s="24" t="s">
        <v>524</v>
      </c>
      <c r="E234" s="37">
        <f>E235</f>
        <v>34488249</v>
      </c>
      <c r="F234" s="37">
        <f>F235</f>
        <v>31573719.449999999</v>
      </c>
      <c r="G234" s="203">
        <f t="shared" si="1"/>
        <v>0.9154920984825875</v>
      </c>
      <c r="H234" s="7">
        <f>H235+H236</f>
        <v>470747</v>
      </c>
      <c r="I234" s="7">
        <f>I235+I236</f>
        <v>449156</v>
      </c>
      <c r="J234" s="203"/>
      <c r="K234" s="186">
        <f t="shared" si="24"/>
        <v>34958996</v>
      </c>
      <c r="L234" s="186">
        <f t="shared" si="25"/>
        <v>32022875.449999999</v>
      </c>
      <c r="M234" s="361">
        <f t="shared" si="27"/>
        <v>0.91601244641007418</v>
      </c>
      <c r="N234" s="439"/>
      <c r="O234" s="439"/>
      <c r="P234" s="439"/>
      <c r="Q234" s="439"/>
    </row>
    <row r="235" spans="1:17" ht="16.5" thickBot="1" x14ac:dyDescent="0.3">
      <c r="A235" s="923"/>
      <c r="B235" s="925"/>
      <c r="C235" s="925"/>
      <c r="D235" s="943" t="s">
        <v>404</v>
      </c>
      <c r="E235" s="944">
        <v>34488249</v>
      </c>
      <c r="F235" s="944">
        <v>31573719.449999999</v>
      </c>
      <c r="G235" s="945">
        <f t="shared" si="1"/>
        <v>0.9154920984825875</v>
      </c>
      <c r="H235" s="946"/>
      <c r="I235" s="946"/>
      <c r="J235" s="945"/>
      <c r="K235" s="954">
        <f t="shared" si="24"/>
        <v>34488249</v>
      </c>
      <c r="L235" s="954">
        <f t="shared" si="25"/>
        <v>31573719.449999999</v>
      </c>
      <c r="M235" s="947">
        <f t="shared" si="27"/>
        <v>0.9154920984825875</v>
      </c>
      <c r="N235" s="439"/>
      <c r="O235" s="439"/>
      <c r="P235" s="439"/>
      <c r="Q235" s="439"/>
    </row>
    <row r="236" spans="1:17" x14ac:dyDescent="0.25">
      <c r="A236" s="939"/>
      <c r="B236" s="940"/>
      <c r="C236" s="940"/>
      <c r="D236" s="963" t="s">
        <v>407</v>
      </c>
      <c r="E236" s="40"/>
      <c r="F236" s="40"/>
      <c r="G236" s="202"/>
      <c r="H236" s="601">
        <v>470747</v>
      </c>
      <c r="I236" s="601">
        <v>449156</v>
      </c>
      <c r="J236" s="202"/>
      <c r="K236" s="959"/>
      <c r="L236" s="959"/>
      <c r="M236" s="362"/>
      <c r="N236" s="439"/>
      <c r="O236" s="439"/>
      <c r="P236" s="439"/>
      <c r="Q236" s="439"/>
    </row>
    <row r="237" spans="1:17" x14ac:dyDescent="0.25">
      <c r="A237" s="821"/>
      <c r="B237" s="822"/>
      <c r="C237" s="822"/>
      <c r="D237" s="354" t="s">
        <v>408</v>
      </c>
      <c r="E237" s="37"/>
      <c r="F237" s="37"/>
      <c r="G237" s="203"/>
      <c r="H237" s="7">
        <v>470747</v>
      </c>
      <c r="I237" s="7">
        <v>449156</v>
      </c>
      <c r="J237" s="203"/>
      <c r="K237" s="186"/>
      <c r="L237" s="186"/>
      <c r="M237" s="361"/>
      <c r="N237" s="439"/>
      <c r="O237" s="439"/>
      <c r="P237" s="439"/>
      <c r="Q237" s="439"/>
    </row>
    <row r="238" spans="1:17" s="600" customFormat="1" ht="54" customHeight="1" x14ac:dyDescent="0.25">
      <c r="A238" s="700">
        <v>1015049</v>
      </c>
      <c r="B238" s="701">
        <v>5049</v>
      </c>
      <c r="C238" s="701">
        <v>810</v>
      </c>
      <c r="D238" s="354" t="s">
        <v>591</v>
      </c>
      <c r="E238" s="37">
        <v>105408</v>
      </c>
      <c r="F238" s="37">
        <f>F239</f>
        <v>11712</v>
      </c>
      <c r="G238" s="203">
        <f t="shared" si="1"/>
        <v>0.1111111111111111</v>
      </c>
      <c r="H238" s="7"/>
      <c r="I238" s="7"/>
      <c r="J238" s="203"/>
      <c r="K238" s="186">
        <f t="shared" si="24"/>
        <v>105408</v>
      </c>
      <c r="L238" s="186">
        <f t="shared" si="25"/>
        <v>11712</v>
      </c>
      <c r="M238" s="361">
        <f t="shared" si="27"/>
        <v>0.1111111111111111</v>
      </c>
      <c r="N238" s="599"/>
      <c r="O238" s="599"/>
      <c r="P238" s="599"/>
      <c r="Q238" s="599"/>
    </row>
    <row r="239" spans="1:17" x14ac:dyDescent="0.25">
      <c r="A239" s="700"/>
      <c r="B239" s="701"/>
      <c r="C239" s="701"/>
      <c r="D239" s="353" t="s">
        <v>404</v>
      </c>
      <c r="E239" s="37">
        <v>105408</v>
      </c>
      <c r="F239" s="37">
        <v>11712</v>
      </c>
      <c r="G239" s="203">
        <f t="shared" si="1"/>
        <v>0.1111111111111111</v>
      </c>
      <c r="H239" s="7"/>
      <c r="I239" s="7"/>
      <c r="J239" s="203"/>
      <c r="K239" s="186">
        <f t="shared" si="24"/>
        <v>105408</v>
      </c>
      <c r="L239" s="186">
        <f t="shared" si="25"/>
        <v>11712</v>
      </c>
      <c r="M239" s="361">
        <f t="shared" si="27"/>
        <v>0.1111111111111111</v>
      </c>
      <c r="N239" s="439"/>
      <c r="O239" s="439"/>
      <c r="P239" s="439"/>
      <c r="Q239" s="439"/>
    </row>
    <row r="240" spans="1:17" x14ac:dyDescent="0.25">
      <c r="A240" s="700"/>
      <c r="B240" s="701"/>
      <c r="C240" s="701"/>
      <c r="D240" s="354" t="s">
        <v>405</v>
      </c>
      <c r="E240" s="37">
        <v>105408</v>
      </c>
      <c r="F240" s="37">
        <v>11712</v>
      </c>
      <c r="G240" s="203">
        <f t="shared" si="1"/>
        <v>0.1111111111111111</v>
      </c>
      <c r="H240" s="7"/>
      <c r="I240" s="7"/>
      <c r="J240" s="203"/>
      <c r="K240" s="186">
        <f t="shared" si="24"/>
        <v>105408</v>
      </c>
      <c r="L240" s="186">
        <f t="shared" si="25"/>
        <v>11712</v>
      </c>
      <c r="M240" s="361">
        <f t="shared" si="27"/>
        <v>0.1111111111111111</v>
      </c>
      <c r="N240" s="439"/>
      <c r="O240" s="439"/>
      <c r="P240" s="439"/>
      <c r="Q240" s="439"/>
    </row>
    <row r="241" spans="1:17" ht="66" customHeight="1" x14ac:dyDescent="0.25">
      <c r="A241" s="700" t="s">
        <v>110</v>
      </c>
      <c r="B241" s="701" t="s">
        <v>111</v>
      </c>
      <c r="C241" s="701" t="s">
        <v>106</v>
      </c>
      <c r="D241" s="24" t="s">
        <v>112</v>
      </c>
      <c r="E241" s="37">
        <f>E242</f>
        <v>5361858</v>
      </c>
      <c r="F241" s="37">
        <f>F242</f>
        <v>5011855.6900000004</v>
      </c>
      <c r="G241" s="203">
        <f t="shared" si="1"/>
        <v>0.93472368906449976</v>
      </c>
      <c r="H241" s="7">
        <v>0</v>
      </c>
      <c r="I241" s="7">
        <v>0</v>
      </c>
      <c r="J241" s="203"/>
      <c r="K241" s="186">
        <f t="shared" si="24"/>
        <v>5361858</v>
      </c>
      <c r="L241" s="186">
        <f t="shared" si="25"/>
        <v>5011855.6900000004</v>
      </c>
      <c r="M241" s="361">
        <f t="shared" si="27"/>
        <v>0.93472368906449976</v>
      </c>
      <c r="N241" s="439"/>
      <c r="O241" s="439"/>
      <c r="P241" s="439"/>
      <c r="Q241" s="439"/>
    </row>
    <row r="242" spans="1:17" x14ac:dyDescent="0.25">
      <c r="A242" s="700"/>
      <c r="B242" s="701"/>
      <c r="C242" s="701"/>
      <c r="D242" s="353" t="s">
        <v>404</v>
      </c>
      <c r="E242" s="37">
        <v>5361858</v>
      </c>
      <c r="F242" s="37">
        <v>5011855.6900000004</v>
      </c>
      <c r="G242" s="203">
        <f t="shared" si="1"/>
        <v>0.93472368906449976</v>
      </c>
      <c r="H242" s="7"/>
      <c r="I242" s="7"/>
      <c r="J242" s="203"/>
      <c r="K242" s="186">
        <f t="shared" si="24"/>
        <v>5361858</v>
      </c>
      <c r="L242" s="186">
        <f t="shared" si="25"/>
        <v>5011855.6900000004</v>
      </c>
      <c r="M242" s="361">
        <f t="shared" si="27"/>
        <v>0.93472368906449976</v>
      </c>
      <c r="N242" s="439"/>
      <c r="O242" s="439"/>
      <c r="P242" s="439"/>
      <c r="Q242" s="439"/>
    </row>
    <row r="243" spans="1:17" x14ac:dyDescent="0.25">
      <c r="A243" s="700"/>
      <c r="B243" s="701"/>
      <c r="C243" s="701"/>
      <c r="D243" s="354" t="s">
        <v>405</v>
      </c>
      <c r="E243" s="37">
        <v>3665273</v>
      </c>
      <c r="F243" s="37">
        <v>3572480.65</v>
      </c>
      <c r="G243" s="203">
        <f t="shared" si="1"/>
        <v>0.97468337283471107</v>
      </c>
      <c r="H243" s="7"/>
      <c r="I243" s="7"/>
      <c r="J243" s="203"/>
      <c r="K243" s="186">
        <f t="shared" si="24"/>
        <v>3665273</v>
      </c>
      <c r="L243" s="186">
        <f t="shared" si="25"/>
        <v>3572480.65</v>
      </c>
      <c r="M243" s="361">
        <f t="shared" si="27"/>
        <v>0.97468337283471107</v>
      </c>
      <c r="N243" s="439"/>
      <c r="O243" s="439"/>
      <c r="P243" s="439"/>
      <c r="Q243" s="439"/>
    </row>
    <row r="244" spans="1:17" ht="29.25" customHeight="1" x14ac:dyDescent="0.25">
      <c r="A244" s="700"/>
      <c r="B244" s="701"/>
      <c r="C244" s="701"/>
      <c r="D244" s="354" t="s">
        <v>406</v>
      </c>
      <c r="E244" s="37">
        <v>119881</v>
      </c>
      <c r="F244" s="37">
        <v>42887.15</v>
      </c>
      <c r="G244" s="203">
        <f t="shared" si="1"/>
        <v>0.35774768311909311</v>
      </c>
      <c r="H244" s="7"/>
      <c r="I244" s="7"/>
      <c r="J244" s="203"/>
      <c r="K244" s="186">
        <f t="shared" si="24"/>
        <v>119881</v>
      </c>
      <c r="L244" s="186">
        <f t="shared" si="25"/>
        <v>42887.15</v>
      </c>
      <c r="M244" s="361">
        <f t="shared" si="27"/>
        <v>0.35774768311909311</v>
      </c>
      <c r="N244" s="439"/>
      <c r="O244" s="439"/>
      <c r="P244" s="439"/>
      <c r="Q244" s="439"/>
    </row>
    <row r="245" spans="1:17" ht="53.25" customHeight="1" x14ac:dyDescent="0.25">
      <c r="A245" s="700" t="s">
        <v>113</v>
      </c>
      <c r="B245" s="701" t="s">
        <v>114</v>
      </c>
      <c r="C245" s="701" t="s">
        <v>106</v>
      </c>
      <c r="D245" s="24" t="s">
        <v>115</v>
      </c>
      <c r="E245" s="37">
        <f>E246</f>
        <v>844000</v>
      </c>
      <c r="F245" s="37">
        <f>F246</f>
        <v>752000</v>
      </c>
      <c r="G245" s="203">
        <f t="shared" si="1"/>
        <v>0.89099526066350709</v>
      </c>
      <c r="H245" s="7">
        <v>0</v>
      </c>
      <c r="I245" s="7">
        <v>0</v>
      </c>
      <c r="J245" s="203"/>
      <c r="K245" s="186">
        <f t="shared" si="24"/>
        <v>844000</v>
      </c>
      <c r="L245" s="186">
        <f t="shared" si="25"/>
        <v>752000</v>
      </c>
      <c r="M245" s="361">
        <f t="shared" si="27"/>
        <v>0.89099526066350709</v>
      </c>
      <c r="N245" s="439"/>
      <c r="O245" s="439"/>
      <c r="P245" s="439"/>
      <c r="Q245" s="439"/>
    </row>
    <row r="246" spans="1:17" ht="16.5" thickBot="1" x14ac:dyDescent="0.3">
      <c r="A246" s="700"/>
      <c r="B246" s="701"/>
      <c r="C246" s="701"/>
      <c r="D246" s="353" t="s">
        <v>404</v>
      </c>
      <c r="E246" s="37">
        <v>844000</v>
      </c>
      <c r="F246" s="37">
        <v>752000</v>
      </c>
      <c r="G246" s="203">
        <f t="shared" si="1"/>
        <v>0.89099526066350709</v>
      </c>
      <c r="H246" s="7"/>
      <c r="I246" s="7"/>
      <c r="J246" s="203"/>
      <c r="K246" s="186">
        <f t="shared" si="24"/>
        <v>844000</v>
      </c>
      <c r="L246" s="186">
        <f t="shared" si="25"/>
        <v>752000</v>
      </c>
      <c r="M246" s="361">
        <f t="shared" si="27"/>
        <v>0.89099526066350709</v>
      </c>
      <c r="N246" s="439"/>
      <c r="O246" s="439"/>
      <c r="P246" s="439"/>
      <c r="Q246" s="439"/>
    </row>
    <row r="247" spans="1:17" s="29" customFormat="1" ht="62.25" customHeight="1" thickBot="1" x14ac:dyDescent="0.3">
      <c r="A247" s="32" t="s">
        <v>116</v>
      </c>
      <c r="B247" s="33" t="s">
        <v>14</v>
      </c>
      <c r="C247" s="33" t="s">
        <v>14</v>
      </c>
      <c r="D247" s="34" t="s">
        <v>117</v>
      </c>
      <c r="E247" s="51">
        <f>E248</f>
        <v>73478654</v>
      </c>
      <c r="F247" s="51">
        <f>F248</f>
        <v>72629019.640000001</v>
      </c>
      <c r="G247" s="201">
        <f t="shared" si="1"/>
        <v>0.98843699069392321</v>
      </c>
      <c r="H247" s="10">
        <f>H248</f>
        <v>2690526</v>
      </c>
      <c r="I247" s="824">
        <f>I248</f>
        <v>1972287.48</v>
      </c>
      <c r="J247" s="201">
        <f t="shared" ref="J247:J316" si="28">I247/H247</f>
        <v>0.73304903204800842</v>
      </c>
      <c r="K247" s="199">
        <f>K248</f>
        <v>76169180</v>
      </c>
      <c r="L247" s="199">
        <f>L248</f>
        <v>74601307.120000005</v>
      </c>
      <c r="M247" s="209">
        <f t="shared" si="27"/>
        <v>0.97941591494092495</v>
      </c>
      <c r="N247" s="439"/>
      <c r="O247" s="439"/>
      <c r="P247" s="439"/>
      <c r="Q247" s="439"/>
    </row>
    <row r="248" spans="1:17" s="28" customFormat="1" ht="54" customHeight="1" x14ac:dyDescent="0.25">
      <c r="A248" s="45" t="s">
        <v>118</v>
      </c>
      <c r="B248" s="46" t="s">
        <v>14</v>
      </c>
      <c r="C248" s="46" t="s">
        <v>14</v>
      </c>
      <c r="D248" s="47" t="s">
        <v>117</v>
      </c>
      <c r="E248" s="39">
        <f>E249+E254+E258+E263+E267+E269+E271+E256+E274</f>
        <v>73478654</v>
      </c>
      <c r="F248" s="39">
        <f>F249+F254+F258+F263+F267+F269+F271+F256+F274</f>
        <v>72629019.640000001</v>
      </c>
      <c r="G248" s="202">
        <f t="shared" si="1"/>
        <v>0.98843699069392321</v>
      </c>
      <c r="H248" s="39">
        <f>H249+H254+H258+H263+H267+H269+H271+H260+H276+H252</f>
        <v>2690526</v>
      </c>
      <c r="I248" s="39">
        <f>I249+I254+I258+I263+I267+I269+I271+I260+I276+I252</f>
        <v>1972287.48</v>
      </c>
      <c r="J248" s="202">
        <f t="shared" si="28"/>
        <v>0.73304903204800842</v>
      </c>
      <c r="K248" s="200">
        <f>K249+K254+K258+K263+K267+K269+K271+K260+K276+K256+K274+K252</f>
        <v>76169180</v>
      </c>
      <c r="L248" s="200">
        <f>L249+L254+L258+L263+L267+L269+L271+L260+L276+L256+L274+L252</f>
        <v>74601307.120000005</v>
      </c>
      <c r="M248" s="362">
        <f t="shared" si="27"/>
        <v>0.97941591494092495</v>
      </c>
      <c r="N248" s="439"/>
      <c r="O248" s="439"/>
      <c r="P248" s="439"/>
      <c r="Q248" s="439"/>
    </row>
    <row r="249" spans="1:17" ht="47.25" x14ac:dyDescent="0.25">
      <c r="A249" s="700" t="s">
        <v>119</v>
      </c>
      <c r="B249" s="701" t="s">
        <v>42</v>
      </c>
      <c r="C249" s="701" t="s">
        <v>16</v>
      </c>
      <c r="D249" s="24" t="s">
        <v>156</v>
      </c>
      <c r="E249" s="37">
        <f>E250</f>
        <v>4265901</v>
      </c>
      <c r="F249" s="37">
        <f>F250</f>
        <v>4149730.7</v>
      </c>
      <c r="G249" s="203">
        <f t="shared" si="1"/>
        <v>0.97276769901598747</v>
      </c>
      <c r="H249" s="7">
        <v>0</v>
      </c>
      <c r="I249" s="7">
        <v>0</v>
      </c>
      <c r="J249" s="202"/>
      <c r="K249" s="186">
        <f>E249+H249</f>
        <v>4265901</v>
      </c>
      <c r="L249" s="186">
        <f>F249+I249</f>
        <v>4149730.7</v>
      </c>
      <c r="M249" s="361">
        <f t="shared" si="27"/>
        <v>0.97276769901598747</v>
      </c>
      <c r="N249" s="439"/>
      <c r="O249" s="439"/>
      <c r="P249" s="439"/>
      <c r="Q249" s="439"/>
    </row>
    <row r="250" spans="1:17" x14ac:dyDescent="0.25">
      <c r="A250" s="700"/>
      <c r="B250" s="701"/>
      <c r="C250" s="701"/>
      <c r="D250" s="353" t="s">
        <v>404</v>
      </c>
      <c r="E250" s="37">
        <v>4265901</v>
      </c>
      <c r="F250" s="37">
        <v>4149730.7</v>
      </c>
      <c r="G250" s="203">
        <f t="shared" si="1"/>
        <v>0.97276769901598747</v>
      </c>
      <c r="H250" s="7"/>
      <c r="I250" s="7"/>
      <c r="J250" s="202"/>
      <c r="K250" s="186">
        <f t="shared" ref="K250:K278" si="29">E250+H250</f>
        <v>4265901</v>
      </c>
      <c r="L250" s="186">
        <f t="shared" ref="L250:L278" si="30">F250+I250</f>
        <v>4149730.7</v>
      </c>
      <c r="M250" s="361">
        <f t="shared" si="27"/>
        <v>0.97276769901598747</v>
      </c>
      <c r="N250" s="439"/>
      <c r="O250" s="439"/>
      <c r="P250" s="439"/>
      <c r="Q250" s="439"/>
    </row>
    <row r="251" spans="1:17" x14ac:dyDescent="0.25">
      <c r="A251" s="700"/>
      <c r="B251" s="701"/>
      <c r="C251" s="701"/>
      <c r="D251" s="354" t="s">
        <v>405</v>
      </c>
      <c r="E251" s="37">
        <v>4146980</v>
      </c>
      <c r="F251" s="37">
        <v>4031764.4</v>
      </c>
      <c r="G251" s="203">
        <f t="shared" si="1"/>
        <v>0.97221698681932389</v>
      </c>
      <c r="H251" s="7"/>
      <c r="I251" s="7"/>
      <c r="J251" s="202"/>
      <c r="K251" s="186">
        <f t="shared" si="29"/>
        <v>4146980</v>
      </c>
      <c r="L251" s="186">
        <f t="shared" si="30"/>
        <v>4031764.4</v>
      </c>
      <c r="M251" s="361">
        <f t="shared" si="27"/>
        <v>0.97221698681932389</v>
      </c>
      <c r="N251" s="439"/>
      <c r="O251" s="439"/>
      <c r="P251" s="439"/>
      <c r="Q251" s="439"/>
    </row>
    <row r="252" spans="1:17" ht="30" customHeight="1" x14ac:dyDescent="0.25">
      <c r="A252" s="821">
        <v>1210180</v>
      </c>
      <c r="B252" s="49" t="s">
        <v>197</v>
      </c>
      <c r="C252" s="822">
        <v>133</v>
      </c>
      <c r="D252" s="950" t="s">
        <v>537</v>
      </c>
      <c r="E252" s="37"/>
      <c r="F252" s="37"/>
      <c r="G252" s="203"/>
      <c r="H252" s="7">
        <v>0</v>
      </c>
      <c r="I252" s="7">
        <v>28715.4</v>
      </c>
      <c r="J252" s="202"/>
      <c r="K252" s="186">
        <f>E252</f>
        <v>0</v>
      </c>
      <c r="L252" s="186">
        <f>F252+I252</f>
        <v>28715.4</v>
      </c>
      <c r="M252" s="361"/>
      <c r="N252" s="439"/>
      <c r="O252" s="439"/>
      <c r="P252" s="439"/>
      <c r="Q252" s="439"/>
    </row>
    <row r="253" spans="1:17" x14ac:dyDescent="0.25">
      <c r="A253" s="821"/>
      <c r="B253" s="822"/>
      <c r="C253" s="822"/>
      <c r="D253" s="353" t="s">
        <v>404</v>
      </c>
      <c r="E253" s="37"/>
      <c r="F253" s="37"/>
      <c r="G253" s="203"/>
      <c r="H253" s="7">
        <v>0</v>
      </c>
      <c r="I253" s="7">
        <v>28715.4</v>
      </c>
      <c r="J253" s="202"/>
      <c r="K253" s="186">
        <f>E253+H253</f>
        <v>0</v>
      </c>
      <c r="L253" s="186">
        <f>F253+I253</f>
        <v>28715.4</v>
      </c>
      <c r="M253" s="361"/>
      <c r="N253" s="439"/>
      <c r="O253" s="439"/>
      <c r="P253" s="439"/>
      <c r="Q253" s="439"/>
    </row>
    <row r="254" spans="1:17" ht="31.5" x14ac:dyDescent="0.25">
      <c r="A254" s="700" t="s">
        <v>120</v>
      </c>
      <c r="B254" s="701" t="s">
        <v>121</v>
      </c>
      <c r="C254" s="701" t="s">
        <v>122</v>
      </c>
      <c r="D254" s="24" t="s">
        <v>123</v>
      </c>
      <c r="E254" s="37">
        <f>E255</f>
        <v>9760</v>
      </c>
      <c r="F254" s="37">
        <v>9582.5400000000009</v>
      </c>
      <c r="G254" s="203">
        <f t="shared" si="1"/>
        <v>0.98181762295081976</v>
      </c>
      <c r="H254" s="7">
        <v>0</v>
      </c>
      <c r="I254" s="7">
        <v>0</v>
      </c>
      <c r="J254" s="202"/>
      <c r="K254" s="186">
        <f t="shared" si="29"/>
        <v>9760</v>
      </c>
      <c r="L254" s="186">
        <f t="shared" si="30"/>
        <v>9582.5400000000009</v>
      </c>
      <c r="M254" s="361">
        <f t="shared" si="27"/>
        <v>0.98181762295081976</v>
      </c>
      <c r="N254" s="439"/>
      <c r="O254" s="439"/>
      <c r="P254" s="439"/>
      <c r="Q254" s="439"/>
    </row>
    <row r="255" spans="1:17" x14ac:dyDescent="0.25">
      <c r="A255" s="700"/>
      <c r="B255" s="701"/>
      <c r="C255" s="701"/>
      <c r="D255" s="353" t="s">
        <v>404</v>
      </c>
      <c r="E255" s="37">
        <v>9760</v>
      </c>
      <c r="F255" s="37">
        <v>9582.5400000000009</v>
      </c>
      <c r="G255" s="203">
        <f t="shared" si="1"/>
        <v>0.98181762295081976</v>
      </c>
      <c r="H255" s="7"/>
      <c r="I255" s="7"/>
      <c r="J255" s="202"/>
      <c r="K255" s="186">
        <f t="shared" si="29"/>
        <v>9760</v>
      </c>
      <c r="L255" s="186">
        <f t="shared" si="30"/>
        <v>9582.5400000000009</v>
      </c>
      <c r="M255" s="361">
        <f t="shared" si="27"/>
        <v>0.98181762295081976</v>
      </c>
      <c r="N255" s="439"/>
      <c r="O255" s="439"/>
      <c r="P255" s="439"/>
      <c r="Q255" s="439"/>
    </row>
    <row r="256" spans="1:17" ht="45" customHeight="1" x14ac:dyDescent="0.25">
      <c r="A256" s="700">
        <v>1216012</v>
      </c>
      <c r="B256" s="701">
        <v>6012</v>
      </c>
      <c r="C256" s="701">
        <v>620</v>
      </c>
      <c r="D256" s="354" t="s">
        <v>208</v>
      </c>
      <c r="E256" s="37">
        <f>E257</f>
        <v>9431609</v>
      </c>
      <c r="F256" s="37">
        <f>F257</f>
        <v>9431609</v>
      </c>
      <c r="G256" s="203">
        <f t="shared" si="1"/>
        <v>1</v>
      </c>
      <c r="H256" s="7"/>
      <c r="I256" s="7"/>
      <c r="J256" s="202"/>
      <c r="K256" s="186">
        <f t="shared" si="29"/>
        <v>9431609</v>
      </c>
      <c r="L256" s="186">
        <f t="shared" si="30"/>
        <v>9431609</v>
      </c>
      <c r="M256" s="361">
        <f t="shared" si="27"/>
        <v>1</v>
      </c>
      <c r="N256" s="439"/>
      <c r="O256" s="439"/>
      <c r="P256" s="439"/>
      <c r="Q256" s="439"/>
    </row>
    <row r="257" spans="1:17" x14ac:dyDescent="0.25">
      <c r="A257" s="922"/>
      <c r="B257" s="924"/>
      <c r="C257" s="924"/>
      <c r="D257" s="353" t="s">
        <v>404</v>
      </c>
      <c r="E257" s="37">
        <v>9431609</v>
      </c>
      <c r="F257" s="37">
        <v>9431609</v>
      </c>
      <c r="G257" s="203">
        <f t="shared" si="1"/>
        <v>1</v>
      </c>
      <c r="H257" s="7"/>
      <c r="I257" s="7"/>
      <c r="J257" s="203"/>
      <c r="K257" s="186"/>
      <c r="L257" s="186"/>
      <c r="M257" s="361"/>
      <c r="N257" s="439"/>
      <c r="O257" s="439"/>
      <c r="P257" s="439"/>
      <c r="Q257" s="439"/>
    </row>
    <row r="258" spans="1:17" ht="32.25" thickBot="1" x14ac:dyDescent="0.3">
      <c r="A258" s="923" t="s">
        <v>124</v>
      </c>
      <c r="B258" s="925" t="s">
        <v>125</v>
      </c>
      <c r="C258" s="925" t="s">
        <v>26</v>
      </c>
      <c r="D258" s="964" t="s">
        <v>126</v>
      </c>
      <c r="E258" s="944">
        <f>E259</f>
        <v>576620</v>
      </c>
      <c r="F258" s="944">
        <f>F259</f>
        <v>576618.77</v>
      </c>
      <c r="G258" s="945">
        <f t="shared" si="1"/>
        <v>0.99999786687940073</v>
      </c>
      <c r="H258" s="946">
        <v>0</v>
      </c>
      <c r="I258" s="946">
        <v>0</v>
      </c>
      <c r="J258" s="945"/>
      <c r="K258" s="954">
        <f t="shared" si="29"/>
        <v>576620</v>
      </c>
      <c r="L258" s="954">
        <f t="shared" si="30"/>
        <v>576618.77</v>
      </c>
      <c r="M258" s="947">
        <f t="shared" si="27"/>
        <v>0.99999786687940073</v>
      </c>
      <c r="N258" s="439"/>
      <c r="O258" s="439"/>
      <c r="P258" s="439"/>
      <c r="Q258" s="439"/>
    </row>
    <row r="259" spans="1:17" x14ac:dyDescent="0.25">
      <c r="A259" s="939"/>
      <c r="B259" s="940"/>
      <c r="C259" s="940"/>
      <c r="D259" s="963" t="s">
        <v>404</v>
      </c>
      <c r="E259" s="40">
        <v>576620</v>
      </c>
      <c r="F259" s="40">
        <v>576618.77</v>
      </c>
      <c r="G259" s="202">
        <f t="shared" si="1"/>
        <v>0.99999786687940073</v>
      </c>
      <c r="H259" s="601"/>
      <c r="I259" s="601"/>
      <c r="J259" s="202"/>
      <c r="K259" s="959">
        <f t="shared" si="29"/>
        <v>576620</v>
      </c>
      <c r="L259" s="959">
        <f t="shared" si="30"/>
        <v>576618.77</v>
      </c>
      <c r="M259" s="362">
        <f t="shared" si="27"/>
        <v>0.99999786687940073</v>
      </c>
      <c r="N259" s="439"/>
      <c r="O259" s="439"/>
      <c r="P259" s="439"/>
      <c r="Q259" s="439"/>
    </row>
    <row r="260" spans="1:17" ht="31.5" x14ac:dyDescent="0.25">
      <c r="A260" s="700">
        <v>1216015</v>
      </c>
      <c r="B260" s="701">
        <v>6015</v>
      </c>
      <c r="C260" s="701">
        <v>620</v>
      </c>
      <c r="D260" s="354" t="s">
        <v>470</v>
      </c>
      <c r="E260" s="37"/>
      <c r="F260" s="37"/>
      <c r="G260" s="203"/>
      <c r="H260" s="7">
        <f>H261</f>
        <v>1835036</v>
      </c>
      <c r="I260" s="7">
        <f>I261</f>
        <v>1176752.08</v>
      </c>
      <c r="J260" s="202">
        <f t="shared" si="28"/>
        <v>0.64126920670766141</v>
      </c>
      <c r="K260" s="186">
        <f t="shared" si="29"/>
        <v>1835036</v>
      </c>
      <c r="L260" s="186">
        <f t="shared" si="30"/>
        <v>1176752.08</v>
      </c>
      <c r="M260" s="361">
        <f t="shared" si="27"/>
        <v>0.64126920670766141</v>
      </c>
      <c r="N260" s="439"/>
      <c r="O260" s="439"/>
      <c r="P260" s="439"/>
      <c r="Q260" s="439"/>
    </row>
    <row r="261" spans="1:17" x14ac:dyDescent="0.25">
      <c r="A261" s="700"/>
      <c r="B261" s="701"/>
      <c r="C261" s="701"/>
      <c r="D261" s="353" t="s">
        <v>407</v>
      </c>
      <c r="E261" s="37"/>
      <c r="F261" s="37"/>
      <c r="G261" s="203"/>
      <c r="H261" s="7">
        <f>H262</f>
        <v>1835036</v>
      </c>
      <c r="I261" s="7">
        <f>I262</f>
        <v>1176752.08</v>
      </c>
      <c r="J261" s="202">
        <f t="shared" si="28"/>
        <v>0.64126920670766141</v>
      </c>
      <c r="K261" s="186">
        <f t="shared" si="29"/>
        <v>1835036</v>
      </c>
      <c r="L261" s="186">
        <f t="shared" si="30"/>
        <v>1176752.08</v>
      </c>
      <c r="M261" s="361">
        <f t="shared" si="27"/>
        <v>0.64126920670766141</v>
      </c>
      <c r="N261" s="439"/>
      <c r="O261" s="439"/>
      <c r="P261" s="439"/>
      <c r="Q261" s="439"/>
    </row>
    <row r="262" spans="1:17" x14ac:dyDescent="0.25">
      <c r="A262" s="700"/>
      <c r="B262" s="701"/>
      <c r="C262" s="701"/>
      <c r="D262" s="354" t="s">
        <v>408</v>
      </c>
      <c r="E262" s="37"/>
      <c r="F262" s="37"/>
      <c r="G262" s="203"/>
      <c r="H262" s="7">
        <v>1835036</v>
      </c>
      <c r="I262" s="7">
        <v>1176752.08</v>
      </c>
      <c r="J262" s="202">
        <f t="shared" si="28"/>
        <v>0.64126920670766141</v>
      </c>
      <c r="K262" s="186">
        <f t="shared" si="29"/>
        <v>1835036</v>
      </c>
      <c r="L262" s="186">
        <f t="shared" si="30"/>
        <v>1176752.08</v>
      </c>
      <c r="M262" s="361">
        <f t="shared" si="27"/>
        <v>0.64126920670766141</v>
      </c>
      <c r="N262" s="439"/>
      <c r="O262" s="439"/>
      <c r="P262" s="439"/>
      <c r="Q262" s="439"/>
    </row>
    <row r="263" spans="1:17" ht="31.5" x14ac:dyDescent="0.25">
      <c r="A263" s="700" t="s">
        <v>127</v>
      </c>
      <c r="B263" s="701" t="s">
        <v>25</v>
      </c>
      <c r="C263" s="701" t="s">
        <v>26</v>
      </c>
      <c r="D263" s="24" t="s">
        <v>27</v>
      </c>
      <c r="E263" s="37">
        <f>E264</f>
        <v>46152938</v>
      </c>
      <c r="F263" s="37">
        <f>F264</f>
        <v>45555222.200000003</v>
      </c>
      <c r="G263" s="203">
        <f t="shared" ref="G263:G356" si="31">F263/E263</f>
        <v>0.98704923617213713</v>
      </c>
      <c r="H263" s="7">
        <f>H265</f>
        <v>461390</v>
      </c>
      <c r="I263" s="7">
        <f>I265</f>
        <v>450070</v>
      </c>
      <c r="J263" s="202">
        <f t="shared" si="28"/>
        <v>0.9754654413836451</v>
      </c>
      <c r="K263" s="186">
        <f>E263+H263</f>
        <v>46614328</v>
      </c>
      <c r="L263" s="186">
        <f t="shared" si="30"/>
        <v>46005292.200000003</v>
      </c>
      <c r="M263" s="361">
        <f t="shared" si="27"/>
        <v>0.98693457942802487</v>
      </c>
      <c r="N263" s="439"/>
      <c r="O263" s="439"/>
      <c r="P263" s="439"/>
      <c r="Q263" s="439"/>
    </row>
    <row r="264" spans="1:17" x14ac:dyDescent="0.25">
      <c r="A264" s="700"/>
      <c r="B264" s="701"/>
      <c r="C264" s="701"/>
      <c r="D264" s="353" t="s">
        <v>404</v>
      </c>
      <c r="E264" s="37">
        <v>46152938</v>
      </c>
      <c r="F264" s="37">
        <v>45555222.200000003</v>
      </c>
      <c r="G264" s="203">
        <f t="shared" si="31"/>
        <v>0.98704923617213713</v>
      </c>
      <c r="H264" s="7"/>
      <c r="I264" s="7"/>
      <c r="J264" s="202" t="e">
        <f t="shared" si="28"/>
        <v>#DIV/0!</v>
      </c>
      <c r="K264" s="186">
        <f t="shared" si="29"/>
        <v>46152938</v>
      </c>
      <c r="L264" s="186">
        <f t="shared" si="30"/>
        <v>45555222.200000003</v>
      </c>
      <c r="M264" s="361">
        <f>L264/K264</f>
        <v>0.98704923617213713</v>
      </c>
      <c r="N264" s="439"/>
      <c r="O264" s="439"/>
      <c r="P264" s="439"/>
      <c r="Q264" s="439"/>
    </row>
    <row r="265" spans="1:17" x14ac:dyDescent="0.25">
      <c r="A265" s="700"/>
      <c r="B265" s="701"/>
      <c r="C265" s="701"/>
      <c r="D265" s="353" t="s">
        <v>407</v>
      </c>
      <c r="E265" s="37"/>
      <c r="F265" s="37"/>
      <c r="G265" s="203"/>
      <c r="H265" s="7">
        <f>H266</f>
        <v>461390</v>
      </c>
      <c r="I265" s="7">
        <f>I266</f>
        <v>450070</v>
      </c>
      <c r="J265" s="202">
        <f t="shared" si="28"/>
        <v>0.9754654413836451</v>
      </c>
      <c r="K265" s="186">
        <f t="shared" si="29"/>
        <v>461390</v>
      </c>
      <c r="L265" s="186">
        <f t="shared" si="30"/>
        <v>450070</v>
      </c>
      <c r="M265" s="361">
        <f t="shared" ref="M265:M266" si="32">L265/K265</f>
        <v>0.9754654413836451</v>
      </c>
      <c r="N265" s="439"/>
      <c r="O265" s="439"/>
      <c r="P265" s="439"/>
      <c r="Q265" s="439"/>
    </row>
    <row r="266" spans="1:17" x14ac:dyDescent="0.25">
      <c r="A266" s="700"/>
      <c r="B266" s="701"/>
      <c r="C266" s="701"/>
      <c r="D266" s="354" t="s">
        <v>408</v>
      </c>
      <c r="E266" s="37"/>
      <c r="F266" s="37"/>
      <c r="G266" s="203"/>
      <c r="H266" s="7">
        <v>461390</v>
      </c>
      <c r="I266" s="7">
        <v>450070</v>
      </c>
      <c r="J266" s="202">
        <f t="shared" si="28"/>
        <v>0.9754654413836451</v>
      </c>
      <c r="K266" s="186">
        <f t="shared" si="29"/>
        <v>461390</v>
      </c>
      <c r="L266" s="186">
        <f t="shared" si="30"/>
        <v>450070</v>
      </c>
      <c r="M266" s="361">
        <f t="shared" si="32"/>
        <v>0.9754654413836451</v>
      </c>
      <c r="N266" s="439"/>
      <c r="O266" s="439"/>
      <c r="P266" s="439"/>
      <c r="Q266" s="439"/>
    </row>
    <row r="267" spans="1:17" ht="159.75" customHeight="1" x14ac:dyDescent="0.25">
      <c r="A267" s="700">
        <v>1216071</v>
      </c>
      <c r="B267" s="701">
        <v>6071</v>
      </c>
      <c r="C267" s="49" t="s">
        <v>234</v>
      </c>
      <c r="D267" s="24" t="s">
        <v>232</v>
      </c>
      <c r="E267" s="37">
        <f>E268</f>
        <v>9531353</v>
      </c>
      <c r="F267" s="37">
        <f>F268</f>
        <v>9481839.25</v>
      </c>
      <c r="G267" s="203">
        <f t="shared" si="31"/>
        <v>0.99480517089231713</v>
      </c>
      <c r="H267" s="7">
        <v>0</v>
      </c>
      <c r="I267" s="7">
        <v>0</v>
      </c>
      <c r="J267" s="202"/>
      <c r="K267" s="186">
        <f t="shared" si="29"/>
        <v>9531353</v>
      </c>
      <c r="L267" s="186">
        <f t="shared" si="30"/>
        <v>9481839.25</v>
      </c>
      <c r="M267" s="361">
        <f t="shared" si="27"/>
        <v>0.99480517089231713</v>
      </c>
      <c r="N267" s="439"/>
      <c r="O267" s="439"/>
      <c r="P267" s="439"/>
      <c r="Q267" s="439"/>
    </row>
    <row r="268" spans="1:17" x14ac:dyDescent="0.25">
      <c r="A268" s="700"/>
      <c r="B268" s="701"/>
      <c r="C268" s="49"/>
      <c r="D268" s="353" t="s">
        <v>404</v>
      </c>
      <c r="E268" s="37">
        <v>9531353</v>
      </c>
      <c r="F268" s="37">
        <v>9481839.25</v>
      </c>
      <c r="G268" s="203">
        <f t="shared" si="31"/>
        <v>0.99480517089231713</v>
      </c>
      <c r="H268" s="7"/>
      <c r="I268" s="7"/>
      <c r="J268" s="202"/>
      <c r="K268" s="186">
        <f t="shared" si="29"/>
        <v>9531353</v>
      </c>
      <c r="L268" s="186">
        <f t="shared" si="30"/>
        <v>9481839.25</v>
      </c>
      <c r="M268" s="361">
        <f t="shared" si="27"/>
        <v>0.99480517089231713</v>
      </c>
      <c r="N268" s="439"/>
      <c r="O268" s="439"/>
      <c r="P268" s="439"/>
      <c r="Q268" s="439"/>
    </row>
    <row r="269" spans="1:17" ht="57.75" customHeight="1" x14ac:dyDescent="0.25">
      <c r="A269" s="700" t="s">
        <v>128</v>
      </c>
      <c r="B269" s="701" t="s">
        <v>129</v>
      </c>
      <c r="C269" s="701" t="s">
        <v>130</v>
      </c>
      <c r="D269" s="24" t="s">
        <v>131</v>
      </c>
      <c r="E269" s="37">
        <f>E270</f>
        <v>3080153</v>
      </c>
      <c r="F269" s="37">
        <f>F270</f>
        <v>3008049.98</v>
      </c>
      <c r="G269" s="203">
        <f t="shared" si="31"/>
        <v>0.97659109141656275</v>
      </c>
      <c r="H269" s="7">
        <v>0</v>
      </c>
      <c r="I269" s="7">
        <v>0</v>
      </c>
      <c r="J269" s="202"/>
      <c r="K269" s="186">
        <f t="shared" si="29"/>
        <v>3080153</v>
      </c>
      <c r="L269" s="186">
        <f t="shared" si="30"/>
        <v>3008049.98</v>
      </c>
      <c r="M269" s="361">
        <f t="shared" si="27"/>
        <v>0.97659109141656275</v>
      </c>
      <c r="N269" s="439"/>
      <c r="O269" s="439"/>
      <c r="P269" s="439"/>
      <c r="Q269" s="439"/>
    </row>
    <row r="270" spans="1:17" x14ac:dyDescent="0.25">
      <c r="A270" s="35"/>
      <c r="B270" s="36"/>
      <c r="C270" s="36"/>
      <c r="D270" s="353" t="s">
        <v>404</v>
      </c>
      <c r="E270" s="38">
        <v>3080153</v>
      </c>
      <c r="F270" s="38">
        <v>3008049.98</v>
      </c>
      <c r="G270" s="203">
        <f t="shared" si="31"/>
        <v>0.97659109141656275</v>
      </c>
      <c r="H270" s="12"/>
      <c r="I270" s="7"/>
      <c r="J270" s="202"/>
      <c r="K270" s="186">
        <f t="shared" si="29"/>
        <v>3080153</v>
      </c>
      <c r="L270" s="186">
        <f t="shared" si="30"/>
        <v>3008049.98</v>
      </c>
      <c r="M270" s="361">
        <f t="shared" si="27"/>
        <v>0.97659109141656275</v>
      </c>
      <c r="N270" s="439"/>
      <c r="O270" s="439"/>
      <c r="P270" s="439"/>
      <c r="Q270" s="439"/>
    </row>
    <row r="271" spans="1:17" ht="48.75" customHeight="1" x14ac:dyDescent="0.25">
      <c r="A271" s="35">
        <v>1218110</v>
      </c>
      <c r="B271" s="36">
        <v>8110</v>
      </c>
      <c r="C271" s="113" t="s">
        <v>206</v>
      </c>
      <c r="D271" s="31" t="s">
        <v>207</v>
      </c>
      <c r="E271" s="38">
        <f>E272</f>
        <v>364320</v>
      </c>
      <c r="F271" s="38">
        <f>F272</f>
        <v>350367.2</v>
      </c>
      <c r="G271" s="203">
        <f t="shared" si="31"/>
        <v>0.96170180061484412</v>
      </c>
      <c r="H271" s="12"/>
      <c r="I271" s="12"/>
      <c r="J271" s="202"/>
      <c r="K271" s="186">
        <f t="shared" si="29"/>
        <v>364320</v>
      </c>
      <c r="L271" s="186">
        <f t="shared" si="30"/>
        <v>350367.2</v>
      </c>
      <c r="M271" s="361">
        <f t="shared" si="27"/>
        <v>0.96170180061484412</v>
      </c>
      <c r="N271" s="439"/>
      <c r="O271" s="439"/>
      <c r="P271" s="439"/>
      <c r="Q271" s="439"/>
    </row>
    <row r="272" spans="1:17" x14ac:dyDescent="0.25">
      <c r="A272" s="35"/>
      <c r="B272" s="36"/>
      <c r="C272" s="36"/>
      <c r="D272" s="355" t="s">
        <v>404</v>
      </c>
      <c r="E272" s="38">
        <v>364320</v>
      </c>
      <c r="F272" s="38">
        <v>350367.2</v>
      </c>
      <c r="G272" s="204">
        <f t="shared" si="31"/>
        <v>0.96170180061484412</v>
      </c>
      <c r="H272" s="12"/>
      <c r="I272" s="12"/>
      <c r="J272" s="202"/>
      <c r="K272" s="189">
        <f t="shared" si="29"/>
        <v>364320</v>
      </c>
      <c r="L272" s="189">
        <f t="shared" si="30"/>
        <v>350367.2</v>
      </c>
      <c r="M272" s="361">
        <f t="shared" si="27"/>
        <v>0.96170180061484412</v>
      </c>
      <c r="N272" s="439"/>
      <c r="O272" s="439"/>
      <c r="P272" s="439"/>
      <c r="Q272" s="439"/>
    </row>
    <row r="273" spans="1:17" ht="39" customHeight="1" x14ac:dyDescent="0.25">
      <c r="A273" s="35"/>
      <c r="B273" s="36"/>
      <c r="C273" s="36"/>
      <c r="D273" s="354" t="s">
        <v>406</v>
      </c>
      <c r="E273" s="38">
        <v>58050</v>
      </c>
      <c r="F273" s="38">
        <v>57000</v>
      </c>
      <c r="G273" s="204">
        <f t="shared" si="31"/>
        <v>0.98191214470284238</v>
      </c>
      <c r="H273" s="12"/>
      <c r="I273" s="12"/>
      <c r="J273" s="202"/>
      <c r="K273" s="189">
        <f t="shared" si="29"/>
        <v>58050</v>
      </c>
      <c r="L273" s="189">
        <f t="shared" si="30"/>
        <v>57000</v>
      </c>
      <c r="M273" s="361">
        <f t="shared" si="27"/>
        <v>0.98191214470284238</v>
      </c>
      <c r="N273" s="439"/>
      <c r="O273" s="439"/>
      <c r="P273" s="439"/>
      <c r="Q273" s="439"/>
    </row>
    <row r="274" spans="1:17" ht="30" customHeight="1" x14ac:dyDescent="0.25">
      <c r="A274" s="35">
        <v>1218311</v>
      </c>
      <c r="B274" s="36">
        <v>8311</v>
      </c>
      <c r="C274" s="113" t="s">
        <v>527</v>
      </c>
      <c r="D274" s="792" t="s">
        <v>526</v>
      </c>
      <c r="E274" s="38">
        <f>E275</f>
        <v>66000</v>
      </c>
      <c r="F274" s="38">
        <f>F275</f>
        <v>66000</v>
      </c>
      <c r="G274" s="204">
        <f t="shared" si="31"/>
        <v>1</v>
      </c>
      <c r="H274" s="12"/>
      <c r="I274" s="12"/>
      <c r="J274" s="202"/>
      <c r="K274" s="189">
        <f>E274</f>
        <v>66000</v>
      </c>
      <c r="L274" s="189">
        <f>F274</f>
        <v>66000</v>
      </c>
      <c r="M274" s="361">
        <f t="shared" si="27"/>
        <v>1</v>
      </c>
      <c r="N274" s="439"/>
      <c r="O274" s="439"/>
      <c r="P274" s="439"/>
      <c r="Q274" s="439"/>
    </row>
    <row r="275" spans="1:17" x14ac:dyDescent="0.25">
      <c r="A275" s="35"/>
      <c r="B275" s="36"/>
      <c r="C275" s="36"/>
      <c r="D275" s="355" t="s">
        <v>404</v>
      </c>
      <c r="E275" s="38">
        <v>66000</v>
      </c>
      <c r="F275" s="38">
        <v>66000</v>
      </c>
      <c r="G275" s="204">
        <f t="shared" si="31"/>
        <v>1</v>
      </c>
      <c r="H275" s="12"/>
      <c r="I275" s="12"/>
      <c r="J275" s="202"/>
      <c r="K275" s="189">
        <f>E275</f>
        <v>66000</v>
      </c>
      <c r="L275" s="189">
        <f>F275</f>
        <v>66000</v>
      </c>
      <c r="M275" s="361">
        <f t="shared" si="27"/>
        <v>1</v>
      </c>
      <c r="N275" s="439"/>
      <c r="O275" s="439"/>
      <c r="P275" s="439"/>
      <c r="Q275" s="439"/>
    </row>
    <row r="276" spans="1:17" ht="34.5" customHeight="1" x14ac:dyDescent="0.25">
      <c r="A276" s="700">
        <v>1218340</v>
      </c>
      <c r="B276" s="701">
        <v>8340</v>
      </c>
      <c r="C276" s="49" t="s">
        <v>134</v>
      </c>
      <c r="D276" s="354" t="s">
        <v>135</v>
      </c>
      <c r="E276" s="37"/>
      <c r="F276" s="37"/>
      <c r="G276" s="203"/>
      <c r="H276" s="7">
        <f>H277+H278</f>
        <v>394100</v>
      </c>
      <c r="I276" s="7">
        <f>I277+I278</f>
        <v>316750</v>
      </c>
      <c r="J276" s="202">
        <f t="shared" si="28"/>
        <v>0.80373001776198938</v>
      </c>
      <c r="K276" s="189">
        <f t="shared" si="29"/>
        <v>394100</v>
      </c>
      <c r="L276" s="189">
        <f t="shared" si="30"/>
        <v>316750</v>
      </c>
      <c r="M276" s="361">
        <f t="shared" si="27"/>
        <v>0.80373001776198938</v>
      </c>
      <c r="N276" s="439"/>
      <c r="O276" s="439"/>
      <c r="P276" s="439"/>
      <c r="Q276" s="439"/>
    </row>
    <row r="277" spans="1:17" x14ac:dyDescent="0.25">
      <c r="A277" s="922"/>
      <c r="B277" s="924"/>
      <c r="C277" s="924"/>
      <c r="D277" s="353" t="s">
        <v>404</v>
      </c>
      <c r="E277" s="37"/>
      <c r="F277" s="37"/>
      <c r="G277" s="203"/>
      <c r="H277" s="7">
        <v>322056</v>
      </c>
      <c r="I277" s="7">
        <v>316750</v>
      </c>
      <c r="J277" s="203">
        <f t="shared" si="28"/>
        <v>0.98352460441662315</v>
      </c>
      <c r="K277" s="189">
        <f t="shared" si="29"/>
        <v>322056</v>
      </c>
      <c r="L277" s="189">
        <f t="shared" si="30"/>
        <v>316750</v>
      </c>
      <c r="M277" s="361">
        <f t="shared" si="27"/>
        <v>0.98352460441662315</v>
      </c>
      <c r="N277" s="439"/>
      <c r="O277" s="439"/>
      <c r="P277" s="439"/>
      <c r="Q277" s="439"/>
    </row>
    <row r="278" spans="1:17" ht="16.5" thickBot="1" x14ac:dyDescent="0.3">
      <c r="A278" s="923"/>
      <c r="B278" s="925"/>
      <c r="C278" s="925"/>
      <c r="D278" s="943" t="s">
        <v>407</v>
      </c>
      <c r="E278" s="944"/>
      <c r="F278" s="944"/>
      <c r="G278" s="945"/>
      <c r="H278" s="946">
        <v>72044</v>
      </c>
      <c r="I278" s="946">
        <v>0</v>
      </c>
      <c r="J278" s="572">
        <f t="shared" si="28"/>
        <v>0</v>
      </c>
      <c r="K278" s="954">
        <f t="shared" si="29"/>
        <v>72044</v>
      </c>
      <c r="L278" s="954">
        <f t="shared" si="30"/>
        <v>0</v>
      </c>
      <c r="M278" s="947">
        <f t="shared" si="27"/>
        <v>0</v>
      </c>
      <c r="N278" s="439"/>
      <c r="O278" s="439"/>
      <c r="P278" s="439"/>
      <c r="Q278" s="439"/>
    </row>
    <row r="279" spans="1:17" s="29" customFormat="1" ht="61.5" customHeight="1" thickBot="1" x14ac:dyDescent="0.3">
      <c r="A279" s="32" t="s">
        <v>136</v>
      </c>
      <c r="B279" s="33" t="s">
        <v>14</v>
      </c>
      <c r="C279" s="33" t="s">
        <v>14</v>
      </c>
      <c r="D279" s="34" t="s">
        <v>442</v>
      </c>
      <c r="E279" s="51">
        <f>E280</f>
        <v>2932196</v>
      </c>
      <c r="F279" s="51">
        <f>F280</f>
        <v>2781874.64</v>
      </c>
      <c r="G279" s="201">
        <f t="shared" si="31"/>
        <v>0.94873420467117486</v>
      </c>
      <c r="H279" s="51">
        <f>H280</f>
        <v>64405680</v>
      </c>
      <c r="I279" s="823">
        <f>I280</f>
        <v>48829591.169999994</v>
      </c>
      <c r="J279" s="201">
        <f t="shared" si="28"/>
        <v>0.75815659690263337</v>
      </c>
      <c r="K279" s="199">
        <f>K280</f>
        <v>67337876</v>
      </c>
      <c r="L279" s="199">
        <f>L280</f>
        <v>51611465.809999995</v>
      </c>
      <c r="M279" s="209">
        <f t="shared" si="27"/>
        <v>0.76645520880403173</v>
      </c>
      <c r="N279" s="439"/>
      <c r="O279" s="439"/>
      <c r="P279" s="439"/>
      <c r="Q279" s="439"/>
    </row>
    <row r="280" spans="1:17" s="28" customFormat="1" ht="57.75" customHeight="1" x14ac:dyDescent="0.25">
      <c r="A280" s="45" t="s">
        <v>137</v>
      </c>
      <c r="B280" s="46" t="s">
        <v>14</v>
      </c>
      <c r="C280" s="46" t="s">
        <v>14</v>
      </c>
      <c r="D280" s="47" t="s">
        <v>442</v>
      </c>
      <c r="E280" s="39">
        <f>E281+E294+E303+E306</f>
        <v>2932196</v>
      </c>
      <c r="F280" s="39">
        <f>F281+F294+F303+F306</f>
        <v>2781874.64</v>
      </c>
      <c r="G280" s="202">
        <f t="shared" si="31"/>
        <v>0.94873420467117486</v>
      </c>
      <c r="H280" s="39">
        <f>H281+H294+H303+H306+H288+H297+H300+H285+H291</f>
        <v>64405680</v>
      </c>
      <c r="I280" s="39">
        <f>I281+I294+I303+I306+I288+I297+I300+I285+I291</f>
        <v>48829591.169999994</v>
      </c>
      <c r="J280" s="202">
        <f t="shared" si="28"/>
        <v>0.75815659690263337</v>
      </c>
      <c r="K280" s="39">
        <f>K281+K294+K303+K306+K288+K297+K300+K285+K291</f>
        <v>67337876</v>
      </c>
      <c r="L280" s="39">
        <f>L281+L294+L303+L306+L288+L297+L300+L285+L291</f>
        <v>51611465.809999995</v>
      </c>
      <c r="M280" s="362">
        <f t="shared" si="27"/>
        <v>0.76645520880403173</v>
      </c>
      <c r="N280" s="439"/>
      <c r="O280" s="439"/>
      <c r="P280" s="439"/>
      <c r="Q280" s="439"/>
    </row>
    <row r="281" spans="1:17" ht="53.25" customHeight="1" x14ac:dyDescent="0.25">
      <c r="A281" s="700" t="s">
        <v>178</v>
      </c>
      <c r="B281" s="701" t="s">
        <v>42</v>
      </c>
      <c r="C281" s="701" t="s">
        <v>16</v>
      </c>
      <c r="D281" s="24" t="s">
        <v>156</v>
      </c>
      <c r="E281" s="37">
        <f>E282</f>
        <v>2932196</v>
      </c>
      <c r="F281" s="37">
        <f>F282</f>
        <v>2781874.64</v>
      </c>
      <c r="G281" s="203">
        <f t="shared" si="31"/>
        <v>0.94873420467117486</v>
      </c>
      <c r="H281" s="7">
        <v>0</v>
      </c>
      <c r="I281" s="7">
        <v>0</v>
      </c>
      <c r="J281" s="202"/>
      <c r="K281" s="7">
        <f>E281+H281</f>
        <v>2932196</v>
      </c>
      <c r="L281" s="186">
        <f>F281+I281</f>
        <v>2781874.64</v>
      </c>
      <c r="M281" s="361">
        <f t="shared" si="27"/>
        <v>0.94873420467117486</v>
      </c>
      <c r="N281" s="439"/>
      <c r="O281" s="439"/>
      <c r="P281" s="439"/>
      <c r="Q281" s="439"/>
    </row>
    <row r="282" spans="1:17" x14ac:dyDescent="0.25">
      <c r="A282" s="700"/>
      <c r="B282" s="701"/>
      <c r="C282" s="701"/>
      <c r="D282" s="353" t="s">
        <v>404</v>
      </c>
      <c r="E282" s="37">
        <v>2932196</v>
      </c>
      <c r="F282" s="37">
        <v>2781874.64</v>
      </c>
      <c r="G282" s="203">
        <f t="shared" si="31"/>
        <v>0.94873420467117486</v>
      </c>
      <c r="H282" s="7"/>
      <c r="I282" s="7"/>
      <c r="J282" s="202"/>
      <c r="K282" s="186">
        <f t="shared" ref="K282:K308" si="33">E282+H282</f>
        <v>2932196</v>
      </c>
      <c r="L282" s="186">
        <f t="shared" ref="L282:L308" si="34">F282+I282</f>
        <v>2781874.64</v>
      </c>
      <c r="M282" s="361">
        <f t="shared" si="27"/>
        <v>0.94873420467117486</v>
      </c>
      <c r="N282" s="439"/>
      <c r="O282" s="439"/>
      <c r="P282" s="439"/>
      <c r="Q282" s="439"/>
    </row>
    <row r="283" spans="1:17" x14ac:dyDescent="0.25">
      <c r="A283" s="700"/>
      <c r="B283" s="701"/>
      <c r="C283" s="701"/>
      <c r="D283" s="354" t="s">
        <v>405</v>
      </c>
      <c r="E283" s="37">
        <v>2693423</v>
      </c>
      <c r="F283" s="37">
        <v>2581039.9300000002</v>
      </c>
      <c r="G283" s="203">
        <f t="shared" si="31"/>
        <v>0.95827500173570956</v>
      </c>
      <c r="H283" s="7"/>
      <c r="I283" s="7"/>
      <c r="J283" s="202"/>
      <c r="K283" s="186">
        <f t="shared" si="33"/>
        <v>2693423</v>
      </c>
      <c r="L283" s="186">
        <f t="shared" si="34"/>
        <v>2581039.9300000002</v>
      </c>
      <c r="M283" s="361">
        <f t="shared" si="27"/>
        <v>0.95827500173570956</v>
      </c>
      <c r="N283" s="439"/>
      <c r="O283" s="439"/>
      <c r="P283" s="439"/>
      <c r="Q283" s="439"/>
    </row>
    <row r="284" spans="1:17" ht="31.5" x14ac:dyDescent="0.25">
      <c r="A284" s="700"/>
      <c r="B284" s="701"/>
      <c r="C284" s="701"/>
      <c r="D284" s="354" t="s">
        <v>406</v>
      </c>
      <c r="E284" s="37">
        <v>107058</v>
      </c>
      <c r="F284" s="37">
        <v>78883.03</v>
      </c>
      <c r="G284" s="203">
        <f t="shared" si="31"/>
        <v>0.73682517887500232</v>
      </c>
      <c r="H284" s="7"/>
      <c r="I284" s="7"/>
      <c r="J284" s="202"/>
      <c r="K284" s="186">
        <f t="shared" si="33"/>
        <v>107058</v>
      </c>
      <c r="L284" s="186">
        <f t="shared" si="34"/>
        <v>78883.03</v>
      </c>
      <c r="M284" s="361">
        <f t="shared" si="27"/>
        <v>0.73682517887500232</v>
      </c>
      <c r="N284" s="439"/>
      <c r="O284" s="439"/>
      <c r="P284" s="439"/>
      <c r="Q284" s="439"/>
    </row>
    <row r="285" spans="1:17" ht="80.25" customHeight="1" x14ac:dyDescent="0.25">
      <c r="A285" s="738">
        <v>1510150</v>
      </c>
      <c r="B285" s="49" t="s">
        <v>148</v>
      </c>
      <c r="C285" s="739">
        <v>111</v>
      </c>
      <c r="D285" s="354" t="s">
        <v>149</v>
      </c>
      <c r="E285" s="37"/>
      <c r="F285" s="37"/>
      <c r="G285" s="203"/>
      <c r="H285" s="7">
        <f>H286</f>
        <v>599219</v>
      </c>
      <c r="I285" s="7">
        <f>I286</f>
        <v>599218.51</v>
      </c>
      <c r="J285" s="202">
        <f t="shared" si="28"/>
        <v>0.99999918226892004</v>
      </c>
      <c r="K285" s="186">
        <f>H285+E285</f>
        <v>599219</v>
      </c>
      <c r="L285" s="186">
        <f>I285+F285</f>
        <v>599218.51</v>
      </c>
      <c r="M285" s="361">
        <f t="shared" si="27"/>
        <v>0.99999918226892004</v>
      </c>
      <c r="N285" s="439"/>
      <c r="O285" s="439"/>
      <c r="P285" s="439"/>
      <c r="Q285" s="439"/>
    </row>
    <row r="286" spans="1:17" x14ac:dyDescent="0.25">
      <c r="A286" s="738"/>
      <c r="B286" s="49"/>
      <c r="C286" s="739"/>
      <c r="D286" s="353" t="s">
        <v>407</v>
      </c>
      <c r="E286" s="37"/>
      <c r="F286" s="37"/>
      <c r="G286" s="203"/>
      <c r="H286" s="7">
        <v>599219</v>
      </c>
      <c r="I286" s="7">
        <v>599218.51</v>
      </c>
      <c r="J286" s="202">
        <f t="shared" si="28"/>
        <v>0.99999918226892004</v>
      </c>
      <c r="K286" s="186">
        <f>H286+E286</f>
        <v>599219</v>
      </c>
      <c r="L286" s="186">
        <f>I286+F286</f>
        <v>599218.51</v>
      </c>
      <c r="M286" s="361">
        <f t="shared" si="27"/>
        <v>0.99999918226892004</v>
      </c>
      <c r="N286" s="439"/>
      <c r="O286" s="439"/>
      <c r="P286" s="439"/>
      <c r="Q286" s="439"/>
    </row>
    <row r="287" spans="1:17" x14ac:dyDescent="0.25">
      <c r="A287" s="738"/>
      <c r="B287" s="739"/>
      <c r="C287" s="739"/>
      <c r="D287" s="354" t="s">
        <v>408</v>
      </c>
      <c r="E287" s="37"/>
      <c r="F287" s="37"/>
      <c r="G287" s="203"/>
      <c r="H287" s="7">
        <v>599219</v>
      </c>
      <c r="I287" s="7">
        <v>599218.51</v>
      </c>
      <c r="J287" s="202">
        <f t="shared" si="28"/>
        <v>0.99999918226892004</v>
      </c>
      <c r="K287" s="186">
        <v>250000</v>
      </c>
      <c r="L287" s="186">
        <f>I287+F287</f>
        <v>599218.51</v>
      </c>
      <c r="M287" s="361">
        <v>0</v>
      </c>
      <c r="N287" s="439"/>
      <c r="O287" s="439"/>
      <c r="P287" s="439"/>
      <c r="Q287" s="439"/>
    </row>
    <row r="288" spans="1:17" ht="47.25" x14ac:dyDescent="0.25">
      <c r="A288" s="700">
        <v>1511021</v>
      </c>
      <c r="B288" s="701">
        <v>1021</v>
      </c>
      <c r="C288" s="49" t="s">
        <v>49</v>
      </c>
      <c r="D288" s="354" t="s">
        <v>472</v>
      </c>
      <c r="E288" s="37"/>
      <c r="F288" s="37"/>
      <c r="G288" s="203"/>
      <c r="H288" s="7">
        <f>H289</f>
        <v>27623535</v>
      </c>
      <c r="I288" s="7">
        <f>I289</f>
        <v>25765040.079999998</v>
      </c>
      <c r="J288" s="202">
        <f t="shared" si="28"/>
        <v>0.93272059785251948</v>
      </c>
      <c r="K288" s="186">
        <f t="shared" si="33"/>
        <v>27623535</v>
      </c>
      <c r="L288" s="186">
        <f t="shared" si="34"/>
        <v>25765040.079999998</v>
      </c>
      <c r="M288" s="361">
        <f t="shared" si="27"/>
        <v>0.93272059785251948</v>
      </c>
      <c r="N288" s="439"/>
      <c r="O288" s="439"/>
      <c r="P288" s="439"/>
      <c r="Q288" s="439"/>
    </row>
    <row r="289" spans="1:17" x14ac:dyDescent="0.25">
      <c r="A289" s="700"/>
      <c r="B289" s="701"/>
      <c r="C289" s="701"/>
      <c r="D289" s="353" t="s">
        <v>407</v>
      </c>
      <c r="E289" s="37"/>
      <c r="F289" s="37"/>
      <c r="G289" s="203"/>
      <c r="H289" s="7">
        <f>H290</f>
        <v>27623535</v>
      </c>
      <c r="I289" s="7">
        <f>I290</f>
        <v>25765040.079999998</v>
      </c>
      <c r="J289" s="202">
        <f t="shared" si="28"/>
        <v>0.93272059785251948</v>
      </c>
      <c r="K289" s="186">
        <f t="shared" si="33"/>
        <v>27623535</v>
      </c>
      <c r="L289" s="186">
        <f t="shared" si="34"/>
        <v>25765040.079999998</v>
      </c>
      <c r="M289" s="361">
        <f t="shared" si="27"/>
        <v>0.93272059785251948</v>
      </c>
      <c r="N289" s="439"/>
      <c r="O289" s="439"/>
      <c r="P289" s="439"/>
      <c r="Q289" s="439"/>
    </row>
    <row r="290" spans="1:17" x14ac:dyDescent="0.25">
      <c r="A290" s="700"/>
      <c r="B290" s="701"/>
      <c r="C290" s="701"/>
      <c r="D290" s="354" t="s">
        <v>408</v>
      </c>
      <c r="E290" s="37"/>
      <c r="F290" s="37"/>
      <c r="G290" s="203"/>
      <c r="H290" s="7">
        <v>27623535</v>
      </c>
      <c r="I290" s="7">
        <v>25765040.079999998</v>
      </c>
      <c r="J290" s="202">
        <f t="shared" si="28"/>
        <v>0.93272059785251948</v>
      </c>
      <c r="K290" s="186">
        <f t="shared" si="33"/>
        <v>27623535</v>
      </c>
      <c r="L290" s="186">
        <f t="shared" si="34"/>
        <v>25765040.079999998</v>
      </c>
      <c r="M290" s="361">
        <f t="shared" si="27"/>
        <v>0.93272059785251948</v>
      </c>
      <c r="N290" s="439"/>
      <c r="O290" s="439"/>
      <c r="P290" s="439"/>
      <c r="Q290" s="439"/>
    </row>
    <row r="291" spans="1:17" ht="31.5" x14ac:dyDescent="0.25">
      <c r="A291" s="738">
        <v>1512010</v>
      </c>
      <c r="B291" s="739">
        <v>2010</v>
      </c>
      <c r="C291" s="49" t="s">
        <v>19</v>
      </c>
      <c r="D291" s="354" t="s">
        <v>20</v>
      </c>
      <c r="E291" s="37"/>
      <c r="F291" s="37"/>
      <c r="G291" s="203"/>
      <c r="H291" s="7">
        <f>H292</f>
        <v>3000000</v>
      </c>
      <c r="I291" s="7">
        <f>I292</f>
        <v>333165.09999999998</v>
      </c>
      <c r="J291" s="202">
        <f t="shared" si="28"/>
        <v>0.11105503333333333</v>
      </c>
      <c r="K291" s="186">
        <f t="shared" ref="K291:L293" si="35">H291+E291</f>
        <v>3000000</v>
      </c>
      <c r="L291" s="186">
        <f t="shared" si="35"/>
        <v>333165.09999999998</v>
      </c>
      <c r="M291" s="361">
        <f t="shared" si="27"/>
        <v>0.11105503333333333</v>
      </c>
      <c r="N291" s="439"/>
      <c r="O291" s="439"/>
      <c r="P291" s="439"/>
      <c r="Q291" s="439"/>
    </row>
    <row r="292" spans="1:17" x14ac:dyDescent="0.25">
      <c r="A292" s="738"/>
      <c r="B292" s="739"/>
      <c r="C292" s="739"/>
      <c r="D292" s="353" t="s">
        <v>407</v>
      </c>
      <c r="E292" s="37"/>
      <c r="F292" s="37"/>
      <c r="G292" s="203"/>
      <c r="H292" s="7">
        <v>3000000</v>
      </c>
      <c r="I292" s="7">
        <v>333165.09999999998</v>
      </c>
      <c r="J292" s="202">
        <f t="shared" si="28"/>
        <v>0.11105503333333333</v>
      </c>
      <c r="K292" s="186">
        <f t="shared" si="35"/>
        <v>3000000</v>
      </c>
      <c r="L292" s="186">
        <f t="shared" si="35"/>
        <v>333165.09999999998</v>
      </c>
      <c r="M292" s="361">
        <f t="shared" si="27"/>
        <v>0.11105503333333333</v>
      </c>
      <c r="N292" s="439"/>
      <c r="O292" s="439"/>
      <c r="P292" s="439"/>
      <c r="Q292" s="439"/>
    </row>
    <row r="293" spans="1:17" x14ac:dyDescent="0.25">
      <c r="A293" s="738"/>
      <c r="B293" s="739"/>
      <c r="C293" s="739"/>
      <c r="D293" s="354" t="s">
        <v>408</v>
      </c>
      <c r="E293" s="37"/>
      <c r="F293" s="37"/>
      <c r="G293" s="203"/>
      <c r="H293" s="7">
        <v>3000000</v>
      </c>
      <c r="I293" s="7">
        <v>333165.09999999998</v>
      </c>
      <c r="J293" s="202">
        <f t="shared" si="28"/>
        <v>0.11105503333333333</v>
      </c>
      <c r="K293" s="186">
        <f t="shared" si="35"/>
        <v>3000000</v>
      </c>
      <c r="L293" s="186">
        <f t="shared" si="35"/>
        <v>333165.09999999998</v>
      </c>
      <c r="M293" s="361">
        <f t="shared" si="27"/>
        <v>0.11105503333333333</v>
      </c>
      <c r="N293" s="439"/>
      <c r="O293" s="439"/>
      <c r="P293" s="439"/>
      <c r="Q293" s="439"/>
    </row>
    <row r="294" spans="1:17" x14ac:dyDescent="0.25">
      <c r="A294" s="56">
        <v>1512170</v>
      </c>
      <c r="B294" s="57">
        <v>2170</v>
      </c>
      <c r="C294" s="58" t="s">
        <v>204</v>
      </c>
      <c r="D294" s="30" t="s">
        <v>534</v>
      </c>
      <c r="E294" s="37">
        <v>0</v>
      </c>
      <c r="F294" s="37">
        <v>0</v>
      </c>
      <c r="G294" s="203"/>
      <c r="H294" s="7">
        <f>H295</f>
        <v>173444</v>
      </c>
      <c r="I294" s="7">
        <f>I295</f>
        <v>169338.45</v>
      </c>
      <c r="J294" s="203">
        <f t="shared" si="28"/>
        <v>0.9763292474804548</v>
      </c>
      <c r="K294" s="186">
        <f t="shared" si="33"/>
        <v>173444</v>
      </c>
      <c r="L294" s="186">
        <f t="shared" si="34"/>
        <v>169338.45</v>
      </c>
      <c r="M294" s="361">
        <f t="shared" si="27"/>
        <v>0.9763292474804548</v>
      </c>
      <c r="N294" s="439"/>
      <c r="O294" s="439"/>
      <c r="P294" s="439"/>
      <c r="Q294" s="439"/>
    </row>
    <row r="295" spans="1:17" x14ac:dyDescent="0.25">
      <c r="A295" s="210"/>
      <c r="B295" s="59"/>
      <c r="C295" s="60"/>
      <c r="D295" s="353" t="s">
        <v>407</v>
      </c>
      <c r="E295" s="7"/>
      <c r="F295" s="7"/>
      <c r="G295" s="203"/>
      <c r="H295" s="7">
        <f>H296</f>
        <v>173444</v>
      </c>
      <c r="I295" s="7">
        <f>I296</f>
        <v>169338.45</v>
      </c>
      <c r="J295" s="203">
        <f t="shared" si="28"/>
        <v>0.9763292474804548</v>
      </c>
      <c r="K295" s="186">
        <f t="shared" si="33"/>
        <v>173444</v>
      </c>
      <c r="L295" s="186">
        <f t="shared" si="34"/>
        <v>169338.45</v>
      </c>
      <c r="M295" s="361">
        <f t="shared" ref="M295:M355" si="36">L295/K295</f>
        <v>0.9763292474804548</v>
      </c>
      <c r="N295" s="439"/>
      <c r="O295" s="439"/>
      <c r="P295" s="439"/>
      <c r="Q295" s="439"/>
    </row>
    <row r="296" spans="1:17" x14ac:dyDescent="0.25">
      <c r="A296" s="210"/>
      <c r="B296" s="59"/>
      <c r="C296" s="60"/>
      <c r="D296" s="354" t="s">
        <v>408</v>
      </c>
      <c r="E296" s="7"/>
      <c r="F296" s="7"/>
      <c r="G296" s="203"/>
      <c r="H296" s="12">
        <v>173444</v>
      </c>
      <c r="I296" s="12">
        <v>169338.45</v>
      </c>
      <c r="J296" s="203">
        <f t="shared" si="28"/>
        <v>0.9763292474804548</v>
      </c>
      <c r="K296" s="186">
        <f t="shared" si="33"/>
        <v>173444</v>
      </c>
      <c r="L296" s="186">
        <f t="shared" si="34"/>
        <v>169338.45</v>
      </c>
      <c r="M296" s="361">
        <f t="shared" si="36"/>
        <v>0.9763292474804548</v>
      </c>
      <c r="N296" s="439"/>
      <c r="O296" s="439"/>
      <c r="P296" s="439"/>
      <c r="Q296" s="439"/>
    </row>
    <row r="297" spans="1:17" ht="47.25" x14ac:dyDescent="0.25">
      <c r="A297" s="440" t="s">
        <v>485</v>
      </c>
      <c r="B297" s="60" t="s">
        <v>486</v>
      </c>
      <c r="C297" s="60" t="s">
        <v>26</v>
      </c>
      <c r="D297" s="356" t="s">
        <v>208</v>
      </c>
      <c r="E297" s="7"/>
      <c r="F297" s="7"/>
      <c r="G297" s="203"/>
      <c r="H297" s="12">
        <f>H298</f>
        <v>21076468</v>
      </c>
      <c r="I297" s="12">
        <f>I298</f>
        <v>12140973.390000001</v>
      </c>
      <c r="J297" s="203">
        <f t="shared" si="28"/>
        <v>0.57604402170230806</v>
      </c>
      <c r="K297" s="186">
        <f t="shared" si="33"/>
        <v>21076468</v>
      </c>
      <c r="L297" s="186">
        <f t="shared" si="34"/>
        <v>12140973.390000001</v>
      </c>
      <c r="M297" s="361">
        <f t="shared" si="36"/>
        <v>0.57604402170230806</v>
      </c>
      <c r="N297" s="439"/>
      <c r="O297" s="439"/>
      <c r="P297" s="439"/>
      <c r="Q297" s="439"/>
    </row>
    <row r="298" spans="1:17" x14ac:dyDescent="0.25">
      <c r="A298" s="440"/>
      <c r="B298" s="60"/>
      <c r="C298" s="60"/>
      <c r="D298" s="355" t="s">
        <v>407</v>
      </c>
      <c r="E298" s="7"/>
      <c r="F298" s="7"/>
      <c r="G298" s="203"/>
      <c r="H298" s="12">
        <f>H299</f>
        <v>21076468</v>
      </c>
      <c r="I298" s="12">
        <f>I299</f>
        <v>12140973.390000001</v>
      </c>
      <c r="J298" s="203">
        <f t="shared" si="28"/>
        <v>0.57604402170230806</v>
      </c>
      <c r="K298" s="186">
        <f t="shared" si="33"/>
        <v>21076468</v>
      </c>
      <c r="L298" s="186">
        <f t="shared" si="34"/>
        <v>12140973.390000001</v>
      </c>
      <c r="M298" s="361">
        <f t="shared" si="36"/>
        <v>0.57604402170230806</v>
      </c>
      <c r="N298" s="439"/>
      <c r="O298" s="439"/>
      <c r="P298" s="439"/>
      <c r="Q298" s="439"/>
    </row>
    <row r="299" spans="1:17" x14ac:dyDescent="0.25">
      <c r="A299" s="440"/>
      <c r="B299" s="60"/>
      <c r="C299" s="60"/>
      <c r="D299" s="356" t="s">
        <v>408</v>
      </c>
      <c r="E299" s="7"/>
      <c r="F299" s="7"/>
      <c r="G299" s="203"/>
      <c r="H299" s="12">
        <v>21076468</v>
      </c>
      <c r="I299" s="12">
        <v>12140973.390000001</v>
      </c>
      <c r="J299" s="203">
        <f t="shared" si="28"/>
        <v>0.57604402170230806</v>
      </c>
      <c r="K299" s="186">
        <f t="shared" si="33"/>
        <v>21076468</v>
      </c>
      <c r="L299" s="186">
        <f t="shared" si="34"/>
        <v>12140973.390000001</v>
      </c>
      <c r="M299" s="361">
        <f t="shared" si="36"/>
        <v>0.57604402170230806</v>
      </c>
      <c r="N299" s="439"/>
      <c r="O299" s="439"/>
      <c r="P299" s="439"/>
      <c r="Q299" s="439"/>
    </row>
    <row r="300" spans="1:17" ht="31.5" x14ac:dyDescent="0.25">
      <c r="A300" s="440" t="s">
        <v>535</v>
      </c>
      <c r="B300" s="60" t="s">
        <v>125</v>
      </c>
      <c r="C300" s="60" t="s">
        <v>26</v>
      </c>
      <c r="D300" s="356" t="s">
        <v>126</v>
      </c>
      <c r="E300" s="7"/>
      <c r="F300" s="7"/>
      <c r="G300" s="203"/>
      <c r="H300" s="12">
        <f>H301</f>
        <v>1239640</v>
      </c>
      <c r="I300" s="12">
        <f>I301</f>
        <v>192944.37</v>
      </c>
      <c r="J300" s="203">
        <f t="shared" si="28"/>
        <v>0.155645485786196</v>
      </c>
      <c r="K300" s="186">
        <f t="shared" si="33"/>
        <v>1239640</v>
      </c>
      <c r="L300" s="186">
        <f t="shared" si="34"/>
        <v>192944.37</v>
      </c>
      <c r="M300" s="361">
        <f t="shared" si="36"/>
        <v>0.155645485786196</v>
      </c>
      <c r="N300" s="439"/>
      <c r="O300" s="439"/>
      <c r="P300" s="439"/>
      <c r="Q300" s="439"/>
    </row>
    <row r="301" spans="1:17" x14ac:dyDescent="0.25">
      <c r="A301" s="440"/>
      <c r="B301" s="60"/>
      <c r="C301" s="60"/>
      <c r="D301" s="355" t="s">
        <v>407</v>
      </c>
      <c r="E301" s="7"/>
      <c r="F301" s="7"/>
      <c r="G301" s="203"/>
      <c r="H301" s="12">
        <f>H302</f>
        <v>1239640</v>
      </c>
      <c r="I301" s="12">
        <f>I302</f>
        <v>192944.37</v>
      </c>
      <c r="J301" s="203">
        <f t="shared" si="28"/>
        <v>0.155645485786196</v>
      </c>
      <c r="K301" s="186">
        <f t="shared" si="33"/>
        <v>1239640</v>
      </c>
      <c r="L301" s="186">
        <f t="shared" si="34"/>
        <v>192944.37</v>
      </c>
      <c r="M301" s="361">
        <f t="shared" si="36"/>
        <v>0.155645485786196</v>
      </c>
      <c r="N301" s="439"/>
      <c r="O301" s="439"/>
      <c r="P301" s="439"/>
      <c r="Q301" s="439"/>
    </row>
    <row r="302" spans="1:17" ht="16.5" thickBot="1" x14ac:dyDescent="0.3">
      <c r="A302" s="960"/>
      <c r="B302" s="961"/>
      <c r="C302" s="961"/>
      <c r="D302" s="962" t="s">
        <v>408</v>
      </c>
      <c r="E302" s="946"/>
      <c r="F302" s="946"/>
      <c r="G302" s="945"/>
      <c r="H302" s="946">
        <v>1239640</v>
      </c>
      <c r="I302" s="946">
        <v>192944.37</v>
      </c>
      <c r="J302" s="945"/>
      <c r="K302" s="954">
        <f t="shared" si="33"/>
        <v>1239640</v>
      </c>
      <c r="L302" s="954">
        <f t="shared" si="34"/>
        <v>192944.37</v>
      </c>
      <c r="M302" s="947">
        <f t="shared" si="36"/>
        <v>0.155645485786196</v>
      </c>
      <c r="N302" s="439"/>
      <c r="O302" s="439"/>
      <c r="P302" s="439"/>
      <c r="Q302" s="439"/>
    </row>
    <row r="303" spans="1:17" ht="31.5" x14ac:dyDescent="0.25">
      <c r="A303" s="955">
        <v>1516030</v>
      </c>
      <c r="B303" s="956" t="s">
        <v>25</v>
      </c>
      <c r="C303" s="956" t="s">
        <v>26</v>
      </c>
      <c r="D303" s="957" t="s">
        <v>27</v>
      </c>
      <c r="E303" s="601">
        <v>0</v>
      </c>
      <c r="F303" s="601">
        <v>0</v>
      </c>
      <c r="G303" s="202"/>
      <c r="H303" s="958">
        <f>H304</f>
        <v>3166481</v>
      </c>
      <c r="I303" s="958">
        <f>I304</f>
        <v>2672917.09</v>
      </c>
      <c r="J303" s="202">
        <f t="shared" si="28"/>
        <v>0.84412857364373883</v>
      </c>
      <c r="K303" s="959">
        <f t="shared" si="33"/>
        <v>3166481</v>
      </c>
      <c r="L303" s="959">
        <f t="shared" si="34"/>
        <v>2672917.09</v>
      </c>
      <c r="M303" s="362">
        <f t="shared" si="36"/>
        <v>0.84412857364373883</v>
      </c>
      <c r="N303" s="439"/>
      <c r="O303" s="439"/>
      <c r="P303" s="439"/>
      <c r="Q303" s="439"/>
    </row>
    <row r="304" spans="1:17" x14ac:dyDescent="0.25">
      <c r="A304" s="793"/>
      <c r="B304" s="772"/>
      <c r="C304" s="794"/>
      <c r="D304" s="353" t="s">
        <v>407</v>
      </c>
      <c r="E304" s="7"/>
      <c r="F304" s="7"/>
      <c r="G304" s="203"/>
      <c r="H304" s="7">
        <f>H305</f>
        <v>3166481</v>
      </c>
      <c r="I304" s="7">
        <f>I305</f>
        <v>2672917.09</v>
      </c>
      <c r="J304" s="203">
        <f t="shared" si="28"/>
        <v>0.84412857364373883</v>
      </c>
      <c r="K304" s="186">
        <f t="shared" si="33"/>
        <v>3166481</v>
      </c>
      <c r="L304" s="186">
        <f t="shared" si="34"/>
        <v>2672917.09</v>
      </c>
      <c r="M304" s="360">
        <f t="shared" si="36"/>
        <v>0.84412857364373883</v>
      </c>
      <c r="N304" s="439"/>
      <c r="O304" s="439"/>
      <c r="P304" s="439"/>
      <c r="Q304" s="439"/>
    </row>
    <row r="305" spans="1:17" x14ac:dyDescent="0.25">
      <c r="A305" s="793"/>
      <c r="B305" s="924"/>
      <c r="C305" s="794"/>
      <c r="D305" s="354" t="s">
        <v>408</v>
      </c>
      <c r="E305" s="7"/>
      <c r="F305" s="7"/>
      <c r="G305" s="203"/>
      <c r="H305" s="7">
        <v>3166481</v>
      </c>
      <c r="I305" s="7">
        <v>2672917.09</v>
      </c>
      <c r="J305" s="203">
        <f t="shared" si="28"/>
        <v>0.84412857364373883</v>
      </c>
      <c r="K305" s="186">
        <f t="shared" si="33"/>
        <v>3166481</v>
      </c>
      <c r="L305" s="186">
        <f t="shared" si="34"/>
        <v>2672917.09</v>
      </c>
      <c r="M305" s="360">
        <f t="shared" si="36"/>
        <v>0.84412857364373883</v>
      </c>
      <c r="N305" s="439"/>
      <c r="O305" s="439"/>
      <c r="P305" s="439"/>
      <c r="Q305" s="439"/>
    </row>
    <row r="306" spans="1:17" ht="31.5" x14ac:dyDescent="0.25">
      <c r="A306" s="112">
        <v>1517461</v>
      </c>
      <c r="B306" s="36">
        <v>7461</v>
      </c>
      <c r="C306" s="441" t="s">
        <v>130</v>
      </c>
      <c r="D306" s="31" t="s">
        <v>258</v>
      </c>
      <c r="E306" s="12">
        <v>0</v>
      </c>
      <c r="F306" s="12">
        <v>0</v>
      </c>
      <c r="G306" s="204"/>
      <c r="H306" s="12">
        <f>H307</f>
        <v>7526893</v>
      </c>
      <c r="I306" s="12">
        <f>I307</f>
        <v>6955994.1799999997</v>
      </c>
      <c r="J306" s="204">
        <f t="shared" si="28"/>
        <v>0.92415212757774023</v>
      </c>
      <c r="K306" s="186">
        <f t="shared" si="33"/>
        <v>7526893</v>
      </c>
      <c r="L306" s="186">
        <f t="shared" si="34"/>
        <v>6955994.1799999997</v>
      </c>
      <c r="M306" s="361">
        <f t="shared" si="36"/>
        <v>0.92415212757774023</v>
      </c>
      <c r="N306" s="439"/>
      <c r="O306" s="439"/>
      <c r="P306" s="439"/>
      <c r="Q306" s="439"/>
    </row>
    <row r="307" spans="1:17" x14ac:dyDescent="0.25">
      <c r="A307" s="700"/>
      <c r="B307" s="701"/>
      <c r="C307" s="701"/>
      <c r="D307" s="353" t="s">
        <v>407</v>
      </c>
      <c r="E307" s="7"/>
      <c r="F307" s="7"/>
      <c r="G307" s="203"/>
      <c r="H307" s="7">
        <f>H308</f>
        <v>7526893</v>
      </c>
      <c r="I307" s="7">
        <f>I308</f>
        <v>6955994.1799999997</v>
      </c>
      <c r="J307" s="204">
        <f t="shared" si="28"/>
        <v>0.92415212757774023</v>
      </c>
      <c r="K307" s="186">
        <f t="shared" si="33"/>
        <v>7526893</v>
      </c>
      <c r="L307" s="186">
        <f t="shared" si="34"/>
        <v>6955994.1799999997</v>
      </c>
      <c r="M307" s="361">
        <f t="shared" si="36"/>
        <v>0.92415212757774023</v>
      </c>
      <c r="N307" s="439"/>
      <c r="O307" s="439"/>
      <c r="P307" s="439"/>
      <c r="Q307" s="439"/>
    </row>
    <row r="308" spans="1:17" ht="16.5" thickBot="1" x14ac:dyDescent="0.3">
      <c r="A308" s="35"/>
      <c r="B308" s="36"/>
      <c r="C308" s="36"/>
      <c r="D308" s="356" t="s">
        <v>408</v>
      </c>
      <c r="E308" s="12"/>
      <c r="F308" s="12"/>
      <c r="G308" s="204"/>
      <c r="H308" s="12">
        <v>7526893</v>
      </c>
      <c r="I308" s="12">
        <v>6955994.1799999997</v>
      </c>
      <c r="J308" s="204">
        <f t="shared" si="28"/>
        <v>0.92415212757774023</v>
      </c>
      <c r="K308" s="189">
        <f t="shared" si="33"/>
        <v>7526893</v>
      </c>
      <c r="L308" s="189">
        <f t="shared" si="34"/>
        <v>6955994.1799999997</v>
      </c>
      <c r="M308" s="361">
        <f t="shared" si="36"/>
        <v>0.92415212757774023</v>
      </c>
      <c r="N308" s="439"/>
      <c r="O308" s="439"/>
      <c r="P308" s="439"/>
      <c r="Q308" s="439"/>
    </row>
    <row r="309" spans="1:17" s="29" customFormat="1" ht="67.5" customHeight="1" thickBot="1" x14ac:dyDescent="0.3">
      <c r="A309" s="32" t="s">
        <v>179</v>
      </c>
      <c r="B309" s="33" t="s">
        <v>14</v>
      </c>
      <c r="C309" s="33" t="s">
        <v>14</v>
      </c>
      <c r="D309" s="34" t="s">
        <v>180</v>
      </c>
      <c r="E309" s="51">
        <f t="shared" ref="E309:F311" si="37">E310</f>
        <v>4927720</v>
      </c>
      <c r="F309" s="51">
        <f t="shared" si="37"/>
        <v>4918733.5</v>
      </c>
      <c r="G309" s="201">
        <f t="shared" si="31"/>
        <v>0.99817633712954468</v>
      </c>
      <c r="H309" s="10">
        <f>H310</f>
        <v>9670744</v>
      </c>
      <c r="I309" s="10">
        <f>I310</f>
        <v>9099315.0199999996</v>
      </c>
      <c r="J309" s="201">
        <f t="shared" si="28"/>
        <v>0.94091158032929001</v>
      </c>
      <c r="K309" s="199">
        <f>K310</f>
        <v>14598464</v>
      </c>
      <c r="L309" s="199">
        <f>L310</f>
        <v>14018048.52</v>
      </c>
      <c r="M309" s="209">
        <f t="shared" si="36"/>
        <v>0.96024133223878894</v>
      </c>
      <c r="N309" s="439"/>
      <c r="O309" s="439"/>
      <c r="P309" s="439"/>
      <c r="Q309" s="439"/>
    </row>
    <row r="310" spans="1:17" s="28" customFormat="1" ht="55.5" customHeight="1" x14ac:dyDescent="0.25">
      <c r="A310" s="45" t="s">
        <v>181</v>
      </c>
      <c r="B310" s="46" t="s">
        <v>14</v>
      </c>
      <c r="C310" s="46" t="s">
        <v>14</v>
      </c>
      <c r="D310" s="47" t="s">
        <v>180</v>
      </c>
      <c r="E310" s="39">
        <f t="shared" si="37"/>
        <v>4927720</v>
      </c>
      <c r="F310" s="39">
        <f t="shared" si="37"/>
        <v>4918733.5</v>
      </c>
      <c r="G310" s="202">
        <f t="shared" si="31"/>
        <v>0.99817633712954468</v>
      </c>
      <c r="H310" s="13">
        <f>H314</f>
        <v>9670744</v>
      </c>
      <c r="I310" s="13">
        <f>I314</f>
        <v>9099315.0199999996</v>
      </c>
      <c r="J310" s="202">
        <f t="shared" si="28"/>
        <v>0.94091158032929001</v>
      </c>
      <c r="K310" s="13">
        <f>K311+K314</f>
        <v>14598464</v>
      </c>
      <c r="L310" s="13">
        <f t="shared" ref="L310" si="38">L311+L314</f>
        <v>14018048.52</v>
      </c>
      <c r="M310" s="362">
        <f t="shared" si="36"/>
        <v>0.96024133223878894</v>
      </c>
      <c r="N310" s="439"/>
      <c r="O310" s="439"/>
      <c r="P310" s="439"/>
      <c r="Q310" s="439"/>
    </row>
    <row r="311" spans="1:17" ht="51" customHeight="1" x14ac:dyDescent="0.25">
      <c r="A311" s="35" t="s">
        <v>182</v>
      </c>
      <c r="B311" s="36" t="s">
        <v>42</v>
      </c>
      <c r="C311" s="36" t="s">
        <v>16</v>
      </c>
      <c r="D311" s="31" t="s">
        <v>156</v>
      </c>
      <c r="E311" s="38">
        <f t="shared" si="37"/>
        <v>4927720</v>
      </c>
      <c r="F311" s="38">
        <f>F312</f>
        <v>4918733.5</v>
      </c>
      <c r="G311" s="204">
        <f t="shared" si="31"/>
        <v>0.99817633712954468</v>
      </c>
      <c r="H311" s="7">
        <v>0</v>
      </c>
      <c r="I311" s="7"/>
      <c r="J311" s="203"/>
      <c r="K311" s="7">
        <f>E311+H311</f>
        <v>4927720</v>
      </c>
      <c r="L311" s="189">
        <f>F311+I311</f>
        <v>4918733.5</v>
      </c>
      <c r="M311" s="361">
        <f t="shared" si="36"/>
        <v>0.99817633712954468</v>
      </c>
      <c r="N311" s="439"/>
      <c r="O311" s="439"/>
      <c r="P311" s="439"/>
      <c r="Q311" s="439"/>
    </row>
    <row r="312" spans="1:17" x14ac:dyDescent="0.25">
      <c r="A312" s="700"/>
      <c r="B312" s="701"/>
      <c r="C312" s="701"/>
      <c r="D312" s="353" t="s">
        <v>404</v>
      </c>
      <c r="E312" s="37">
        <v>4927720</v>
      </c>
      <c r="F312" s="37">
        <v>4918733.5</v>
      </c>
      <c r="G312" s="204">
        <f t="shared" si="31"/>
        <v>0.99817633712954468</v>
      </c>
      <c r="H312" s="7"/>
      <c r="I312" s="7"/>
      <c r="J312" s="204"/>
      <c r="K312" s="189">
        <f t="shared" ref="K312:K316" si="39">E312+H312</f>
        <v>4927720</v>
      </c>
      <c r="L312" s="189">
        <f t="shared" ref="L312:L316" si="40">F312+I312</f>
        <v>4918733.5</v>
      </c>
      <c r="M312" s="361">
        <f t="shared" si="36"/>
        <v>0.99817633712954468</v>
      </c>
      <c r="N312" s="439"/>
      <c r="O312" s="439"/>
      <c r="P312" s="439"/>
      <c r="Q312" s="439"/>
    </row>
    <row r="313" spans="1:17" x14ac:dyDescent="0.25">
      <c r="A313" s="35"/>
      <c r="B313" s="36"/>
      <c r="C313" s="36"/>
      <c r="D313" s="356" t="s">
        <v>405</v>
      </c>
      <c r="E313" s="38">
        <v>4663558</v>
      </c>
      <c r="F313" s="38">
        <v>4655474.4400000004</v>
      </c>
      <c r="G313" s="204">
        <f t="shared" si="31"/>
        <v>0.99826665391531544</v>
      </c>
      <c r="H313" s="12"/>
      <c r="I313" s="12"/>
      <c r="J313" s="204"/>
      <c r="K313" s="189">
        <f t="shared" si="39"/>
        <v>4663558</v>
      </c>
      <c r="L313" s="189">
        <f t="shared" si="40"/>
        <v>4655474.4400000004</v>
      </c>
      <c r="M313" s="361">
        <f t="shared" si="36"/>
        <v>0.99826665391531544</v>
      </c>
      <c r="N313" s="439"/>
      <c r="O313" s="439"/>
      <c r="P313" s="439"/>
      <c r="Q313" s="439"/>
    </row>
    <row r="314" spans="1:17" ht="47.25" x14ac:dyDescent="0.25">
      <c r="A314" s="50" t="s">
        <v>502</v>
      </c>
      <c r="B314" s="49" t="s">
        <v>503</v>
      </c>
      <c r="C314" s="49" t="s">
        <v>256</v>
      </c>
      <c r="D314" s="354" t="s">
        <v>504</v>
      </c>
      <c r="E314" s="37"/>
      <c r="F314" s="37"/>
      <c r="G314" s="203"/>
      <c r="H314" s="7">
        <f>H315</f>
        <v>9670744</v>
      </c>
      <c r="I314" s="7">
        <f>I315</f>
        <v>9099315.0199999996</v>
      </c>
      <c r="J314" s="204">
        <f t="shared" si="28"/>
        <v>0.94091158032929001</v>
      </c>
      <c r="K314" s="189">
        <f t="shared" si="39"/>
        <v>9670744</v>
      </c>
      <c r="L314" s="189">
        <f t="shared" si="40"/>
        <v>9099315.0199999996</v>
      </c>
      <c r="M314" s="361">
        <f t="shared" si="36"/>
        <v>0.94091158032929001</v>
      </c>
      <c r="N314" s="439"/>
      <c r="O314" s="439"/>
      <c r="P314" s="439"/>
      <c r="Q314" s="439"/>
    </row>
    <row r="315" spans="1:17" x14ac:dyDescent="0.25">
      <c r="A315" s="50"/>
      <c r="B315" s="49"/>
      <c r="C315" s="49"/>
      <c r="D315" s="353" t="s">
        <v>407</v>
      </c>
      <c r="E315" s="37"/>
      <c r="F315" s="37"/>
      <c r="G315" s="203"/>
      <c r="H315" s="7">
        <f>H316</f>
        <v>9670744</v>
      </c>
      <c r="I315" s="7">
        <f>I316</f>
        <v>9099315.0199999996</v>
      </c>
      <c r="J315" s="204">
        <f t="shared" si="28"/>
        <v>0.94091158032929001</v>
      </c>
      <c r="K315" s="189">
        <f t="shared" si="39"/>
        <v>9670744</v>
      </c>
      <c r="L315" s="189">
        <f t="shared" si="40"/>
        <v>9099315.0199999996</v>
      </c>
      <c r="M315" s="361">
        <f t="shared" si="36"/>
        <v>0.94091158032929001</v>
      </c>
      <c r="N315" s="439"/>
      <c r="O315" s="439"/>
      <c r="P315" s="439"/>
      <c r="Q315" s="439"/>
    </row>
    <row r="316" spans="1:17" ht="16.5" thickBot="1" x14ac:dyDescent="0.3">
      <c r="A316" s="706"/>
      <c r="B316" s="113"/>
      <c r="C316" s="113"/>
      <c r="D316" s="356" t="s">
        <v>408</v>
      </c>
      <c r="E316" s="38"/>
      <c r="F316" s="38"/>
      <c r="G316" s="204"/>
      <c r="H316" s="12">
        <v>9670744</v>
      </c>
      <c r="I316" s="12">
        <v>9099315.0199999996</v>
      </c>
      <c r="J316" s="204">
        <f t="shared" si="28"/>
        <v>0.94091158032929001</v>
      </c>
      <c r="K316" s="189">
        <f t="shared" si="39"/>
        <v>9670744</v>
      </c>
      <c r="L316" s="189">
        <f t="shared" si="40"/>
        <v>9099315.0199999996</v>
      </c>
      <c r="M316" s="361">
        <f t="shared" si="36"/>
        <v>0.94091158032929001</v>
      </c>
      <c r="N316" s="439"/>
      <c r="O316" s="439"/>
      <c r="P316" s="439"/>
      <c r="Q316" s="439"/>
    </row>
    <row r="317" spans="1:17" s="595" customFormat="1" ht="55.5" customHeight="1" thickBot="1" x14ac:dyDescent="0.3">
      <c r="A317" s="32" t="s">
        <v>183</v>
      </c>
      <c r="B317" s="33" t="s">
        <v>14</v>
      </c>
      <c r="C317" s="33" t="s">
        <v>14</v>
      </c>
      <c r="D317" s="34" t="s">
        <v>184</v>
      </c>
      <c r="E317" s="51">
        <f>E318</f>
        <v>10940789</v>
      </c>
      <c r="F317" s="51">
        <f>F318</f>
        <v>10892302.57</v>
      </c>
      <c r="G317" s="201">
        <f t="shared" si="31"/>
        <v>0.99556828762532579</v>
      </c>
      <c r="H317" s="10">
        <f>H319</f>
        <v>58780</v>
      </c>
      <c r="I317" s="10">
        <f>I319</f>
        <v>58780</v>
      </c>
      <c r="J317" s="204"/>
      <c r="K317" s="199">
        <f>K318</f>
        <v>10999569</v>
      </c>
      <c r="L317" s="199">
        <f>L318</f>
        <v>10951082.57</v>
      </c>
      <c r="M317" s="209">
        <f t="shared" si="36"/>
        <v>0.99559197001264321</v>
      </c>
      <c r="N317" s="573"/>
      <c r="O317" s="573"/>
      <c r="P317" s="573"/>
      <c r="Q317" s="573"/>
    </row>
    <row r="318" spans="1:17" s="596" customFormat="1" ht="51" customHeight="1" x14ac:dyDescent="0.25">
      <c r="A318" s="45" t="s">
        <v>185</v>
      </c>
      <c r="B318" s="46" t="s">
        <v>14</v>
      </c>
      <c r="C318" s="46" t="s">
        <v>14</v>
      </c>
      <c r="D318" s="47" t="s">
        <v>184</v>
      </c>
      <c r="E318" s="39">
        <f>E319+E324+E326</f>
        <v>10940789</v>
      </c>
      <c r="F318" s="39">
        <f>F319+F324+F326</f>
        <v>10892302.57</v>
      </c>
      <c r="G318" s="202">
        <f t="shared" si="31"/>
        <v>0.99556828762532579</v>
      </c>
      <c r="H318" s="13">
        <v>0</v>
      </c>
      <c r="I318" s="13"/>
      <c r="J318" s="204"/>
      <c r="K318" s="200">
        <f>K319+K324+K326</f>
        <v>10999569</v>
      </c>
      <c r="L318" s="200">
        <f>L319+L324+L326</f>
        <v>10951082.57</v>
      </c>
      <c r="M318" s="362">
        <f t="shared" si="36"/>
        <v>0.99559197001264321</v>
      </c>
      <c r="N318" s="573"/>
      <c r="O318" s="573"/>
      <c r="P318" s="573"/>
      <c r="Q318" s="573"/>
    </row>
    <row r="319" spans="1:17" s="42" customFormat="1" ht="47.25" x14ac:dyDescent="0.25">
      <c r="A319" s="35" t="s">
        <v>186</v>
      </c>
      <c r="B319" s="36" t="s">
        <v>42</v>
      </c>
      <c r="C319" s="36" t="s">
        <v>16</v>
      </c>
      <c r="D319" s="31" t="s">
        <v>156</v>
      </c>
      <c r="E319" s="38">
        <f>E320</f>
        <v>5396971</v>
      </c>
      <c r="F319" s="38">
        <f>F320</f>
        <v>5348484.57</v>
      </c>
      <c r="G319" s="203">
        <f t="shared" si="31"/>
        <v>0.99101599211854208</v>
      </c>
      <c r="H319" s="12">
        <f>H322+H320</f>
        <v>58780</v>
      </c>
      <c r="I319" s="12">
        <f>I320+I322</f>
        <v>58780</v>
      </c>
      <c r="J319" s="204"/>
      <c r="K319" s="189">
        <f>E319+H319</f>
        <v>5455751</v>
      </c>
      <c r="L319" s="189">
        <f>F319+I319</f>
        <v>5407264.5700000003</v>
      </c>
      <c r="M319" s="361">
        <f t="shared" si="36"/>
        <v>0.99111278538921599</v>
      </c>
      <c r="N319" s="573"/>
      <c r="O319" s="573"/>
      <c r="P319" s="573"/>
      <c r="Q319" s="573"/>
    </row>
    <row r="320" spans="1:17" s="42" customFormat="1" x14ac:dyDescent="0.25">
      <c r="A320" s="35"/>
      <c r="B320" s="36"/>
      <c r="C320" s="36"/>
      <c r="D320" s="353" t="s">
        <v>404</v>
      </c>
      <c r="E320" s="38">
        <v>5396971</v>
      </c>
      <c r="F320" s="38">
        <v>5348484.57</v>
      </c>
      <c r="G320" s="203">
        <f t="shared" si="31"/>
        <v>0.99101599211854208</v>
      </c>
      <c r="H320" s="12"/>
      <c r="I320" s="12"/>
      <c r="J320" s="204"/>
      <c r="K320" s="189">
        <f t="shared" ref="K320:K327" si="41">E320+H320</f>
        <v>5396971</v>
      </c>
      <c r="L320" s="189">
        <f t="shared" ref="L320:L327" si="42">F320+I320</f>
        <v>5348484.57</v>
      </c>
      <c r="M320" s="361">
        <f t="shared" si="36"/>
        <v>0.99101599211854208</v>
      </c>
      <c r="N320" s="573"/>
      <c r="O320" s="573"/>
      <c r="P320" s="573"/>
      <c r="Q320" s="573"/>
    </row>
    <row r="321" spans="1:17" s="42" customFormat="1" x14ac:dyDescent="0.25">
      <c r="A321" s="35"/>
      <c r="B321" s="36"/>
      <c r="C321" s="36"/>
      <c r="D321" s="354" t="s">
        <v>405</v>
      </c>
      <c r="E321" s="38">
        <v>5217120</v>
      </c>
      <c r="F321" s="38">
        <v>5168985.8600000003</v>
      </c>
      <c r="G321" s="203">
        <f t="shared" si="31"/>
        <v>0.99077381007145715</v>
      </c>
      <c r="H321" s="12"/>
      <c r="I321" s="12"/>
      <c r="J321" s="204"/>
      <c r="K321" s="189">
        <f t="shared" si="41"/>
        <v>5217120</v>
      </c>
      <c r="L321" s="189">
        <f t="shared" si="42"/>
        <v>5168985.8600000003</v>
      </c>
      <c r="M321" s="361">
        <f t="shared" si="36"/>
        <v>0.99077381007145715</v>
      </c>
      <c r="N321" s="573"/>
      <c r="O321" s="573"/>
      <c r="P321" s="573"/>
      <c r="Q321" s="573"/>
    </row>
    <row r="322" spans="1:17" s="42" customFormat="1" x14ac:dyDescent="0.25">
      <c r="A322" s="35"/>
      <c r="B322" s="36"/>
      <c r="C322" s="36"/>
      <c r="D322" s="353" t="s">
        <v>407</v>
      </c>
      <c r="E322" s="38"/>
      <c r="F322" s="38"/>
      <c r="G322" s="204"/>
      <c r="H322" s="12">
        <f>H323</f>
        <v>58780</v>
      </c>
      <c r="I322" s="12">
        <f>I323</f>
        <v>58780</v>
      </c>
      <c r="J322" s="204">
        <f>J323</f>
        <v>1</v>
      </c>
      <c r="K322" s="189">
        <f>E322+H322</f>
        <v>58780</v>
      </c>
      <c r="L322" s="189">
        <f>F322+I322</f>
        <v>58780</v>
      </c>
      <c r="M322" s="361">
        <f t="shared" si="36"/>
        <v>1</v>
      </c>
      <c r="N322" s="573"/>
      <c r="O322" s="573"/>
      <c r="P322" s="573"/>
      <c r="Q322" s="573"/>
    </row>
    <row r="323" spans="1:17" s="42" customFormat="1" x14ac:dyDescent="0.25">
      <c r="A323" s="35"/>
      <c r="B323" s="36"/>
      <c r="C323" s="36"/>
      <c r="D323" s="356" t="s">
        <v>408</v>
      </c>
      <c r="E323" s="38"/>
      <c r="F323" s="38"/>
      <c r="G323" s="204"/>
      <c r="H323" s="12">
        <v>58780</v>
      </c>
      <c r="I323" s="12">
        <v>58780</v>
      </c>
      <c r="J323" s="204">
        <f t="shared" ref="J323:J337" si="43">I323/H323</f>
        <v>1</v>
      </c>
      <c r="K323" s="189">
        <f>E323+H323</f>
        <v>58780</v>
      </c>
      <c r="L323" s="189">
        <f>F323+I323</f>
        <v>58780</v>
      </c>
      <c r="M323" s="361">
        <f t="shared" si="36"/>
        <v>1</v>
      </c>
      <c r="N323" s="573"/>
      <c r="O323" s="573"/>
      <c r="P323" s="573"/>
      <c r="Q323" s="573"/>
    </row>
    <row r="324" spans="1:17" s="42" customFormat="1" ht="21" customHeight="1" x14ac:dyDescent="0.25">
      <c r="A324" s="35">
        <v>2717413</v>
      </c>
      <c r="B324" s="36">
        <v>7413</v>
      </c>
      <c r="C324" s="113" t="s">
        <v>211</v>
      </c>
      <c r="D324" s="31" t="s">
        <v>210</v>
      </c>
      <c r="E324" s="38">
        <f>E325</f>
        <v>5362968</v>
      </c>
      <c r="F324" s="38">
        <f>F325</f>
        <v>5362968</v>
      </c>
      <c r="G324" s="204">
        <f t="shared" si="31"/>
        <v>1</v>
      </c>
      <c r="H324" s="12"/>
      <c r="I324" s="12"/>
      <c r="J324" s="204"/>
      <c r="K324" s="189">
        <f t="shared" si="41"/>
        <v>5362968</v>
      </c>
      <c r="L324" s="189">
        <f t="shared" si="42"/>
        <v>5362968</v>
      </c>
      <c r="M324" s="361">
        <f t="shared" si="36"/>
        <v>1</v>
      </c>
      <c r="N324" s="573"/>
      <c r="O324" s="573"/>
      <c r="P324" s="573"/>
      <c r="Q324" s="573"/>
    </row>
    <row r="325" spans="1:17" s="42" customFormat="1" ht="16.5" thickBot="1" x14ac:dyDescent="0.3">
      <c r="A325" s="923"/>
      <c r="B325" s="925"/>
      <c r="C325" s="953"/>
      <c r="D325" s="943" t="s">
        <v>404</v>
      </c>
      <c r="E325" s="944">
        <v>5362968</v>
      </c>
      <c r="F325" s="944">
        <v>5362968</v>
      </c>
      <c r="G325" s="945">
        <f t="shared" si="31"/>
        <v>1</v>
      </c>
      <c r="H325" s="946"/>
      <c r="I325" s="946"/>
      <c r="J325" s="945"/>
      <c r="K325" s="954">
        <f t="shared" si="41"/>
        <v>5362968</v>
      </c>
      <c r="L325" s="954">
        <f t="shared" si="42"/>
        <v>5362968</v>
      </c>
      <c r="M325" s="947">
        <f t="shared" si="36"/>
        <v>1</v>
      </c>
      <c r="N325" s="573"/>
      <c r="O325" s="573"/>
      <c r="P325" s="573"/>
      <c r="Q325" s="573"/>
    </row>
    <row r="326" spans="1:17" s="42" customFormat="1" ht="31.5" x14ac:dyDescent="0.25">
      <c r="A326" s="939">
        <v>2717693</v>
      </c>
      <c r="B326" s="940">
        <v>7693</v>
      </c>
      <c r="C326" s="952" t="s">
        <v>152</v>
      </c>
      <c r="D326" s="941" t="s">
        <v>493</v>
      </c>
      <c r="E326" s="40">
        <f>E327</f>
        <v>180850</v>
      </c>
      <c r="F326" s="40">
        <f>F327</f>
        <v>180850</v>
      </c>
      <c r="G326" s="202">
        <f t="shared" si="31"/>
        <v>1</v>
      </c>
      <c r="H326" s="601"/>
      <c r="I326" s="601"/>
      <c r="J326" s="951"/>
      <c r="K326" s="601">
        <f t="shared" si="41"/>
        <v>180850</v>
      </c>
      <c r="L326" s="601">
        <f t="shared" si="42"/>
        <v>180850</v>
      </c>
      <c r="M326" s="359">
        <f t="shared" si="36"/>
        <v>1</v>
      </c>
      <c r="N326" s="573"/>
      <c r="O326" s="573"/>
      <c r="P326" s="573"/>
      <c r="Q326" s="573"/>
    </row>
    <row r="327" spans="1:17" ht="16.5" thickBot="1" x14ac:dyDescent="0.3">
      <c r="A327" s="35"/>
      <c r="B327" s="36"/>
      <c r="C327" s="113"/>
      <c r="D327" s="355" t="s">
        <v>404</v>
      </c>
      <c r="E327" s="38">
        <v>180850</v>
      </c>
      <c r="F327" s="38">
        <v>180850</v>
      </c>
      <c r="G327" s="204">
        <f t="shared" si="31"/>
        <v>1</v>
      </c>
      <c r="H327" s="12"/>
      <c r="I327" s="12"/>
      <c r="J327" s="204"/>
      <c r="K327" s="12">
        <f t="shared" si="41"/>
        <v>180850</v>
      </c>
      <c r="L327" s="12">
        <f t="shared" si="42"/>
        <v>180850</v>
      </c>
      <c r="M327" s="361">
        <f t="shared" si="36"/>
        <v>1</v>
      </c>
      <c r="N327" s="439"/>
      <c r="O327" s="439"/>
      <c r="P327" s="439"/>
      <c r="Q327" s="439"/>
    </row>
    <row r="328" spans="1:17" s="29" customFormat="1" ht="62.25" customHeight="1" thickBot="1" x14ac:dyDescent="0.3">
      <c r="A328" s="32" t="s">
        <v>187</v>
      </c>
      <c r="B328" s="33" t="s">
        <v>14</v>
      </c>
      <c r="C328" s="33" t="s">
        <v>14</v>
      </c>
      <c r="D328" s="34" t="s">
        <v>443</v>
      </c>
      <c r="E328" s="51">
        <f t="shared" ref="E328:F330" si="44">E329</f>
        <v>4795114</v>
      </c>
      <c r="F328" s="51">
        <f t="shared" si="44"/>
        <v>4734513.75</v>
      </c>
      <c r="G328" s="201">
        <f t="shared" si="31"/>
        <v>0.98736208357090149</v>
      </c>
      <c r="H328" s="10">
        <f>H329</f>
        <v>38000</v>
      </c>
      <c r="I328" s="10">
        <f>I329</f>
        <v>1589101.35</v>
      </c>
      <c r="J328" s="201"/>
      <c r="K328" s="199">
        <f>K329</f>
        <v>4833114</v>
      </c>
      <c r="L328" s="199">
        <f>L329</f>
        <v>6323615.0999999996</v>
      </c>
      <c r="M328" s="209">
        <f t="shared" si="36"/>
        <v>1.3083935326168594</v>
      </c>
      <c r="N328" s="439"/>
      <c r="O328" s="439"/>
      <c r="P328" s="439"/>
      <c r="Q328" s="439"/>
    </row>
    <row r="329" spans="1:17" s="28" customFormat="1" ht="55.5" customHeight="1" x14ac:dyDescent="0.25">
      <c r="A329" s="45" t="s">
        <v>188</v>
      </c>
      <c r="B329" s="46" t="s">
        <v>14</v>
      </c>
      <c r="C329" s="46" t="s">
        <v>14</v>
      </c>
      <c r="D329" s="47" t="s">
        <v>443</v>
      </c>
      <c r="E329" s="39">
        <f>E330+E338+E341+E343</f>
        <v>4795114</v>
      </c>
      <c r="F329" s="39">
        <f>F330+F338+F341+F343</f>
        <v>4734513.75</v>
      </c>
      <c r="G329" s="202">
        <f t="shared" si="31"/>
        <v>0.98736208357090149</v>
      </c>
      <c r="H329" s="13">
        <f>H330+H333+H335</f>
        <v>38000</v>
      </c>
      <c r="I329" s="13">
        <f>I330+I333+I335</f>
        <v>1589101.35</v>
      </c>
      <c r="J329" s="951"/>
      <c r="K329" s="13">
        <f>K330+K333+K338+K341+K343+K335</f>
        <v>4833114</v>
      </c>
      <c r="L329" s="13">
        <f>L330+L333+L338+L341+L343+L335</f>
        <v>6323615.0999999996</v>
      </c>
      <c r="M329" s="362">
        <f t="shared" si="36"/>
        <v>1.3083935326168594</v>
      </c>
      <c r="N329" s="439"/>
      <c r="O329" s="439"/>
      <c r="P329" s="439"/>
      <c r="Q329" s="439"/>
    </row>
    <row r="330" spans="1:17" ht="47.25" x14ac:dyDescent="0.25">
      <c r="A330" s="35" t="s">
        <v>189</v>
      </c>
      <c r="B330" s="36" t="s">
        <v>42</v>
      </c>
      <c r="C330" s="36" t="s">
        <v>16</v>
      </c>
      <c r="D330" s="31" t="s">
        <v>156</v>
      </c>
      <c r="E330" s="38">
        <f>E331</f>
        <v>3876142</v>
      </c>
      <c r="F330" s="38">
        <f t="shared" si="44"/>
        <v>3858483.41</v>
      </c>
      <c r="G330" s="204">
        <f t="shared" si="31"/>
        <v>0.99544428712879973</v>
      </c>
      <c r="H330" s="12"/>
      <c r="I330" s="7"/>
      <c r="J330" s="204"/>
      <c r="K330" s="7">
        <f>K331</f>
        <v>3876142</v>
      </c>
      <c r="L330" s="189">
        <f>L331</f>
        <v>3858483.41</v>
      </c>
      <c r="M330" s="361">
        <f t="shared" si="36"/>
        <v>0.99544428712879973</v>
      </c>
      <c r="N330" s="439"/>
      <c r="O330" s="439"/>
      <c r="P330" s="439"/>
      <c r="Q330" s="439"/>
    </row>
    <row r="331" spans="1:17" x14ac:dyDescent="0.25">
      <c r="A331" s="700"/>
      <c r="B331" s="701"/>
      <c r="C331" s="701"/>
      <c r="D331" s="353" t="s">
        <v>404</v>
      </c>
      <c r="E331" s="37">
        <v>3876142</v>
      </c>
      <c r="F331" s="37">
        <v>3858483.41</v>
      </c>
      <c r="G331" s="204">
        <f t="shared" si="31"/>
        <v>0.99544428712879973</v>
      </c>
      <c r="H331" s="7"/>
      <c r="I331" s="7"/>
      <c r="J331" s="204"/>
      <c r="K331" s="7">
        <f>E331+H331</f>
        <v>3876142</v>
      </c>
      <c r="L331" s="7">
        <f>F331+I331</f>
        <v>3858483.41</v>
      </c>
      <c r="M331" s="362">
        <f t="shared" si="36"/>
        <v>0.99544428712879973</v>
      </c>
      <c r="N331" s="439"/>
      <c r="O331" s="439"/>
      <c r="P331" s="439"/>
      <c r="Q331" s="439"/>
    </row>
    <row r="332" spans="1:17" x14ac:dyDescent="0.25">
      <c r="A332" s="700"/>
      <c r="B332" s="701"/>
      <c r="C332" s="701"/>
      <c r="D332" s="354" t="s">
        <v>405</v>
      </c>
      <c r="E332" s="37">
        <v>3732612</v>
      </c>
      <c r="F332" s="37">
        <v>3721794.23</v>
      </c>
      <c r="G332" s="204">
        <f t="shared" si="31"/>
        <v>0.99710182306652817</v>
      </c>
      <c r="H332" s="7"/>
      <c r="I332" s="7"/>
      <c r="J332" s="204"/>
      <c r="K332" s="7">
        <f t="shared" ref="K332:K344" si="45">E332+H332</f>
        <v>3732612</v>
      </c>
      <c r="L332" s="7">
        <f t="shared" ref="L332:L344" si="46">F332+I332</f>
        <v>3721794.23</v>
      </c>
      <c r="M332" s="361">
        <f t="shared" si="36"/>
        <v>0.99710182306652817</v>
      </c>
      <c r="N332" s="439"/>
      <c r="O332" s="439"/>
      <c r="P332" s="439"/>
      <c r="Q332" s="439"/>
    </row>
    <row r="333" spans="1:17" ht="31.5" x14ac:dyDescent="0.25">
      <c r="A333" s="50" t="s">
        <v>536</v>
      </c>
      <c r="B333" s="49" t="s">
        <v>197</v>
      </c>
      <c r="C333" s="49" t="s">
        <v>195</v>
      </c>
      <c r="D333" s="354" t="s">
        <v>537</v>
      </c>
      <c r="E333" s="37"/>
      <c r="F333" s="37"/>
      <c r="G333" s="204"/>
      <c r="H333" s="7">
        <f>H334</f>
        <v>0</v>
      </c>
      <c r="I333" s="7">
        <f>I334</f>
        <v>1551101.35</v>
      </c>
      <c r="J333" s="204"/>
      <c r="K333" s="7">
        <f t="shared" si="45"/>
        <v>0</v>
      </c>
      <c r="L333" s="7">
        <f t="shared" si="46"/>
        <v>1551101.35</v>
      </c>
      <c r="M333" s="361">
        <v>0</v>
      </c>
      <c r="N333" s="439"/>
      <c r="O333" s="439"/>
      <c r="P333" s="439"/>
      <c r="Q333" s="439"/>
    </row>
    <row r="334" spans="1:17" x14ac:dyDescent="0.25">
      <c r="A334" s="50"/>
      <c r="B334" s="49"/>
      <c r="C334" s="49"/>
      <c r="D334" s="353" t="s">
        <v>404</v>
      </c>
      <c r="E334" s="37"/>
      <c r="F334" s="37"/>
      <c r="G334" s="204"/>
      <c r="H334" s="7">
        <v>0</v>
      </c>
      <c r="I334" s="7">
        <v>1551101.35</v>
      </c>
      <c r="J334" s="204"/>
      <c r="K334" s="7">
        <f t="shared" si="45"/>
        <v>0</v>
      </c>
      <c r="L334" s="7">
        <f t="shared" si="46"/>
        <v>1551101.35</v>
      </c>
      <c r="M334" s="361">
        <v>0</v>
      </c>
      <c r="N334" s="439"/>
      <c r="O334" s="439"/>
      <c r="P334" s="439"/>
      <c r="Q334" s="439"/>
    </row>
    <row r="335" spans="1:17" ht="88.5" customHeight="1" x14ac:dyDescent="0.25">
      <c r="A335" s="50" t="s">
        <v>696</v>
      </c>
      <c r="B335" s="49" t="s">
        <v>218</v>
      </c>
      <c r="C335" s="49" t="s">
        <v>152</v>
      </c>
      <c r="D335" s="354" t="s">
        <v>219</v>
      </c>
      <c r="E335" s="37"/>
      <c r="F335" s="37"/>
      <c r="G335" s="204"/>
      <c r="H335" s="7">
        <f>H336</f>
        <v>38000</v>
      </c>
      <c r="I335" s="7">
        <f>I336</f>
        <v>38000</v>
      </c>
      <c r="J335" s="204">
        <f t="shared" si="43"/>
        <v>1</v>
      </c>
      <c r="K335" s="7">
        <f t="shared" ref="K335:L337" si="47">E335+H335</f>
        <v>38000</v>
      </c>
      <c r="L335" s="7">
        <f t="shared" si="47"/>
        <v>38000</v>
      </c>
      <c r="M335" s="361">
        <f t="shared" si="36"/>
        <v>1</v>
      </c>
      <c r="N335" s="439"/>
      <c r="O335" s="439"/>
      <c r="P335" s="439"/>
      <c r="Q335" s="439"/>
    </row>
    <row r="336" spans="1:17" x14ac:dyDescent="0.25">
      <c r="A336" s="50"/>
      <c r="B336" s="49"/>
      <c r="C336" s="49"/>
      <c r="D336" s="353" t="s">
        <v>407</v>
      </c>
      <c r="E336" s="37"/>
      <c r="F336" s="37"/>
      <c r="G336" s="204"/>
      <c r="H336" s="7">
        <f>H337</f>
        <v>38000</v>
      </c>
      <c r="I336" s="7">
        <f>I337</f>
        <v>38000</v>
      </c>
      <c r="J336" s="204">
        <f t="shared" si="43"/>
        <v>1</v>
      </c>
      <c r="K336" s="7">
        <f t="shared" si="47"/>
        <v>38000</v>
      </c>
      <c r="L336" s="7">
        <f t="shared" si="47"/>
        <v>38000</v>
      </c>
      <c r="M336" s="361">
        <f t="shared" si="36"/>
        <v>1</v>
      </c>
      <c r="N336" s="439"/>
      <c r="O336" s="439"/>
      <c r="P336" s="439"/>
      <c r="Q336" s="439"/>
    </row>
    <row r="337" spans="1:17" x14ac:dyDescent="0.25">
      <c r="A337" s="50"/>
      <c r="B337" s="49"/>
      <c r="C337" s="49"/>
      <c r="D337" s="356" t="s">
        <v>408</v>
      </c>
      <c r="E337" s="37"/>
      <c r="F337" s="37"/>
      <c r="G337" s="204"/>
      <c r="H337" s="7">
        <v>38000</v>
      </c>
      <c r="I337" s="7">
        <v>38000</v>
      </c>
      <c r="J337" s="204">
        <f t="shared" si="43"/>
        <v>1</v>
      </c>
      <c r="K337" s="7">
        <f t="shared" si="47"/>
        <v>38000</v>
      </c>
      <c r="L337" s="7">
        <f t="shared" si="47"/>
        <v>38000</v>
      </c>
      <c r="M337" s="361">
        <f t="shared" si="36"/>
        <v>1</v>
      </c>
      <c r="N337" s="439"/>
      <c r="O337" s="439"/>
      <c r="P337" s="439"/>
      <c r="Q337" s="439"/>
    </row>
    <row r="338" spans="1:17" ht="31.5" x14ac:dyDescent="0.25">
      <c r="A338" s="700">
        <v>3117693</v>
      </c>
      <c r="B338" s="701">
        <v>7693</v>
      </c>
      <c r="C338" s="49" t="s">
        <v>152</v>
      </c>
      <c r="D338" s="354" t="s">
        <v>525</v>
      </c>
      <c r="E338" s="37">
        <f>E339</f>
        <v>772500</v>
      </c>
      <c r="F338" s="37">
        <f>F339</f>
        <v>730558.38</v>
      </c>
      <c r="G338" s="204">
        <f t="shared" si="31"/>
        <v>0.94570664077669908</v>
      </c>
      <c r="H338" s="7"/>
      <c r="I338" s="7"/>
      <c r="J338" s="203"/>
      <c r="K338" s="7">
        <f t="shared" si="45"/>
        <v>772500</v>
      </c>
      <c r="L338" s="7">
        <f t="shared" si="46"/>
        <v>730558.38</v>
      </c>
      <c r="M338" s="360">
        <f t="shared" si="36"/>
        <v>0.94570664077669908</v>
      </c>
      <c r="N338" s="439"/>
      <c r="O338" s="439"/>
      <c r="P338" s="439"/>
      <c r="Q338" s="439"/>
    </row>
    <row r="339" spans="1:17" x14ac:dyDescent="0.25">
      <c r="A339" s="700"/>
      <c r="B339" s="701"/>
      <c r="C339" s="701"/>
      <c r="D339" s="353" t="s">
        <v>404</v>
      </c>
      <c r="E339" s="37">
        <v>772500</v>
      </c>
      <c r="F339" s="37">
        <v>730558.38</v>
      </c>
      <c r="G339" s="204">
        <f t="shared" si="31"/>
        <v>0.94570664077669908</v>
      </c>
      <c r="H339" s="7"/>
      <c r="I339" s="7"/>
      <c r="J339" s="203"/>
      <c r="K339" s="7">
        <f t="shared" si="45"/>
        <v>772500</v>
      </c>
      <c r="L339" s="7">
        <f t="shared" si="46"/>
        <v>730558.38</v>
      </c>
      <c r="M339" s="360">
        <f t="shared" si="36"/>
        <v>0.94570664077669908</v>
      </c>
      <c r="N339" s="439"/>
      <c r="O339" s="439"/>
      <c r="P339" s="439"/>
      <c r="Q339" s="439"/>
    </row>
    <row r="340" spans="1:17" ht="31.5" x14ac:dyDescent="0.25">
      <c r="A340" s="700"/>
      <c r="B340" s="701"/>
      <c r="C340" s="701"/>
      <c r="D340" s="354" t="s">
        <v>406</v>
      </c>
      <c r="E340" s="37">
        <v>279692</v>
      </c>
      <c r="F340" s="37">
        <v>244755.28</v>
      </c>
      <c r="G340" s="204">
        <f t="shared" si="31"/>
        <v>0.87508859745720291</v>
      </c>
      <c r="H340" s="7"/>
      <c r="I340" s="7"/>
      <c r="J340" s="203"/>
      <c r="K340" s="7">
        <f t="shared" si="45"/>
        <v>279692</v>
      </c>
      <c r="L340" s="7">
        <f t="shared" si="46"/>
        <v>244755.28</v>
      </c>
      <c r="M340" s="360">
        <f t="shared" si="36"/>
        <v>0.87508859745720291</v>
      </c>
      <c r="N340" s="439"/>
      <c r="O340" s="439"/>
      <c r="P340" s="439"/>
      <c r="Q340" s="439"/>
    </row>
    <row r="341" spans="1:17" ht="47.25" x14ac:dyDescent="0.25">
      <c r="A341" s="700">
        <v>3118110</v>
      </c>
      <c r="B341" s="701">
        <v>8110</v>
      </c>
      <c r="C341" s="701" t="s">
        <v>206</v>
      </c>
      <c r="D341" s="354" t="s">
        <v>207</v>
      </c>
      <c r="E341" s="37">
        <f>E342</f>
        <v>121472</v>
      </c>
      <c r="F341" s="37">
        <f>F342</f>
        <v>120471.96</v>
      </c>
      <c r="G341" s="204">
        <f t="shared" si="31"/>
        <v>0.99176732086406749</v>
      </c>
      <c r="H341" s="7"/>
      <c r="I341" s="7"/>
      <c r="J341" s="203"/>
      <c r="K341" s="7">
        <f t="shared" si="45"/>
        <v>121472</v>
      </c>
      <c r="L341" s="7">
        <f t="shared" si="46"/>
        <v>120471.96</v>
      </c>
      <c r="M341" s="360">
        <f t="shared" si="36"/>
        <v>0.99176732086406749</v>
      </c>
      <c r="N341" s="439"/>
      <c r="O341" s="439"/>
      <c r="P341" s="439"/>
      <c r="Q341" s="439"/>
    </row>
    <row r="342" spans="1:17" x14ac:dyDescent="0.25">
      <c r="A342" s="700"/>
      <c r="B342" s="701"/>
      <c r="C342" s="701"/>
      <c r="D342" s="353" t="s">
        <v>404</v>
      </c>
      <c r="E342" s="37">
        <v>121472</v>
      </c>
      <c r="F342" s="37">
        <v>120471.96</v>
      </c>
      <c r="G342" s="204">
        <f t="shared" si="31"/>
        <v>0.99176732086406749</v>
      </c>
      <c r="H342" s="7"/>
      <c r="I342" s="7"/>
      <c r="J342" s="203"/>
      <c r="K342" s="7">
        <f t="shared" si="45"/>
        <v>121472</v>
      </c>
      <c r="L342" s="7">
        <f t="shared" si="46"/>
        <v>120471.96</v>
      </c>
      <c r="M342" s="360">
        <f t="shared" si="36"/>
        <v>0.99176732086406749</v>
      </c>
      <c r="N342" s="439"/>
      <c r="O342" s="439"/>
      <c r="P342" s="439"/>
      <c r="Q342" s="439"/>
    </row>
    <row r="343" spans="1:17" ht="31.5" x14ac:dyDescent="0.25">
      <c r="A343" s="700">
        <v>3118311</v>
      </c>
      <c r="B343" s="701">
        <v>8311</v>
      </c>
      <c r="C343" s="49" t="s">
        <v>527</v>
      </c>
      <c r="D343" s="354" t="s">
        <v>526</v>
      </c>
      <c r="E343" s="37">
        <f>E344</f>
        <v>25000</v>
      </c>
      <c r="F343" s="37">
        <f>F344</f>
        <v>25000</v>
      </c>
      <c r="G343" s="204">
        <f t="shared" si="31"/>
        <v>1</v>
      </c>
      <c r="H343" s="7"/>
      <c r="I343" s="7"/>
      <c r="J343" s="203"/>
      <c r="K343" s="7">
        <f t="shared" si="45"/>
        <v>25000</v>
      </c>
      <c r="L343" s="7">
        <f t="shared" si="46"/>
        <v>25000</v>
      </c>
      <c r="M343" s="360">
        <f t="shared" si="36"/>
        <v>1</v>
      </c>
      <c r="N343" s="439"/>
      <c r="O343" s="439"/>
      <c r="P343" s="439"/>
      <c r="Q343" s="439"/>
    </row>
    <row r="344" spans="1:17" ht="16.5" thickBot="1" x14ac:dyDescent="0.3">
      <c r="A344" s="700"/>
      <c r="B344" s="701"/>
      <c r="C344" s="701"/>
      <c r="D344" s="353" t="s">
        <v>404</v>
      </c>
      <c r="E344" s="37">
        <v>25000</v>
      </c>
      <c r="F344" s="37">
        <v>25000</v>
      </c>
      <c r="G344" s="204">
        <f t="shared" si="31"/>
        <v>1</v>
      </c>
      <c r="H344" s="7"/>
      <c r="I344" s="7"/>
      <c r="J344" s="203"/>
      <c r="K344" s="7">
        <f t="shared" si="45"/>
        <v>25000</v>
      </c>
      <c r="L344" s="7">
        <f t="shared" si="46"/>
        <v>25000</v>
      </c>
      <c r="M344" s="360">
        <f t="shared" si="36"/>
        <v>1</v>
      </c>
      <c r="N344" s="439"/>
      <c r="O344" s="439"/>
      <c r="P344" s="439"/>
      <c r="Q344" s="439"/>
    </row>
    <row r="345" spans="1:17" s="29" customFormat="1" ht="53.25" customHeight="1" thickBot="1" x14ac:dyDescent="0.3">
      <c r="A345" s="32" t="s">
        <v>190</v>
      </c>
      <c r="B345" s="33" t="s">
        <v>14</v>
      </c>
      <c r="C345" s="33" t="s">
        <v>14</v>
      </c>
      <c r="D345" s="34" t="s">
        <v>449</v>
      </c>
      <c r="E345" s="51">
        <f>E346</f>
        <v>67809123</v>
      </c>
      <c r="F345" s="51">
        <f>F346</f>
        <v>63809040.019999996</v>
      </c>
      <c r="G345" s="201">
        <f t="shared" si="31"/>
        <v>0.94100966355220372</v>
      </c>
      <c r="H345" s="10">
        <f>H346</f>
        <v>45530</v>
      </c>
      <c r="I345" s="10">
        <f>I346</f>
        <v>45530</v>
      </c>
      <c r="J345" s="201"/>
      <c r="K345" s="199">
        <f>K346</f>
        <v>67854653</v>
      </c>
      <c r="L345" s="10">
        <f>L346</f>
        <v>63854570.019999996</v>
      </c>
      <c r="M345" s="209">
        <f t="shared" si="36"/>
        <v>0.94104924565747905</v>
      </c>
      <c r="N345" s="439"/>
      <c r="O345" s="439"/>
      <c r="P345" s="439"/>
      <c r="Q345" s="439"/>
    </row>
    <row r="346" spans="1:17" s="28" customFormat="1" ht="52.5" customHeight="1" x14ac:dyDescent="0.25">
      <c r="A346" s="45" t="s">
        <v>191</v>
      </c>
      <c r="B346" s="46" t="s">
        <v>14</v>
      </c>
      <c r="C346" s="46" t="s">
        <v>14</v>
      </c>
      <c r="D346" s="47" t="s">
        <v>449</v>
      </c>
      <c r="E346" s="39">
        <f>E347+E352+E354</f>
        <v>67809123</v>
      </c>
      <c r="F346" s="39">
        <f>F347+F352+F354</f>
        <v>63809040.019999996</v>
      </c>
      <c r="G346" s="202">
        <f t="shared" si="31"/>
        <v>0.94100966355220372</v>
      </c>
      <c r="H346" s="39">
        <f t="shared" ref="H346:J346" si="48">H347+H352+H354</f>
        <v>45530</v>
      </c>
      <c r="I346" s="39">
        <f t="shared" si="48"/>
        <v>45530</v>
      </c>
      <c r="J346" s="39">
        <f t="shared" si="48"/>
        <v>0</v>
      </c>
      <c r="K346" s="39">
        <f>K347+K352+K354</f>
        <v>67854653</v>
      </c>
      <c r="L346" s="39">
        <f>L347+L352+L354</f>
        <v>63854570.019999996</v>
      </c>
      <c r="M346" s="362">
        <f t="shared" si="36"/>
        <v>0.94104924565747905</v>
      </c>
      <c r="N346" s="439"/>
      <c r="O346" s="439"/>
      <c r="P346" s="439"/>
      <c r="Q346" s="439"/>
    </row>
    <row r="347" spans="1:17" ht="47.25" x14ac:dyDescent="0.25">
      <c r="A347" s="700" t="s">
        <v>192</v>
      </c>
      <c r="B347" s="701" t="s">
        <v>42</v>
      </c>
      <c r="C347" s="701" t="s">
        <v>16</v>
      </c>
      <c r="D347" s="24" t="s">
        <v>156</v>
      </c>
      <c r="E347" s="37">
        <f>E348</f>
        <v>7789823</v>
      </c>
      <c r="F347" s="37">
        <f>F348</f>
        <v>7789740.0199999996</v>
      </c>
      <c r="G347" s="203">
        <f t="shared" si="31"/>
        <v>0.99998934763986291</v>
      </c>
      <c r="H347" s="7">
        <f>H350</f>
        <v>45530</v>
      </c>
      <c r="I347" s="7">
        <f>I350</f>
        <v>45530</v>
      </c>
      <c r="J347" s="204"/>
      <c r="K347" s="186">
        <f>E347+H347</f>
        <v>7835353</v>
      </c>
      <c r="L347" s="186">
        <f>F347+I347</f>
        <v>7835270.0199999996</v>
      </c>
      <c r="M347" s="361">
        <f t="shared" si="36"/>
        <v>0.99998940953904691</v>
      </c>
      <c r="N347" s="439"/>
      <c r="O347" s="439"/>
      <c r="P347" s="439"/>
      <c r="Q347" s="439"/>
    </row>
    <row r="348" spans="1:17" x14ac:dyDescent="0.25">
      <c r="A348" s="35"/>
      <c r="B348" s="36"/>
      <c r="C348" s="36"/>
      <c r="D348" s="353" t="s">
        <v>404</v>
      </c>
      <c r="E348" s="38">
        <v>7789823</v>
      </c>
      <c r="F348" s="38">
        <v>7789740.0199999996</v>
      </c>
      <c r="G348" s="203">
        <f t="shared" si="31"/>
        <v>0.99998934763986291</v>
      </c>
      <c r="H348" s="12"/>
      <c r="I348" s="12"/>
      <c r="J348" s="204"/>
      <c r="K348" s="186">
        <f t="shared" ref="K348:K355" si="49">E348+H348</f>
        <v>7789823</v>
      </c>
      <c r="L348" s="186">
        <f t="shared" ref="L348:L355" si="50">F348+I348</f>
        <v>7789740.0199999996</v>
      </c>
      <c r="M348" s="361">
        <f t="shared" si="36"/>
        <v>0.99998934763986291</v>
      </c>
      <c r="N348" s="439"/>
      <c r="O348" s="439"/>
      <c r="P348" s="439"/>
      <c r="Q348" s="439"/>
    </row>
    <row r="349" spans="1:17" x14ac:dyDescent="0.25">
      <c r="A349" s="35"/>
      <c r="B349" s="36"/>
      <c r="C349" s="36"/>
      <c r="D349" s="354" t="s">
        <v>405</v>
      </c>
      <c r="E349" s="38">
        <v>7548202</v>
      </c>
      <c r="F349" s="38">
        <v>7548157.0599999996</v>
      </c>
      <c r="G349" s="203">
        <f t="shared" si="31"/>
        <v>0.99999404626426258</v>
      </c>
      <c r="H349" s="12"/>
      <c r="I349" s="12"/>
      <c r="J349" s="204"/>
      <c r="K349" s="186">
        <f t="shared" si="49"/>
        <v>7548202</v>
      </c>
      <c r="L349" s="186">
        <f t="shared" si="50"/>
        <v>7548157.0599999996</v>
      </c>
      <c r="M349" s="361">
        <f t="shared" si="36"/>
        <v>0.99999404626426258</v>
      </c>
      <c r="N349" s="439"/>
      <c r="O349" s="439"/>
      <c r="P349" s="439"/>
      <c r="Q349" s="439"/>
    </row>
    <row r="350" spans="1:17" x14ac:dyDescent="0.25">
      <c r="A350" s="35"/>
      <c r="B350" s="36"/>
      <c r="C350" s="36"/>
      <c r="D350" s="353" t="s">
        <v>407</v>
      </c>
      <c r="E350" s="38"/>
      <c r="F350" s="38"/>
      <c r="G350" s="204"/>
      <c r="H350" s="12">
        <f>H351</f>
        <v>45530</v>
      </c>
      <c r="I350" s="12">
        <f>I351</f>
        <v>45530</v>
      </c>
      <c r="J350" s="204"/>
      <c r="K350" s="186">
        <f>E350+H350</f>
        <v>45530</v>
      </c>
      <c r="L350" s="186">
        <f>F350+I350</f>
        <v>45530</v>
      </c>
      <c r="M350" s="361">
        <f t="shared" si="36"/>
        <v>1</v>
      </c>
      <c r="N350" s="439"/>
      <c r="O350" s="439"/>
      <c r="P350" s="439"/>
      <c r="Q350" s="439"/>
    </row>
    <row r="351" spans="1:17" x14ac:dyDescent="0.25">
      <c r="A351" s="35"/>
      <c r="B351" s="36"/>
      <c r="C351" s="36"/>
      <c r="D351" s="356" t="s">
        <v>408</v>
      </c>
      <c r="E351" s="38"/>
      <c r="F351" s="38"/>
      <c r="G351" s="204"/>
      <c r="H351" s="12">
        <v>45530</v>
      </c>
      <c r="I351" s="12">
        <v>45530</v>
      </c>
      <c r="J351" s="204"/>
      <c r="K351" s="186">
        <f>E351+H351</f>
        <v>45530</v>
      </c>
      <c r="L351" s="186">
        <f>F351+I351</f>
        <v>45530</v>
      </c>
      <c r="M351" s="361">
        <f t="shared" si="36"/>
        <v>1</v>
      </c>
      <c r="N351" s="439"/>
      <c r="O351" s="439"/>
      <c r="P351" s="439"/>
      <c r="Q351" s="439"/>
    </row>
    <row r="352" spans="1:17" x14ac:dyDescent="0.25">
      <c r="A352" s="35" t="s">
        <v>193</v>
      </c>
      <c r="B352" s="36" t="s">
        <v>194</v>
      </c>
      <c r="C352" s="36" t="s">
        <v>195</v>
      </c>
      <c r="D352" s="31" t="s">
        <v>196</v>
      </c>
      <c r="E352" s="38">
        <f>E353</f>
        <v>4000000</v>
      </c>
      <c r="F352" s="38">
        <f>F353</f>
        <v>0</v>
      </c>
      <c r="G352" s="204">
        <f t="shared" si="31"/>
        <v>0</v>
      </c>
      <c r="H352" s="12">
        <v>0</v>
      </c>
      <c r="I352" s="12"/>
      <c r="J352" s="204"/>
      <c r="K352" s="186">
        <f t="shared" si="49"/>
        <v>4000000</v>
      </c>
      <c r="L352" s="186">
        <f t="shared" si="50"/>
        <v>0</v>
      </c>
      <c r="M352" s="361">
        <f t="shared" si="36"/>
        <v>0</v>
      </c>
      <c r="N352" s="439"/>
      <c r="O352" s="439"/>
      <c r="P352" s="439"/>
      <c r="Q352" s="439"/>
    </row>
    <row r="353" spans="1:17" x14ac:dyDescent="0.25">
      <c r="A353" s="700"/>
      <c r="B353" s="701"/>
      <c r="C353" s="701"/>
      <c r="D353" s="353" t="s">
        <v>404</v>
      </c>
      <c r="E353" s="37">
        <v>4000000</v>
      </c>
      <c r="F353" s="37">
        <v>0</v>
      </c>
      <c r="G353" s="203">
        <f t="shared" si="31"/>
        <v>0</v>
      </c>
      <c r="H353" s="7"/>
      <c r="I353" s="7"/>
      <c r="J353" s="203"/>
      <c r="K353" s="7">
        <f t="shared" si="49"/>
        <v>4000000</v>
      </c>
      <c r="L353" s="7">
        <f t="shared" si="50"/>
        <v>0</v>
      </c>
      <c r="M353" s="360">
        <f t="shared" si="36"/>
        <v>0</v>
      </c>
      <c r="N353" s="439"/>
      <c r="O353" s="439"/>
      <c r="P353" s="439"/>
      <c r="Q353" s="439"/>
    </row>
    <row r="354" spans="1:17" x14ac:dyDescent="0.25">
      <c r="A354" s="700">
        <v>3719110</v>
      </c>
      <c r="B354" s="701">
        <v>9110</v>
      </c>
      <c r="C354" s="49" t="s">
        <v>197</v>
      </c>
      <c r="D354" s="354" t="s">
        <v>528</v>
      </c>
      <c r="E354" s="37">
        <f>E355</f>
        <v>56019300</v>
      </c>
      <c r="F354" s="37">
        <f>F355</f>
        <v>56019300</v>
      </c>
      <c r="G354" s="203">
        <f t="shared" si="31"/>
        <v>1</v>
      </c>
      <c r="H354" s="7"/>
      <c r="I354" s="7"/>
      <c r="J354" s="203"/>
      <c r="K354" s="7">
        <f>E354+H354</f>
        <v>56019300</v>
      </c>
      <c r="L354" s="7">
        <f t="shared" si="50"/>
        <v>56019300</v>
      </c>
      <c r="M354" s="360">
        <f t="shared" si="36"/>
        <v>1</v>
      </c>
      <c r="N354" s="439"/>
      <c r="O354" s="439"/>
      <c r="P354" s="439"/>
      <c r="Q354" s="439"/>
    </row>
    <row r="355" spans="1:17" ht="16.5" thickBot="1" x14ac:dyDescent="0.3">
      <c r="A355" s="35"/>
      <c r="B355" s="36"/>
      <c r="C355" s="36"/>
      <c r="D355" s="355" t="s">
        <v>404</v>
      </c>
      <c r="E355" s="38">
        <v>56019300</v>
      </c>
      <c r="F355" s="38">
        <v>56019300</v>
      </c>
      <c r="G355" s="204">
        <f t="shared" si="31"/>
        <v>1</v>
      </c>
      <c r="H355" s="12"/>
      <c r="I355" s="12"/>
      <c r="J355" s="204"/>
      <c r="K355" s="12">
        <f t="shared" si="49"/>
        <v>56019300</v>
      </c>
      <c r="L355" s="12">
        <f t="shared" si="50"/>
        <v>56019300</v>
      </c>
      <c r="M355" s="361">
        <f t="shared" si="36"/>
        <v>1</v>
      </c>
      <c r="N355" s="439"/>
      <c r="O355" s="439"/>
      <c r="P355" s="439"/>
      <c r="Q355" s="439"/>
    </row>
    <row r="356" spans="1:17" ht="13.5" customHeight="1" thickBot="1" x14ac:dyDescent="0.3">
      <c r="A356" s="32" t="s">
        <v>6</v>
      </c>
      <c r="B356" s="33" t="s">
        <v>6</v>
      </c>
      <c r="C356" s="33" t="s">
        <v>6</v>
      </c>
      <c r="D356" s="442" t="s">
        <v>138</v>
      </c>
      <c r="E356" s="51">
        <f>E17+E65+E147+E187+E196+E247+E279+E309+E317+E328+E345</f>
        <v>738647666</v>
      </c>
      <c r="F356" s="443">
        <f>F17+F65+F147+F187+F196+F247+F279+F309+F317+F328+F345</f>
        <v>710258839.45000005</v>
      </c>
      <c r="G356" s="444">
        <f t="shared" si="31"/>
        <v>0.96156648445972348</v>
      </c>
      <c r="H356" s="592">
        <f>H17+H65+H147+H187+H196+H247+H279+H309+H317+H328+H345</f>
        <v>128204461</v>
      </c>
      <c r="I356" s="51">
        <f>I17+I65+I147+I187+I196+I247+I279+I309+I317+I328+I345</f>
        <v>114113653.71999998</v>
      </c>
      <c r="J356" s="445">
        <f t="shared" ref="J356" si="51">I356/H356</f>
        <v>0.890091131228265</v>
      </c>
      <c r="K356" s="51">
        <f>K17+K65+K147+K187+K196+K247+K279+K309+K317+K328+K345</f>
        <v>866852127</v>
      </c>
      <c r="L356" s="51">
        <f>L17+L65+L147+L187+L196+L247+L279+L309+L317+L328+L345</f>
        <v>824372493.17000008</v>
      </c>
      <c r="M356" s="446">
        <f>L356/K356</f>
        <v>0.95099552448811153</v>
      </c>
      <c r="N356" s="439"/>
      <c r="O356" s="439"/>
      <c r="P356" s="439"/>
      <c r="Q356" s="439"/>
    </row>
    <row r="357" spans="1:17" ht="1.5" hidden="1" customHeight="1" x14ac:dyDescent="0.25">
      <c r="A357" s="14"/>
      <c r="B357" s="14"/>
      <c r="C357" s="14"/>
      <c r="D357" s="15"/>
      <c r="E357" s="52"/>
      <c r="F357" s="52"/>
      <c r="G357" s="52"/>
      <c r="H357" s="52"/>
      <c r="I357" s="52"/>
      <c r="J357" s="52"/>
      <c r="K357" s="52"/>
      <c r="L357" s="52"/>
      <c r="M357" s="52"/>
    </row>
    <row r="358" spans="1:17" ht="16.899999999999999" customHeight="1" x14ac:dyDescent="0.25"/>
    <row r="359" spans="1:17" s="23" customFormat="1" ht="19.5" customHeight="1" x14ac:dyDescent="0.2">
      <c r="A359" s="1222" t="s">
        <v>435</v>
      </c>
      <c r="B359" s="1222"/>
      <c r="C359" s="1222"/>
      <c r="D359" s="1222"/>
      <c r="E359" s="53"/>
      <c r="F359" s="435"/>
      <c r="G359" s="53"/>
      <c r="H359" s="53" t="s">
        <v>410</v>
      </c>
      <c r="I359" s="53"/>
      <c r="J359" s="54"/>
      <c r="K359" s="55"/>
      <c r="L359" s="55"/>
      <c r="M359" s="55"/>
    </row>
    <row r="360" spans="1:17" ht="16.899999999999999" customHeight="1" x14ac:dyDescent="0.25">
      <c r="A360" s="211"/>
      <c r="B360" s="211"/>
      <c r="C360" s="211"/>
      <c r="D360" s="212"/>
      <c r="E360" s="214"/>
      <c r="F360" s="689"/>
      <c r="G360" s="214"/>
      <c r="H360" s="214"/>
      <c r="I360" s="215"/>
      <c r="J360" s="215"/>
      <c r="K360" s="214"/>
      <c r="L360" s="214"/>
      <c r="M360" s="214"/>
    </row>
    <row r="361" spans="1:17" ht="16.5" x14ac:dyDescent="0.25">
      <c r="A361" s="211"/>
      <c r="B361" s="211"/>
      <c r="C361" s="211"/>
      <c r="D361" s="212"/>
      <c r="E361" s="214"/>
      <c r="F361" s="438"/>
      <c r="G361" s="214"/>
      <c r="H361" s="594"/>
      <c r="I361" s="214"/>
      <c r="J361" s="214"/>
      <c r="K361" s="214"/>
      <c r="L361" s="214"/>
      <c r="M361" s="214"/>
    </row>
    <row r="362" spans="1:17" ht="16.5" x14ac:dyDescent="0.25">
      <c r="A362" s="211"/>
      <c r="B362" s="211"/>
      <c r="C362" s="211"/>
      <c r="D362" s="212"/>
      <c r="E362" s="214"/>
      <c r="F362" s="436"/>
      <c r="G362" s="214"/>
      <c r="H362" s="215"/>
      <c r="I362" s="215"/>
      <c r="J362" s="215"/>
      <c r="K362" s="214"/>
      <c r="L362" s="214"/>
      <c r="M362" s="214"/>
    </row>
    <row r="363" spans="1:17" ht="16.5" x14ac:dyDescent="0.25">
      <c r="A363" s="211"/>
      <c r="B363" s="211"/>
      <c r="C363" s="211"/>
      <c r="D363" s="212"/>
      <c r="E363" s="214"/>
      <c r="F363" s="689"/>
      <c r="G363" s="214"/>
      <c r="H363" s="215"/>
      <c r="I363" s="215"/>
      <c r="J363" s="215"/>
      <c r="K363" s="214"/>
      <c r="L363" s="214"/>
      <c r="M363" s="214"/>
    </row>
    <row r="364" spans="1:17" ht="16.5" x14ac:dyDescent="0.25">
      <c r="A364" s="211"/>
      <c r="B364" s="211"/>
      <c r="C364" s="211"/>
      <c r="D364" s="212"/>
      <c r="E364" s="214"/>
      <c r="F364" s="214"/>
      <c r="G364" s="214"/>
      <c r="H364" s="215"/>
      <c r="I364" s="215"/>
      <c r="J364" s="215"/>
      <c r="K364" s="214"/>
      <c r="L364" s="214"/>
      <c r="M364" s="214"/>
    </row>
    <row r="365" spans="1:17" ht="16.5" x14ac:dyDescent="0.25">
      <c r="A365" s="211"/>
      <c r="B365" s="211"/>
      <c r="C365" s="211"/>
      <c r="D365" s="212"/>
      <c r="E365" s="214"/>
      <c r="F365" s="438"/>
      <c r="G365" s="214"/>
      <c r="H365" s="215"/>
      <c r="I365" s="215"/>
      <c r="J365" s="215"/>
      <c r="K365" s="214"/>
      <c r="L365" s="214"/>
      <c r="M365" s="214"/>
    </row>
    <row r="366" spans="1:17" ht="16.5" x14ac:dyDescent="0.25">
      <c r="A366" s="211"/>
      <c r="B366" s="211"/>
      <c r="C366" s="211"/>
      <c r="D366" s="212"/>
      <c r="E366" s="214"/>
      <c r="F366" s="689"/>
      <c r="G366" s="214"/>
      <c r="H366" s="215"/>
      <c r="I366" s="215"/>
      <c r="J366" s="215"/>
      <c r="K366" s="214"/>
      <c r="L366" s="214"/>
      <c r="M366" s="214"/>
    </row>
    <row r="367" spans="1:17" ht="16.5" x14ac:dyDescent="0.25">
      <c r="A367" s="211"/>
      <c r="B367" s="211"/>
      <c r="C367" s="211"/>
      <c r="D367" s="212"/>
      <c r="E367" s="214"/>
      <c r="F367" s="214"/>
      <c r="G367" s="214"/>
      <c r="H367" s="215"/>
      <c r="I367" s="215"/>
      <c r="J367" s="215"/>
      <c r="K367" s="214"/>
      <c r="L367" s="214"/>
      <c r="M367" s="214"/>
    </row>
    <row r="368" spans="1:17" ht="16.5" x14ac:dyDescent="0.25">
      <c r="A368" s="211"/>
      <c r="B368" s="211"/>
      <c r="C368" s="211"/>
      <c r="D368" s="212"/>
      <c r="E368" s="214"/>
      <c r="F368" s="438"/>
      <c r="G368" s="214"/>
      <c r="H368" s="215"/>
      <c r="I368" s="215"/>
      <c r="J368" s="215"/>
      <c r="K368" s="214"/>
      <c r="L368" s="214"/>
      <c r="M368" s="214"/>
    </row>
    <row r="369" spans="1:13" ht="16.5" x14ac:dyDescent="0.25">
      <c r="A369" s="211"/>
      <c r="B369" s="211"/>
      <c r="C369" s="211"/>
      <c r="D369" s="212"/>
      <c r="E369" s="214"/>
      <c r="F369" s="436"/>
      <c r="G369" s="214"/>
      <c r="H369" s="215"/>
      <c r="I369" s="215"/>
      <c r="J369" s="215"/>
      <c r="K369" s="214"/>
      <c r="L369" s="214"/>
      <c r="M369" s="214"/>
    </row>
    <row r="370" spans="1:13" ht="16.5" x14ac:dyDescent="0.25">
      <c r="A370" s="211"/>
      <c r="B370" s="211"/>
      <c r="C370" s="211"/>
      <c r="D370" s="212"/>
      <c r="E370" s="214"/>
      <c r="F370" s="436"/>
      <c r="G370" s="214"/>
      <c r="H370" s="215"/>
      <c r="I370" s="215"/>
      <c r="J370" s="215"/>
      <c r="K370" s="214"/>
      <c r="L370" s="214"/>
      <c r="M370" s="214"/>
    </row>
    <row r="371" spans="1:13" ht="16.5" x14ac:dyDescent="0.25">
      <c r="A371" s="211"/>
      <c r="B371" s="211"/>
      <c r="C371" s="211"/>
      <c r="E371" s="214"/>
      <c r="F371" s="436"/>
      <c r="G371" s="214"/>
      <c r="H371" s="215"/>
      <c r="I371" s="215"/>
      <c r="J371" s="215"/>
      <c r="K371" s="214"/>
      <c r="L371" s="214"/>
      <c r="M371" s="214"/>
    </row>
    <row r="372" spans="1:13" ht="16.5" x14ac:dyDescent="0.25">
      <c r="A372" s="211"/>
      <c r="B372" s="211"/>
      <c r="C372" s="211"/>
      <c r="D372" s="212"/>
      <c r="E372" s="214"/>
      <c r="F372" s="436"/>
      <c r="G372" s="214"/>
      <c r="H372" s="215"/>
      <c r="I372" s="215"/>
      <c r="J372" s="215"/>
      <c r="K372" s="214"/>
      <c r="L372" s="214"/>
      <c r="M372" s="214"/>
    </row>
    <row r="373" spans="1:13" ht="16.5" x14ac:dyDescent="0.25">
      <c r="A373" s="211"/>
      <c r="B373" s="211"/>
      <c r="C373" s="211"/>
      <c r="D373" s="212"/>
      <c r="E373" s="214"/>
      <c r="F373" s="436"/>
      <c r="G373" s="214"/>
      <c r="H373" s="215"/>
      <c r="I373" s="215"/>
      <c r="J373" s="215"/>
      <c r="K373" s="214"/>
      <c r="L373" s="214"/>
      <c r="M373" s="214"/>
    </row>
    <row r="374" spans="1:13" ht="16.5" x14ac:dyDescent="0.25">
      <c r="A374" s="211"/>
      <c r="B374" s="211"/>
      <c r="C374" s="211"/>
      <c r="D374" s="212"/>
      <c r="E374" s="214"/>
      <c r="F374" s="436"/>
      <c r="G374" s="214"/>
      <c r="H374" s="215"/>
      <c r="I374" s="215"/>
      <c r="J374" s="215"/>
      <c r="K374" s="214"/>
      <c r="L374" s="214"/>
      <c r="M374" s="214"/>
    </row>
    <row r="375" spans="1:13" ht="15.6" customHeight="1" x14ac:dyDescent="0.25">
      <c r="A375" s="211"/>
      <c r="B375" s="211"/>
      <c r="C375" s="211"/>
      <c r="D375" s="212"/>
      <c r="E375" s="436"/>
      <c r="G375" s="212"/>
      <c r="H375" s="215"/>
      <c r="I375" s="215"/>
      <c r="J375" s="213"/>
      <c r="K375" s="212"/>
      <c r="L375" s="212"/>
      <c r="M375" s="212"/>
    </row>
    <row r="376" spans="1:13" ht="16.5" x14ac:dyDescent="0.25">
      <c r="A376" s="211"/>
      <c r="B376" s="211"/>
      <c r="C376" s="211"/>
      <c r="D376" s="212"/>
      <c r="E376" s="212"/>
      <c r="F376" s="436"/>
      <c r="G376" s="212"/>
      <c r="H376" s="213"/>
      <c r="I376" s="213"/>
      <c r="J376" s="213"/>
      <c r="K376" s="212"/>
      <c r="L376" s="212"/>
      <c r="M376" s="212"/>
    </row>
    <row r="377" spans="1:13" ht="16.5" x14ac:dyDescent="0.25">
      <c r="A377" s="211"/>
      <c r="B377" s="211"/>
      <c r="C377" s="211"/>
      <c r="D377" s="212"/>
      <c r="E377" s="212"/>
      <c r="F377" s="436"/>
      <c r="G377" s="212"/>
      <c r="H377" s="213"/>
      <c r="I377" s="213"/>
      <c r="J377" s="213"/>
      <c r="K377" s="212"/>
      <c r="L377" s="212"/>
      <c r="M377" s="212"/>
    </row>
    <row r="378" spans="1:13" ht="16.5" x14ac:dyDescent="0.25">
      <c r="A378" s="211"/>
      <c r="B378" s="211"/>
      <c r="C378" s="211"/>
      <c r="D378" s="212"/>
      <c r="E378" s="212"/>
      <c r="F378" s="436"/>
      <c r="G378" s="212"/>
      <c r="H378" s="213"/>
      <c r="I378" s="213"/>
      <c r="J378" s="213"/>
      <c r="K378" s="212"/>
      <c r="L378" s="212"/>
      <c r="M378" s="212"/>
    </row>
    <row r="379" spans="1:13" ht="16.5" x14ac:dyDescent="0.25">
      <c r="A379" s="211"/>
      <c r="B379" s="211"/>
      <c r="C379" s="211"/>
      <c r="D379" s="212"/>
      <c r="E379" s="212"/>
      <c r="F379" s="436"/>
      <c r="G379" s="212"/>
      <c r="H379" s="213"/>
      <c r="I379" s="213"/>
      <c r="J379" s="213"/>
      <c r="K379" s="212"/>
      <c r="L379" s="212"/>
      <c r="M379" s="212"/>
    </row>
  </sheetData>
  <mergeCells count="21">
    <mergeCell ref="K3:M3"/>
    <mergeCell ref="K4:L4"/>
    <mergeCell ref="A359:D359"/>
    <mergeCell ref="A8:K8"/>
    <mergeCell ref="A9:K9"/>
    <mergeCell ref="A12:A15"/>
    <mergeCell ref="B12:B15"/>
    <mergeCell ref="C12:C15"/>
    <mergeCell ref="D12:D15"/>
    <mergeCell ref="E12:G12"/>
    <mergeCell ref="E13:E15"/>
    <mergeCell ref="F13:F15"/>
    <mergeCell ref="G13:G15"/>
    <mergeCell ref="H12:J12"/>
    <mergeCell ref="K12:M12"/>
    <mergeCell ref="L13:L15"/>
    <mergeCell ref="M13:M15"/>
    <mergeCell ref="I13:I15"/>
    <mergeCell ref="H13:H15"/>
    <mergeCell ref="J13:J15"/>
    <mergeCell ref="K13:K15"/>
  </mergeCells>
  <pageMargins left="1.1811023622047245" right="0.39370078740157483" top="0.78740157480314965" bottom="0.59055118110236227" header="0.31496062992125984" footer="0.31496062992125984"/>
  <pageSetup paperSize="9" scale="6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26"/>
  <sheetViews>
    <sheetView view="pageBreakPreview" zoomScale="80" zoomScaleNormal="40" zoomScaleSheetLayoutView="80" workbookViewId="0">
      <selection activeCell="D14" sqref="D14:D17"/>
    </sheetView>
  </sheetViews>
  <sheetFormatPr defaultRowHeight="12.75" x14ac:dyDescent="0.2"/>
  <cols>
    <col min="1" max="1" width="18.28515625" style="230" customWidth="1"/>
    <col min="2" max="2" width="11.7109375" style="230" customWidth="1"/>
    <col min="3" max="3" width="13.140625" style="230" customWidth="1"/>
    <col min="4" max="4" width="69.7109375" style="230" customWidth="1"/>
    <col min="5" max="5" width="13" style="230" customWidth="1"/>
    <col min="6" max="7" width="8.85546875" style="230"/>
    <col min="8" max="8" width="13.7109375" style="230" customWidth="1"/>
    <col min="9" max="9" width="14.140625" style="230" customWidth="1"/>
    <col min="10" max="11" width="8.85546875" style="230"/>
    <col min="12" max="12" width="13.28515625" style="230" customWidth="1"/>
    <col min="13" max="256" width="8.85546875" style="230"/>
    <col min="257" max="257" width="18.28515625" style="230" customWidth="1"/>
    <col min="258" max="258" width="11.7109375" style="230" customWidth="1"/>
    <col min="259" max="259" width="13.140625" style="230" customWidth="1"/>
    <col min="260" max="260" width="69.7109375" style="230" customWidth="1"/>
    <col min="261" max="261" width="13" style="230" customWidth="1"/>
    <col min="262" max="263" width="8.85546875" style="230"/>
    <col min="264" max="264" width="13.7109375" style="230" customWidth="1"/>
    <col min="265" max="265" width="14.140625" style="230" customWidth="1"/>
    <col min="266" max="267" width="8.85546875" style="230"/>
    <col min="268" max="268" width="13.28515625" style="230" customWidth="1"/>
    <col min="269" max="512" width="8.85546875" style="230"/>
    <col min="513" max="513" width="18.28515625" style="230" customWidth="1"/>
    <col min="514" max="514" width="11.7109375" style="230" customWidth="1"/>
    <col min="515" max="515" width="13.140625" style="230" customWidth="1"/>
    <col min="516" max="516" width="69.7109375" style="230" customWidth="1"/>
    <col min="517" max="517" width="13" style="230" customWidth="1"/>
    <col min="518" max="519" width="8.85546875" style="230"/>
    <col min="520" max="520" width="13.7109375" style="230" customWidth="1"/>
    <col min="521" max="521" width="14.140625" style="230" customWidth="1"/>
    <col min="522" max="523" width="8.85546875" style="230"/>
    <col min="524" max="524" width="13.28515625" style="230" customWidth="1"/>
    <col min="525" max="768" width="8.85546875" style="230"/>
    <col min="769" max="769" width="18.28515625" style="230" customWidth="1"/>
    <col min="770" max="770" width="11.7109375" style="230" customWidth="1"/>
    <col min="771" max="771" width="13.140625" style="230" customWidth="1"/>
    <col min="772" max="772" width="69.7109375" style="230" customWidth="1"/>
    <col min="773" max="773" width="13" style="230" customWidth="1"/>
    <col min="774" max="775" width="8.85546875" style="230"/>
    <col min="776" max="776" width="13.7109375" style="230" customWidth="1"/>
    <col min="777" max="777" width="14.140625" style="230" customWidth="1"/>
    <col min="778" max="779" width="8.85546875" style="230"/>
    <col min="780" max="780" width="13.28515625" style="230" customWidth="1"/>
    <col min="781" max="1024" width="8.85546875" style="230"/>
    <col min="1025" max="1025" width="18.28515625" style="230" customWidth="1"/>
    <col min="1026" max="1026" width="11.7109375" style="230" customWidth="1"/>
    <col min="1027" max="1027" width="13.140625" style="230" customWidth="1"/>
    <col min="1028" max="1028" width="69.7109375" style="230" customWidth="1"/>
    <col min="1029" max="1029" width="13" style="230" customWidth="1"/>
    <col min="1030" max="1031" width="8.85546875" style="230"/>
    <col min="1032" max="1032" width="13.7109375" style="230" customWidth="1"/>
    <col min="1033" max="1033" width="14.140625" style="230" customWidth="1"/>
    <col min="1034" max="1035" width="8.85546875" style="230"/>
    <col min="1036" max="1036" width="13.28515625" style="230" customWidth="1"/>
    <col min="1037" max="1280" width="8.85546875" style="230"/>
    <col min="1281" max="1281" width="18.28515625" style="230" customWidth="1"/>
    <col min="1282" max="1282" width="11.7109375" style="230" customWidth="1"/>
    <col min="1283" max="1283" width="13.140625" style="230" customWidth="1"/>
    <col min="1284" max="1284" width="69.7109375" style="230" customWidth="1"/>
    <col min="1285" max="1285" width="13" style="230" customWidth="1"/>
    <col min="1286" max="1287" width="8.85546875" style="230"/>
    <col min="1288" max="1288" width="13.7109375" style="230" customWidth="1"/>
    <col min="1289" max="1289" width="14.140625" style="230" customWidth="1"/>
    <col min="1290" max="1291" width="8.85546875" style="230"/>
    <col min="1292" max="1292" width="13.28515625" style="230" customWidth="1"/>
    <col min="1293" max="1536" width="8.85546875" style="230"/>
    <col min="1537" max="1537" width="18.28515625" style="230" customWidth="1"/>
    <col min="1538" max="1538" width="11.7109375" style="230" customWidth="1"/>
    <col min="1539" max="1539" width="13.140625" style="230" customWidth="1"/>
    <col min="1540" max="1540" width="69.7109375" style="230" customWidth="1"/>
    <col min="1541" max="1541" width="13" style="230" customWidth="1"/>
    <col min="1542" max="1543" width="8.85546875" style="230"/>
    <col min="1544" max="1544" width="13.7109375" style="230" customWidth="1"/>
    <col min="1545" max="1545" width="14.140625" style="230" customWidth="1"/>
    <col min="1546" max="1547" width="8.85546875" style="230"/>
    <col min="1548" max="1548" width="13.28515625" style="230" customWidth="1"/>
    <col min="1549" max="1792" width="8.85546875" style="230"/>
    <col min="1793" max="1793" width="18.28515625" style="230" customWidth="1"/>
    <col min="1794" max="1794" width="11.7109375" style="230" customWidth="1"/>
    <col min="1795" max="1795" width="13.140625" style="230" customWidth="1"/>
    <col min="1796" max="1796" width="69.7109375" style="230" customWidth="1"/>
    <col min="1797" max="1797" width="13" style="230" customWidth="1"/>
    <col min="1798" max="1799" width="8.85546875" style="230"/>
    <col min="1800" max="1800" width="13.7109375" style="230" customWidth="1"/>
    <col min="1801" max="1801" width="14.140625" style="230" customWidth="1"/>
    <col min="1802" max="1803" width="8.85546875" style="230"/>
    <col min="1804" max="1804" width="13.28515625" style="230" customWidth="1"/>
    <col min="1805" max="2048" width="8.85546875" style="230"/>
    <col min="2049" max="2049" width="18.28515625" style="230" customWidth="1"/>
    <col min="2050" max="2050" width="11.7109375" style="230" customWidth="1"/>
    <col min="2051" max="2051" width="13.140625" style="230" customWidth="1"/>
    <col min="2052" max="2052" width="69.7109375" style="230" customWidth="1"/>
    <col min="2053" max="2053" width="13" style="230" customWidth="1"/>
    <col min="2054" max="2055" width="8.85546875" style="230"/>
    <col min="2056" max="2056" width="13.7109375" style="230" customWidth="1"/>
    <col min="2057" max="2057" width="14.140625" style="230" customWidth="1"/>
    <col min="2058" max="2059" width="8.85546875" style="230"/>
    <col min="2060" max="2060" width="13.28515625" style="230" customWidth="1"/>
    <col min="2061" max="2304" width="8.85546875" style="230"/>
    <col min="2305" max="2305" width="18.28515625" style="230" customWidth="1"/>
    <col min="2306" max="2306" width="11.7109375" style="230" customWidth="1"/>
    <col min="2307" max="2307" width="13.140625" style="230" customWidth="1"/>
    <col min="2308" max="2308" width="69.7109375" style="230" customWidth="1"/>
    <col min="2309" max="2309" width="13" style="230" customWidth="1"/>
    <col min="2310" max="2311" width="8.85546875" style="230"/>
    <col min="2312" max="2312" width="13.7109375" style="230" customWidth="1"/>
    <col min="2313" max="2313" width="14.140625" style="230" customWidth="1"/>
    <col min="2314" max="2315" width="8.85546875" style="230"/>
    <col min="2316" max="2316" width="13.28515625" style="230" customWidth="1"/>
    <col min="2317" max="2560" width="8.85546875" style="230"/>
    <col min="2561" max="2561" width="18.28515625" style="230" customWidth="1"/>
    <col min="2562" max="2562" width="11.7109375" style="230" customWidth="1"/>
    <col min="2563" max="2563" width="13.140625" style="230" customWidth="1"/>
    <col min="2564" max="2564" width="69.7109375" style="230" customWidth="1"/>
    <col min="2565" max="2565" width="13" style="230" customWidth="1"/>
    <col min="2566" max="2567" width="8.85546875" style="230"/>
    <col min="2568" max="2568" width="13.7109375" style="230" customWidth="1"/>
    <col min="2569" max="2569" width="14.140625" style="230" customWidth="1"/>
    <col min="2570" max="2571" width="8.85546875" style="230"/>
    <col min="2572" max="2572" width="13.28515625" style="230" customWidth="1"/>
    <col min="2573" max="2816" width="8.85546875" style="230"/>
    <col min="2817" max="2817" width="18.28515625" style="230" customWidth="1"/>
    <col min="2818" max="2818" width="11.7109375" style="230" customWidth="1"/>
    <col min="2819" max="2819" width="13.140625" style="230" customWidth="1"/>
    <col min="2820" max="2820" width="69.7109375" style="230" customWidth="1"/>
    <col min="2821" max="2821" width="13" style="230" customWidth="1"/>
    <col min="2822" max="2823" width="8.85546875" style="230"/>
    <col min="2824" max="2824" width="13.7109375" style="230" customWidth="1"/>
    <col min="2825" max="2825" width="14.140625" style="230" customWidth="1"/>
    <col min="2826" max="2827" width="8.85546875" style="230"/>
    <col min="2828" max="2828" width="13.28515625" style="230" customWidth="1"/>
    <col min="2829" max="3072" width="8.85546875" style="230"/>
    <col min="3073" max="3073" width="18.28515625" style="230" customWidth="1"/>
    <col min="3074" max="3074" width="11.7109375" style="230" customWidth="1"/>
    <col min="3075" max="3075" width="13.140625" style="230" customWidth="1"/>
    <col min="3076" max="3076" width="69.7109375" style="230" customWidth="1"/>
    <col min="3077" max="3077" width="13" style="230" customWidth="1"/>
    <col min="3078" max="3079" width="8.85546875" style="230"/>
    <col min="3080" max="3080" width="13.7109375" style="230" customWidth="1"/>
    <col min="3081" max="3081" width="14.140625" style="230" customWidth="1"/>
    <col min="3082" max="3083" width="8.85546875" style="230"/>
    <col min="3084" max="3084" width="13.28515625" style="230" customWidth="1"/>
    <col min="3085" max="3328" width="8.85546875" style="230"/>
    <col min="3329" max="3329" width="18.28515625" style="230" customWidth="1"/>
    <col min="3330" max="3330" width="11.7109375" style="230" customWidth="1"/>
    <col min="3331" max="3331" width="13.140625" style="230" customWidth="1"/>
    <col min="3332" max="3332" width="69.7109375" style="230" customWidth="1"/>
    <col min="3333" max="3333" width="13" style="230" customWidth="1"/>
    <col min="3334" max="3335" width="8.85546875" style="230"/>
    <col min="3336" max="3336" width="13.7109375" style="230" customWidth="1"/>
    <col min="3337" max="3337" width="14.140625" style="230" customWidth="1"/>
    <col min="3338" max="3339" width="8.85546875" style="230"/>
    <col min="3340" max="3340" width="13.28515625" style="230" customWidth="1"/>
    <col min="3341" max="3584" width="8.85546875" style="230"/>
    <col min="3585" max="3585" width="18.28515625" style="230" customWidth="1"/>
    <col min="3586" max="3586" width="11.7109375" style="230" customWidth="1"/>
    <col min="3587" max="3587" width="13.140625" style="230" customWidth="1"/>
    <col min="3588" max="3588" width="69.7109375" style="230" customWidth="1"/>
    <col min="3589" max="3589" width="13" style="230" customWidth="1"/>
    <col min="3590" max="3591" width="8.85546875" style="230"/>
    <col min="3592" max="3592" width="13.7109375" style="230" customWidth="1"/>
    <col min="3593" max="3593" width="14.140625" style="230" customWidth="1"/>
    <col min="3594" max="3595" width="8.85546875" style="230"/>
    <col min="3596" max="3596" width="13.28515625" style="230" customWidth="1"/>
    <col min="3597" max="3840" width="8.85546875" style="230"/>
    <col min="3841" max="3841" width="18.28515625" style="230" customWidth="1"/>
    <col min="3842" max="3842" width="11.7109375" style="230" customWidth="1"/>
    <col min="3843" max="3843" width="13.140625" style="230" customWidth="1"/>
    <col min="3844" max="3844" width="69.7109375" style="230" customWidth="1"/>
    <col min="3845" max="3845" width="13" style="230" customWidth="1"/>
    <col min="3846" max="3847" width="8.85546875" style="230"/>
    <col min="3848" max="3848" width="13.7109375" style="230" customWidth="1"/>
    <col min="3849" max="3849" width="14.140625" style="230" customWidth="1"/>
    <col min="3850" max="3851" width="8.85546875" style="230"/>
    <col min="3852" max="3852" width="13.28515625" style="230" customWidth="1"/>
    <col min="3853" max="4096" width="8.85546875" style="230"/>
    <col min="4097" max="4097" width="18.28515625" style="230" customWidth="1"/>
    <col min="4098" max="4098" width="11.7109375" style="230" customWidth="1"/>
    <col min="4099" max="4099" width="13.140625" style="230" customWidth="1"/>
    <col min="4100" max="4100" width="69.7109375" style="230" customWidth="1"/>
    <col min="4101" max="4101" width="13" style="230" customWidth="1"/>
    <col min="4102" max="4103" width="8.85546875" style="230"/>
    <col min="4104" max="4104" width="13.7109375" style="230" customWidth="1"/>
    <col min="4105" max="4105" width="14.140625" style="230" customWidth="1"/>
    <col min="4106" max="4107" width="8.85546875" style="230"/>
    <col min="4108" max="4108" width="13.28515625" style="230" customWidth="1"/>
    <col min="4109" max="4352" width="8.85546875" style="230"/>
    <col min="4353" max="4353" width="18.28515625" style="230" customWidth="1"/>
    <col min="4354" max="4354" width="11.7109375" style="230" customWidth="1"/>
    <col min="4355" max="4355" width="13.140625" style="230" customWidth="1"/>
    <col min="4356" max="4356" width="69.7109375" style="230" customWidth="1"/>
    <col min="4357" max="4357" width="13" style="230" customWidth="1"/>
    <col min="4358" max="4359" width="8.85546875" style="230"/>
    <col min="4360" max="4360" width="13.7109375" style="230" customWidth="1"/>
    <col min="4361" max="4361" width="14.140625" style="230" customWidth="1"/>
    <col min="4362" max="4363" width="8.85546875" style="230"/>
    <col min="4364" max="4364" width="13.28515625" style="230" customWidth="1"/>
    <col min="4365" max="4608" width="8.85546875" style="230"/>
    <col min="4609" max="4609" width="18.28515625" style="230" customWidth="1"/>
    <col min="4610" max="4610" width="11.7109375" style="230" customWidth="1"/>
    <col min="4611" max="4611" width="13.140625" style="230" customWidth="1"/>
    <col min="4612" max="4612" width="69.7109375" style="230" customWidth="1"/>
    <col min="4613" max="4613" width="13" style="230" customWidth="1"/>
    <col min="4614" max="4615" width="8.85546875" style="230"/>
    <col min="4616" max="4616" width="13.7109375" style="230" customWidth="1"/>
    <col min="4617" max="4617" width="14.140625" style="230" customWidth="1"/>
    <col min="4618" max="4619" width="8.85546875" style="230"/>
    <col min="4620" max="4620" width="13.28515625" style="230" customWidth="1"/>
    <col min="4621" max="4864" width="8.85546875" style="230"/>
    <col min="4865" max="4865" width="18.28515625" style="230" customWidth="1"/>
    <col min="4866" max="4866" width="11.7109375" style="230" customWidth="1"/>
    <col min="4867" max="4867" width="13.140625" style="230" customWidth="1"/>
    <col min="4868" max="4868" width="69.7109375" style="230" customWidth="1"/>
    <col min="4869" max="4869" width="13" style="230" customWidth="1"/>
    <col min="4870" max="4871" width="8.85546875" style="230"/>
    <col min="4872" max="4872" width="13.7109375" style="230" customWidth="1"/>
    <col min="4873" max="4873" width="14.140625" style="230" customWidth="1"/>
    <col min="4874" max="4875" width="8.85546875" style="230"/>
    <col min="4876" max="4876" width="13.28515625" style="230" customWidth="1"/>
    <col min="4877" max="5120" width="8.85546875" style="230"/>
    <col min="5121" max="5121" width="18.28515625" style="230" customWidth="1"/>
    <col min="5122" max="5122" width="11.7109375" style="230" customWidth="1"/>
    <col min="5123" max="5123" width="13.140625" style="230" customWidth="1"/>
    <col min="5124" max="5124" width="69.7109375" style="230" customWidth="1"/>
    <col min="5125" max="5125" width="13" style="230" customWidth="1"/>
    <col min="5126" max="5127" width="8.85546875" style="230"/>
    <col min="5128" max="5128" width="13.7109375" style="230" customWidth="1"/>
    <col min="5129" max="5129" width="14.140625" style="230" customWidth="1"/>
    <col min="5130" max="5131" width="8.85546875" style="230"/>
    <col min="5132" max="5132" width="13.28515625" style="230" customWidth="1"/>
    <col min="5133" max="5376" width="8.85546875" style="230"/>
    <col min="5377" max="5377" width="18.28515625" style="230" customWidth="1"/>
    <col min="5378" max="5378" width="11.7109375" style="230" customWidth="1"/>
    <col min="5379" max="5379" width="13.140625" style="230" customWidth="1"/>
    <col min="5380" max="5380" width="69.7109375" style="230" customWidth="1"/>
    <col min="5381" max="5381" width="13" style="230" customWidth="1"/>
    <col min="5382" max="5383" width="8.85546875" style="230"/>
    <col min="5384" max="5384" width="13.7109375" style="230" customWidth="1"/>
    <col min="5385" max="5385" width="14.140625" style="230" customWidth="1"/>
    <col min="5386" max="5387" width="8.85546875" style="230"/>
    <col min="5388" max="5388" width="13.28515625" style="230" customWidth="1"/>
    <col min="5389" max="5632" width="8.85546875" style="230"/>
    <col min="5633" max="5633" width="18.28515625" style="230" customWidth="1"/>
    <col min="5634" max="5634" width="11.7109375" style="230" customWidth="1"/>
    <col min="5635" max="5635" width="13.140625" style="230" customWidth="1"/>
    <col min="5636" max="5636" width="69.7109375" style="230" customWidth="1"/>
    <col min="5637" max="5637" width="13" style="230" customWidth="1"/>
    <col min="5638" max="5639" width="8.85546875" style="230"/>
    <col min="5640" max="5640" width="13.7109375" style="230" customWidth="1"/>
    <col min="5641" max="5641" width="14.140625" style="230" customWidth="1"/>
    <col min="5642" max="5643" width="8.85546875" style="230"/>
    <col min="5644" max="5644" width="13.28515625" style="230" customWidth="1"/>
    <col min="5645" max="5888" width="8.85546875" style="230"/>
    <col min="5889" max="5889" width="18.28515625" style="230" customWidth="1"/>
    <col min="5890" max="5890" width="11.7109375" style="230" customWidth="1"/>
    <col min="5891" max="5891" width="13.140625" style="230" customWidth="1"/>
    <col min="5892" max="5892" width="69.7109375" style="230" customWidth="1"/>
    <col min="5893" max="5893" width="13" style="230" customWidth="1"/>
    <col min="5894" max="5895" width="8.85546875" style="230"/>
    <col min="5896" max="5896" width="13.7109375" style="230" customWidth="1"/>
    <col min="5897" max="5897" width="14.140625" style="230" customWidth="1"/>
    <col min="5898" max="5899" width="8.85546875" style="230"/>
    <col min="5900" max="5900" width="13.28515625" style="230" customWidth="1"/>
    <col min="5901" max="6144" width="8.85546875" style="230"/>
    <col min="6145" max="6145" width="18.28515625" style="230" customWidth="1"/>
    <col min="6146" max="6146" width="11.7109375" style="230" customWidth="1"/>
    <col min="6147" max="6147" width="13.140625" style="230" customWidth="1"/>
    <col min="6148" max="6148" width="69.7109375" style="230" customWidth="1"/>
    <col min="6149" max="6149" width="13" style="230" customWidth="1"/>
    <col min="6150" max="6151" width="8.85546875" style="230"/>
    <col min="6152" max="6152" width="13.7109375" style="230" customWidth="1"/>
    <col min="6153" max="6153" width="14.140625" style="230" customWidth="1"/>
    <col min="6154" max="6155" width="8.85546875" style="230"/>
    <col min="6156" max="6156" width="13.28515625" style="230" customWidth="1"/>
    <col min="6157" max="6400" width="8.85546875" style="230"/>
    <col min="6401" max="6401" width="18.28515625" style="230" customWidth="1"/>
    <col min="6402" max="6402" width="11.7109375" style="230" customWidth="1"/>
    <col min="6403" max="6403" width="13.140625" style="230" customWidth="1"/>
    <col min="6404" max="6404" width="69.7109375" style="230" customWidth="1"/>
    <col min="6405" max="6405" width="13" style="230" customWidth="1"/>
    <col min="6406" max="6407" width="8.85546875" style="230"/>
    <col min="6408" max="6408" width="13.7109375" style="230" customWidth="1"/>
    <col min="6409" max="6409" width="14.140625" style="230" customWidth="1"/>
    <col min="6410" max="6411" width="8.85546875" style="230"/>
    <col min="6412" max="6412" width="13.28515625" style="230" customWidth="1"/>
    <col min="6413" max="6656" width="8.85546875" style="230"/>
    <col min="6657" max="6657" width="18.28515625" style="230" customWidth="1"/>
    <col min="6658" max="6658" width="11.7109375" style="230" customWidth="1"/>
    <col min="6659" max="6659" width="13.140625" style="230" customWidth="1"/>
    <col min="6660" max="6660" width="69.7109375" style="230" customWidth="1"/>
    <col min="6661" max="6661" width="13" style="230" customWidth="1"/>
    <col min="6662" max="6663" width="8.85546875" style="230"/>
    <col min="6664" max="6664" width="13.7109375" style="230" customWidth="1"/>
    <col min="6665" max="6665" width="14.140625" style="230" customWidth="1"/>
    <col min="6666" max="6667" width="8.85546875" style="230"/>
    <col min="6668" max="6668" width="13.28515625" style="230" customWidth="1"/>
    <col min="6669" max="6912" width="8.85546875" style="230"/>
    <col min="6913" max="6913" width="18.28515625" style="230" customWidth="1"/>
    <col min="6914" max="6914" width="11.7109375" style="230" customWidth="1"/>
    <col min="6915" max="6915" width="13.140625" style="230" customWidth="1"/>
    <col min="6916" max="6916" width="69.7109375" style="230" customWidth="1"/>
    <col min="6917" max="6917" width="13" style="230" customWidth="1"/>
    <col min="6918" max="6919" width="8.85546875" style="230"/>
    <col min="6920" max="6920" width="13.7109375" style="230" customWidth="1"/>
    <col min="6921" max="6921" width="14.140625" style="230" customWidth="1"/>
    <col min="6922" max="6923" width="8.85546875" style="230"/>
    <col min="6924" max="6924" width="13.28515625" style="230" customWidth="1"/>
    <col min="6925" max="7168" width="8.85546875" style="230"/>
    <col min="7169" max="7169" width="18.28515625" style="230" customWidth="1"/>
    <col min="7170" max="7170" width="11.7109375" style="230" customWidth="1"/>
    <col min="7171" max="7171" width="13.140625" style="230" customWidth="1"/>
    <col min="7172" max="7172" width="69.7109375" style="230" customWidth="1"/>
    <col min="7173" max="7173" width="13" style="230" customWidth="1"/>
    <col min="7174" max="7175" width="8.85546875" style="230"/>
    <col min="7176" max="7176" width="13.7109375" style="230" customWidth="1"/>
    <col min="7177" max="7177" width="14.140625" style="230" customWidth="1"/>
    <col min="7178" max="7179" width="8.85546875" style="230"/>
    <col min="7180" max="7180" width="13.28515625" style="230" customWidth="1"/>
    <col min="7181" max="7424" width="8.85546875" style="230"/>
    <col min="7425" max="7425" width="18.28515625" style="230" customWidth="1"/>
    <col min="7426" max="7426" width="11.7109375" style="230" customWidth="1"/>
    <col min="7427" max="7427" width="13.140625" style="230" customWidth="1"/>
    <col min="7428" max="7428" width="69.7109375" style="230" customWidth="1"/>
    <col min="7429" max="7429" width="13" style="230" customWidth="1"/>
    <col min="7430" max="7431" width="8.85546875" style="230"/>
    <col min="7432" max="7432" width="13.7109375" style="230" customWidth="1"/>
    <col min="7433" max="7433" width="14.140625" style="230" customWidth="1"/>
    <col min="7434" max="7435" width="8.85546875" style="230"/>
    <col min="7436" max="7436" width="13.28515625" style="230" customWidth="1"/>
    <col min="7437" max="7680" width="8.85546875" style="230"/>
    <col min="7681" max="7681" width="18.28515625" style="230" customWidth="1"/>
    <col min="7682" max="7682" width="11.7109375" style="230" customWidth="1"/>
    <col min="7683" max="7683" width="13.140625" style="230" customWidth="1"/>
    <col min="7684" max="7684" width="69.7109375" style="230" customWidth="1"/>
    <col min="7685" max="7685" width="13" style="230" customWidth="1"/>
    <col min="7686" max="7687" width="8.85546875" style="230"/>
    <col min="7688" max="7688" width="13.7109375" style="230" customWidth="1"/>
    <col min="7689" max="7689" width="14.140625" style="230" customWidth="1"/>
    <col min="7690" max="7691" width="8.85546875" style="230"/>
    <col min="7692" max="7692" width="13.28515625" style="230" customWidth="1"/>
    <col min="7693" max="7936" width="8.85546875" style="230"/>
    <col min="7937" max="7937" width="18.28515625" style="230" customWidth="1"/>
    <col min="7938" max="7938" width="11.7109375" style="230" customWidth="1"/>
    <col min="7939" max="7939" width="13.140625" style="230" customWidth="1"/>
    <col min="7940" max="7940" width="69.7109375" style="230" customWidth="1"/>
    <col min="7941" max="7941" width="13" style="230" customWidth="1"/>
    <col min="7942" max="7943" width="8.85546875" style="230"/>
    <col min="7944" max="7944" width="13.7109375" style="230" customWidth="1"/>
    <col min="7945" max="7945" width="14.140625" style="230" customWidth="1"/>
    <col min="7946" max="7947" width="8.85546875" style="230"/>
    <col min="7948" max="7948" width="13.28515625" style="230" customWidth="1"/>
    <col min="7949" max="8192" width="8.85546875" style="230"/>
    <col min="8193" max="8193" width="18.28515625" style="230" customWidth="1"/>
    <col min="8194" max="8194" width="11.7109375" style="230" customWidth="1"/>
    <col min="8195" max="8195" width="13.140625" style="230" customWidth="1"/>
    <col min="8196" max="8196" width="69.7109375" style="230" customWidth="1"/>
    <col min="8197" max="8197" width="13" style="230" customWidth="1"/>
    <col min="8198" max="8199" width="8.85546875" style="230"/>
    <col min="8200" max="8200" width="13.7109375" style="230" customWidth="1"/>
    <col min="8201" max="8201" width="14.140625" style="230" customWidth="1"/>
    <col min="8202" max="8203" width="8.85546875" style="230"/>
    <col min="8204" max="8204" width="13.28515625" style="230" customWidth="1"/>
    <col min="8205" max="8448" width="8.85546875" style="230"/>
    <col min="8449" max="8449" width="18.28515625" style="230" customWidth="1"/>
    <col min="8450" max="8450" width="11.7109375" style="230" customWidth="1"/>
    <col min="8451" max="8451" width="13.140625" style="230" customWidth="1"/>
    <col min="8452" max="8452" width="69.7109375" style="230" customWidth="1"/>
    <col min="8453" max="8453" width="13" style="230" customWidth="1"/>
    <col min="8454" max="8455" width="8.85546875" style="230"/>
    <col min="8456" max="8456" width="13.7109375" style="230" customWidth="1"/>
    <col min="8457" max="8457" width="14.140625" style="230" customWidth="1"/>
    <col min="8458" max="8459" width="8.85546875" style="230"/>
    <col min="8460" max="8460" width="13.28515625" style="230" customWidth="1"/>
    <col min="8461" max="8704" width="8.85546875" style="230"/>
    <col min="8705" max="8705" width="18.28515625" style="230" customWidth="1"/>
    <col min="8706" max="8706" width="11.7109375" style="230" customWidth="1"/>
    <col min="8707" max="8707" width="13.140625" style="230" customWidth="1"/>
    <col min="8708" max="8708" width="69.7109375" style="230" customWidth="1"/>
    <col min="8709" max="8709" width="13" style="230" customWidth="1"/>
    <col min="8710" max="8711" width="8.85546875" style="230"/>
    <col min="8712" max="8712" width="13.7109375" style="230" customWidth="1"/>
    <col min="8713" max="8713" width="14.140625" style="230" customWidth="1"/>
    <col min="8714" max="8715" width="8.85546875" style="230"/>
    <col min="8716" max="8716" width="13.28515625" style="230" customWidth="1"/>
    <col min="8717" max="8960" width="8.85546875" style="230"/>
    <col min="8961" max="8961" width="18.28515625" style="230" customWidth="1"/>
    <col min="8962" max="8962" width="11.7109375" style="230" customWidth="1"/>
    <col min="8963" max="8963" width="13.140625" style="230" customWidth="1"/>
    <col min="8964" max="8964" width="69.7109375" style="230" customWidth="1"/>
    <col min="8965" max="8965" width="13" style="230" customWidth="1"/>
    <col min="8966" max="8967" width="8.85546875" style="230"/>
    <col min="8968" max="8968" width="13.7109375" style="230" customWidth="1"/>
    <col min="8969" max="8969" width="14.140625" style="230" customWidth="1"/>
    <col min="8970" max="8971" width="8.85546875" style="230"/>
    <col min="8972" max="8972" width="13.28515625" style="230" customWidth="1"/>
    <col min="8973" max="9216" width="8.85546875" style="230"/>
    <col min="9217" max="9217" width="18.28515625" style="230" customWidth="1"/>
    <col min="9218" max="9218" width="11.7109375" style="230" customWidth="1"/>
    <col min="9219" max="9219" width="13.140625" style="230" customWidth="1"/>
    <col min="9220" max="9220" width="69.7109375" style="230" customWidth="1"/>
    <col min="9221" max="9221" width="13" style="230" customWidth="1"/>
    <col min="9222" max="9223" width="8.85546875" style="230"/>
    <col min="9224" max="9224" width="13.7109375" style="230" customWidth="1"/>
    <col min="9225" max="9225" width="14.140625" style="230" customWidth="1"/>
    <col min="9226" max="9227" width="8.85546875" style="230"/>
    <col min="9228" max="9228" width="13.28515625" style="230" customWidth="1"/>
    <col min="9229" max="9472" width="8.85546875" style="230"/>
    <col min="9473" max="9473" width="18.28515625" style="230" customWidth="1"/>
    <col min="9474" max="9474" width="11.7109375" style="230" customWidth="1"/>
    <col min="9475" max="9475" width="13.140625" style="230" customWidth="1"/>
    <col min="9476" max="9476" width="69.7109375" style="230" customWidth="1"/>
    <col min="9477" max="9477" width="13" style="230" customWidth="1"/>
    <col min="9478" max="9479" width="8.85546875" style="230"/>
    <col min="9480" max="9480" width="13.7109375" style="230" customWidth="1"/>
    <col min="9481" max="9481" width="14.140625" style="230" customWidth="1"/>
    <col min="9482" max="9483" width="8.85546875" style="230"/>
    <col min="9484" max="9484" width="13.28515625" style="230" customWidth="1"/>
    <col min="9485" max="9728" width="8.85546875" style="230"/>
    <col min="9729" max="9729" width="18.28515625" style="230" customWidth="1"/>
    <col min="9730" max="9730" width="11.7109375" style="230" customWidth="1"/>
    <col min="9731" max="9731" width="13.140625" style="230" customWidth="1"/>
    <col min="9732" max="9732" width="69.7109375" style="230" customWidth="1"/>
    <col min="9733" max="9733" width="13" style="230" customWidth="1"/>
    <col min="9734" max="9735" width="8.85546875" style="230"/>
    <col min="9736" max="9736" width="13.7109375" style="230" customWidth="1"/>
    <col min="9737" max="9737" width="14.140625" style="230" customWidth="1"/>
    <col min="9738" max="9739" width="8.85546875" style="230"/>
    <col min="9740" max="9740" width="13.28515625" style="230" customWidth="1"/>
    <col min="9741" max="9984" width="8.85546875" style="230"/>
    <col min="9985" max="9985" width="18.28515625" style="230" customWidth="1"/>
    <col min="9986" max="9986" width="11.7109375" style="230" customWidth="1"/>
    <col min="9987" max="9987" width="13.140625" style="230" customWidth="1"/>
    <col min="9988" max="9988" width="69.7109375" style="230" customWidth="1"/>
    <col min="9989" max="9989" width="13" style="230" customWidth="1"/>
    <col min="9990" max="9991" width="8.85546875" style="230"/>
    <col min="9992" max="9992" width="13.7109375" style="230" customWidth="1"/>
    <col min="9993" max="9993" width="14.140625" style="230" customWidth="1"/>
    <col min="9994" max="9995" width="8.85546875" style="230"/>
    <col min="9996" max="9996" width="13.28515625" style="230" customWidth="1"/>
    <col min="9997" max="10240" width="8.85546875" style="230"/>
    <col min="10241" max="10241" width="18.28515625" style="230" customWidth="1"/>
    <col min="10242" max="10242" width="11.7109375" style="230" customWidth="1"/>
    <col min="10243" max="10243" width="13.140625" style="230" customWidth="1"/>
    <col min="10244" max="10244" width="69.7109375" style="230" customWidth="1"/>
    <col min="10245" max="10245" width="13" style="230" customWidth="1"/>
    <col min="10246" max="10247" width="8.85546875" style="230"/>
    <col min="10248" max="10248" width="13.7109375" style="230" customWidth="1"/>
    <col min="10249" max="10249" width="14.140625" style="230" customWidth="1"/>
    <col min="10250" max="10251" width="8.85546875" style="230"/>
    <col min="10252" max="10252" width="13.28515625" style="230" customWidth="1"/>
    <col min="10253" max="10496" width="8.85546875" style="230"/>
    <col min="10497" max="10497" width="18.28515625" style="230" customWidth="1"/>
    <col min="10498" max="10498" width="11.7109375" style="230" customWidth="1"/>
    <col min="10499" max="10499" width="13.140625" style="230" customWidth="1"/>
    <col min="10500" max="10500" width="69.7109375" style="230" customWidth="1"/>
    <col min="10501" max="10501" width="13" style="230" customWidth="1"/>
    <col min="10502" max="10503" width="8.85546875" style="230"/>
    <col min="10504" max="10504" width="13.7109375" style="230" customWidth="1"/>
    <col min="10505" max="10505" width="14.140625" style="230" customWidth="1"/>
    <col min="10506" max="10507" width="8.85546875" style="230"/>
    <col min="10508" max="10508" width="13.28515625" style="230" customWidth="1"/>
    <col min="10509" max="10752" width="8.85546875" style="230"/>
    <col min="10753" max="10753" width="18.28515625" style="230" customWidth="1"/>
    <col min="10754" max="10754" width="11.7109375" style="230" customWidth="1"/>
    <col min="10755" max="10755" width="13.140625" style="230" customWidth="1"/>
    <col min="10756" max="10756" width="69.7109375" style="230" customWidth="1"/>
    <col min="10757" max="10757" width="13" style="230" customWidth="1"/>
    <col min="10758" max="10759" width="8.85546875" style="230"/>
    <col min="10760" max="10760" width="13.7109375" style="230" customWidth="1"/>
    <col min="10761" max="10761" width="14.140625" style="230" customWidth="1"/>
    <col min="10762" max="10763" width="8.85546875" style="230"/>
    <col min="10764" max="10764" width="13.28515625" style="230" customWidth="1"/>
    <col min="10765" max="11008" width="8.85546875" style="230"/>
    <col min="11009" max="11009" width="18.28515625" style="230" customWidth="1"/>
    <col min="11010" max="11010" width="11.7109375" style="230" customWidth="1"/>
    <col min="11011" max="11011" width="13.140625" style="230" customWidth="1"/>
    <col min="11012" max="11012" width="69.7109375" style="230" customWidth="1"/>
    <col min="11013" max="11013" width="13" style="230" customWidth="1"/>
    <col min="11014" max="11015" width="8.85546875" style="230"/>
    <col min="11016" max="11016" width="13.7109375" style="230" customWidth="1"/>
    <col min="11017" max="11017" width="14.140625" style="230" customWidth="1"/>
    <col min="11018" max="11019" width="8.85546875" style="230"/>
    <col min="11020" max="11020" width="13.28515625" style="230" customWidth="1"/>
    <col min="11021" max="11264" width="8.85546875" style="230"/>
    <col min="11265" max="11265" width="18.28515625" style="230" customWidth="1"/>
    <col min="11266" max="11266" width="11.7109375" style="230" customWidth="1"/>
    <col min="11267" max="11267" width="13.140625" style="230" customWidth="1"/>
    <col min="11268" max="11268" width="69.7109375" style="230" customWidth="1"/>
    <col min="11269" max="11269" width="13" style="230" customWidth="1"/>
    <col min="11270" max="11271" width="8.85546875" style="230"/>
    <col min="11272" max="11272" width="13.7109375" style="230" customWidth="1"/>
    <col min="11273" max="11273" width="14.140625" style="230" customWidth="1"/>
    <col min="11274" max="11275" width="8.85546875" style="230"/>
    <col min="11276" max="11276" width="13.28515625" style="230" customWidth="1"/>
    <col min="11277" max="11520" width="8.85546875" style="230"/>
    <col min="11521" max="11521" width="18.28515625" style="230" customWidth="1"/>
    <col min="11522" max="11522" width="11.7109375" style="230" customWidth="1"/>
    <col min="11523" max="11523" width="13.140625" style="230" customWidth="1"/>
    <col min="11524" max="11524" width="69.7109375" style="230" customWidth="1"/>
    <col min="11525" max="11525" width="13" style="230" customWidth="1"/>
    <col min="11526" max="11527" width="8.85546875" style="230"/>
    <col min="11528" max="11528" width="13.7109375" style="230" customWidth="1"/>
    <col min="11529" max="11529" width="14.140625" style="230" customWidth="1"/>
    <col min="11530" max="11531" width="8.85546875" style="230"/>
    <col min="11532" max="11532" width="13.28515625" style="230" customWidth="1"/>
    <col min="11533" max="11776" width="8.85546875" style="230"/>
    <col min="11777" max="11777" width="18.28515625" style="230" customWidth="1"/>
    <col min="11778" max="11778" width="11.7109375" style="230" customWidth="1"/>
    <col min="11779" max="11779" width="13.140625" style="230" customWidth="1"/>
    <col min="11780" max="11780" width="69.7109375" style="230" customWidth="1"/>
    <col min="11781" max="11781" width="13" style="230" customWidth="1"/>
    <col min="11782" max="11783" width="8.85546875" style="230"/>
    <col min="11784" max="11784" width="13.7109375" style="230" customWidth="1"/>
    <col min="11785" max="11785" width="14.140625" style="230" customWidth="1"/>
    <col min="11786" max="11787" width="8.85546875" style="230"/>
    <col min="11788" max="11788" width="13.28515625" style="230" customWidth="1"/>
    <col min="11789" max="12032" width="8.85546875" style="230"/>
    <col min="12033" max="12033" width="18.28515625" style="230" customWidth="1"/>
    <col min="12034" max="12034" width="11.7109375" style="230" customWidth="1"/>
    <col min="12035" max="12035" width="13.140625" style="230" customWidth="1"/>
    <col min="12036" max="12036" width="69.7109375" style="230" customWidth="1"/>
    <col min="12037" max="12037" width="13" style="230" customWidth="1"/>
    <col min="12038" max="12039" width="8.85546875" style="230"/>
    <col min="12040" max="12040" width="13.7109375" style="230" customWidth="1"/>
    <col min="12041" max="12041" width="14.140625" style="230" customWidth="1"/>
    <col min="12042" max="12043" width="8.85546875" style="230"/>
    <col min="12044" max="12044" width="13.28515625" style="230" customWidth="1"/>
    <col min="12045" max="12288" width="8.85546875" style="230"/>
    <col min="12289" max="12289" width="18.28515625" style="230" customWidth="1"/>
    <col min="12290" max="12290" width="11.7109375" style="230" customWidth="1"/>
    <col min="12291" max="12291" width="13.140625" style="230" customWidth="1"/>
    <col min="12292" max="12292" width="69.7109375" style="230" customWidth="1"/>
    <col min="12293" max="12293" width="13" style="230" customWidth="1"/>
    <col min="12294" max="12295" width="8.85546875" style="230"/>
    <col min="12296" max="12296" width="13.7109375" style="230" customWidth="1"/>
    <col min="12297" max="12297" width="14.140625" style="230" customWidth="1"/>
    <col min="12298" max="12299" width="8.85546875" style="230"/>
    <col min="12300" max="12300" width="13.28515625" style="230" customWidth="1"/>
    <col min="12301" max="12544" width="8.85546875" style="230"/>
    <col min="12545" max="12545" width="18.28515625" style="230" customWidth="1"/>
    <col min="12546" max="12546" width="11.7109375" style="230" customWidth="1"/>
    <col min="12547" max="12547" width="13.140625" style="230" customWidth="1"/>
    <col min="12548" max="12548" width="69.7109375" style="230" customWidth="1"/>
    <col min="12549" max="12549" width="13" style="230" customWidth="1"/>
    <col min="12550" max="12551" width="8.85546875" style="230"/>
    <col min="12552" max="12552" width="13.7109375" style="230" customWidth="1"/>
    <col min="12553" max="12553" width="14.140625" style="230" customWidth="1"/>
    <col min="12554" max="12555" width="8.85546875" style="230"/>
    <col min="12556" max="12556" width="13.28515625" style="230" customWidth="1"/>
    <col min="12557" max="12800" width="8.85546875" style="230"/>
    <col min="12801" max="12801" width="18.28515625" style="230" customWidth="1"/>
    <col min="12802" max="12802" width="11.7109375" style="230" customWidth="1"/>
    <col min="12803" max="12803" width="13.140625" style="230" customWidth="1"/>
    <col min="12804" max="12804" width="69.7109375" style="230" customWidth="1"/>
    <col min="12805" max="12805" width="13" style="230" customWidth="1"/>
    <col min="12806" max="12807" width="8.85546875" style="230"/>
    <col min="12808" max="12808" width="13.7109375" style="230" customWidth="1"/>
    <col min="12809" max="12809" width="14.140625" style="230" customWidth="1"/>
    <col min="12810" max="12811" width="8.85546875" style="230"/>
    <col min="12812" max="12812" width="13.28515625" style="230" customWidth="1"/>
    <col min="12813" max="13056" width="8.85546875" style="230"/>
    <col min="13057" max="13057" width="18.28515625" style="230" customWidth="1"/>
    <col min="13058" max="13058" width="11.7109375" style="230" customWidth="1"/>
    <col min="13059" max="13059" width="13.140625" style="230" customWidth="1"/>
    <col min="13060" max="13060" width="69.7109375" style="230" customWidth="1"/>
    <col min="13061" max="13061" width="13" style="230" customWidth="1"/>
    <col min="13062" max="13063" width="8.85546875" style="230"/>
    <col min="13064" max="13064" width="13.7109375" style="230" customWidth="1"/>
    <col min="13065" max="13065" width="14.140625" style="230" customWidth="1"/>
    <col min="13066" max="13067" width="8.85546875" style="230"/>
    <col min="13068" max="13068" width="13.28515625" style="230" customWidth="1"/>
    <col min="13069" max="13312" width="8.85546875" style="230"/>
    <col min="13313" max="13313" width="18.28515625" style="230" customWidth="1"/>
    <col min="13314" max="13314" width="11.7109375" style="230" customWidth="1"/>
    <col min="13315" max="13315" width="13.140625" style="230" customWidth="1"/>
    <col min="13316" max="13316" width="69.7109375" style="230" customWidth="1"/>
    <col min="13317" max="13317" width="13" style="230" customWidth="1"/>
    <col min="13318" max="13319" width="8.85546875" style="230"/>
    <col min="13320" max="13320" width="13.7109375" style="230" customWidth="1"/>
    <col min="13321" max="13321" width="14.140625" style="230" customWidth="1"/>
    <col min="13322" max="13323" width="8.85546875" style="230"/>
    <col min="13324" max="13324" width="13.28515625" style="230" customWidth="1"/>
    <col min="13325" max="13568" width="8.85546875" style="230"/>
    <col min="13569" max="13569" width="18.28515625" style="230" customWidth="1"/>
    <col min="13570" max="13570" width="11.7109375" style="230" customWidth="1"/>
    <col min="13571" max="13571" width="13.140625" style="230" customWidth="1"/>
    <col min="13572" max="13572" width="69.7109375" style="230" customWidth="1"/>
    <col min="13573" max="13573" width="13" style="230" customWidth="1"/>
    <col min="13574" max="13575" width="8.85546875" style="230"/>
    <col min="13576" max="13576" width="13.7109375" style="230" customWidth="1"/>
    <col min="13577" max="13577" width="14.140625" style="230" customWidth="1"/>
    <col min="13578" max="13579" width="8.85546875" style="230"/>
    <col min="13580" max="13580" width="13.28515625" style="230" customWidth="1"/>
    <col min="13581" max="13824" width="8.85546875" style="230"/>
    <col min="13825" max="13825" width="18.28515625" style="230" customWidth="1"/>
    <col min="13826" max="13826" width="11.7109375" style="230" customWidth="1"/>
    <col min="13827" max="13827" width="13.140625" style="230" customWidth="1"/>
    <col min="13828" max="13828" width="69.7109375" style="230" customWidth="1"/>
    <col min="13829" max="13829" width="13" style="230" customWidth="1"/>
    <col min="13830" max="13831" width="8.85546875" style="230"/>
    <col min="13832" max="13832" width="13.7109375" style="230" customWidth="1"/>
    <col min="13833" max="13833" width="14.140625" style="230" customWidth="1"/>
    <col min="13834" max="13835" width="8.85546875" style="230"/>
    <col min="13836" max="13836" width="13.28515625" style="230" customWidth="1"/>
    <col min="13837" max="14080" width="8.85546875" style="230"/>
    <col min="14081" max="14081" width="18.28515625" style="230" customWidth="1"/>
    <col min="14082" max="14082" width="11.7109375" style="230" customWidth="1"/>
    <col min="14083" max="14083" width="13.140625" style="230" customWidth="1"/>
    <col min="14084" max="14084" width="69.7109375" style="230" customWidth="1"/>
    <col min="14085" max="14085" width="13" style="230" customWidth="1"/>
    <col min="14086" max="14087" width="8.85546875" style="230"/>
    <col min="14088" max="14088" width="13.7109375" style="230" customWidth="1"/>
    <col min="14089" max="14089" width="14.140625" style="230" customWidth="1"/>
    <col min="14090" max="14091" width="8.85546875" style="230"/>
    <col min="14092" max="14092" width="13.28515625" style="230" customWidth="1"/>
    <col min="14093" max="14336" width="8.85546875" style="230"/>
    <col min="14337" max="14337" width="18.28515625" style="230" customWidth="1"/>
    <col min="14338" max="14338" width="11.7109375" style="230" customWidth="1"/>
    <col min="14339" max="14339" width="13.140625" style="230" customWidth="1"/>
    <col min="14340" max="14340" width="69.7109375" style="230" customWidth="1"/>
    <col min="14341" max="14341" width="13" style="230" customWidth="1"/>
    <col min="14342" max="14343" width="8.85546875" style="230"/>
    <col min="14344" max="14344" width="13.7109375" style="230" customWidth="1"/>
    <col min="14345" max="14345" width="14.140625" style="230" customWidth="1"/>
    <col min="14346" max="14347" width="8.85546875" style="230"/>
    <col min="14348" max="14348" width="13.28515625" style="230" customWidth="1"/>
    <col min="14349" max="14592" width="8.85546875" style="230"/>
    <col min="14593" max="14593" width="18.28515625" style="230" customWidth="1"/>
    <col min="14594" max="14594" width="11.7109375" style="230" customWidth="1"/>
    <col min="14595" max="14595" width="13.140625" style="230" customWidth="1"/>
    <col min="14596" max="14596" width="69.7109375" style="230" customWidth="1"/>
    <col min="14597" max="14597" width="13" style="230" customWidth="1"/>
    <col min="14598" max="14599" width="8.85546875" style="230"/>
    <col min="14600" max="14600" width="13.7109375" style="230" customWidth="1"/>
    <col min="14601" max="14601" width="14.140625" style="230" customWidth="1"/>
    <col min="14602" max="14603" width="8.85546875" style="230"/>
    <col min="14604" max="14604" width="13.28515625" style="230" customWidth="1"/>
    <col min="14605" max="14848" width="8.85546875" style="230"/>
    <col min="14849" max="14849" width="18.28515625" style="230" customWidth="1"/>
    <col min="14850" max="14850" width="11.7109375" style="230" customWidth="1"/>
    <col min="14851" max="14851" width="13.140625" style="230" customWidth="1"/>
    <col min="14852" max="14852" width="69.7109375" style="230" customWidth="1"/>
    <col min="14853" max="14853" width="13" style="230" customWidth="1"/>
    <col min="14854" max="14855" width="8.85546875" style="230"/>
    <col min="14856" max="14856" width="13.7109375" style="230" customWidth="1"/>
    <col min="14857" max="14857" width="14.140625" style="230" customWidth="1"/>
    <col min="14858" max="14859" width="8.85546875" style="230"/>
    <col min="14860" max="14860" width="13.28515625" style="230" customWidth="1"/>
    <col min="14861" max="15104" width="8.85546875" style="230"/>
    <col min="15105" max="15105" width="18.28515625" style="230" customWidth="1"/>
    <col min="15106" max="15106" width="11.7109375" style="230" customWidth="1"/>
    <col min="15107" max="15107" width="13.140625" style="230" customWidth="1"/>
    <col min="15108" max="15108" width="69.7109375" style="230" customWidth="1"/>
    <col min="15109" max="15109" width="13" style="230" customWidth="1"/>
    <col min="15110" max="15111" width="8.85546875" style="230"/>
    <col min="15112" max="15112" width="13.7109375" style="230" customWidth="1"/>
    <col min="15113" max="15113" width="14.140625" style="230" customWidth="1"/>
    <col min="15114" max="15115" width="8.85546875" style="230"/>
    <col min="15116" max="15116" width="13.28515625" style="230" customWidth="1"/>
    <col min="15117" max="15360" width="8.85546875" style="230"/>
    <col min="15361" max="15361" width="18.28515625" style="230" customWidth="1"/>
    <col min="15362" max="15362" width="11.7109375" style="230" customWidth="1"/>
    <col min="15363" max="15363" width="13.140625" style="230" customWidth="1"/>
    <col min="15364" max="15364" width="69.7109375" style="230" customWidth="1"/>
    <col min="15365" max="15365" width="13" style="230" customWidth="1"/>
    <col min="15366" max="15367" width="8.85546875" style="230"/>
    <col min="15368" max="15368" width="13.7109375" style="230" customWidth="1"/>
    <col min="15369" max="15369" width="14.140625" style="230" customWidth="1"/>
    <col min="15370" max="15371" width="8.85546875" style="230"/>
    <col min="15372" max="15372" width="13.28515625" style="230" customWidth="1"/>
    <col min="15373" max="15616" width="8.85546875" style="230"/>
    <col min="15617" max="15617" width="18.28515625" style="230" customWidth="1"/>
    <col min="15618" max="15618" width="11.7109375" style="230" customWidth="1"/>
    <col min="15619" max="15619" width="13.140625" style="230" customWidth="1"/>
    <col min="15620" max="15620" width="69.7109375" style="230" customWidth="1"/>
    <col min="15621" max="15621" width="13" style="230" customWidth="1"/>
    <col min="15622" max="15623" width="8.85546875" style="230"/>
    <col min="15624" max="15624" width="13.7109375" style="230" customWidth="1"/>
    <col min="15625" max="15625" width="14.140625" style="230" customWidth="1"/>
    <col min="15626" max="15627" width="8.85546875" style="230"/>
    <col min="15628" max="15628" width="13.28515625" style="230" customWidth="1"/>
    <col min="15629" max="15872" width="8.85546875" style="230"/>
    <col min="15873" max="15873" width="18.28515625" style="230" customWidth="1"/>
    <col min="15874" max="15874" width="11.7109375" style="230" customWidth="1"/>
    <col min="15875" max="15875" width="13.140625" style="230" customWidth="1"/>
    <col min="15876" max="15876" width="69.7109375" style="230" customWidth="1"/>
    <col min="15877" max="15877" width="13" style="230" customWidth="1"/>
    <col min="15878" max="15879" width="8.85546875" style="230"/>
    <col min="15880" max="15880" width="13.7109375" style="230" customWidth="1"/>
    <col min="15881" max="15881" width="14.140625" style="230" customWidth="1"/>
    <col min="15882" max="15883" width="8.85546875" style="230"/>
    <col min="15884" max="15884" width="13.28515625" style="230" customWidth="1"/>
    <col min="15885" max="16128" width="8.85546875" style="230"/>
    <col min="16129" max="16129" width="18.28515625" style="230" customWidth="1"/>
    <col min="16130" max="16130" width="11.7109375" style="230" customWidth="1"/>
    <col min="16131" max="16131" width="13.140625" style="230" customWidth="1"/>
    <col min="16132" max="16132" width="69.7109375" style="230" customWidth="1"/>
    <col min="16133" max="16133" width="13" style="230" customWidth="1"/>
    <col min="16134" max="16135" width="8.85546875" style="230"/>
    <col min="16136" max="16136" width="13.7109375" style="230" customWidth="1"/>
    <col min="16137" max="16137" width="14.140625" style="230" customWidth="1"/>
    <col min="16138" max="16139" width="8.85546875" style="230"/>
    <col min="16140" max="16140" width="13.28515625" style="230" customWidth="1"/>
    <col min="16141" max="16384" width="8.85546875" style="230"/>
  </cols>
  <sheetData>
    <row r="1" spans="1:12" ht="15.75" x14ac:dyDescent="0.2">
      <c r="G1" s="231" t="s">
        <v>422</v>
      </c>
      <c r="H1" s="232"/>
      <c r="I1" s="233"/>
    </row>
    <row r="2" spans="1:12" ht="15.75" x14ac:dyDescent="0.25">
      <c r="G2" s="234" t="s">
        <v>453</v>
      </c>
      <c r="H2" s="235"/>
      <c r="I2" s="232"/>
    </row>
    <row r="3" spans="1:12" ht="15.75" x14ac:dyDescent="0.25">
      <c r="G3" s="1258" t="s">
        <v>619</v>
      </c>
      <c r="H3" s="1258"/>
      <c r="I3" s="1258"/>
      <c r="J3" s="1258"/>
    </row>
    <row r="4" spans="1:12" ht="15.75" x14ac:dyDescent="0.2">
      <c r="G4" s="1260" t="s">
        <v>742</v>
      </c>
      <c r="H4" s="1260"/>
      <c r="I4" s="1260"/>
    </row>
    <row r="5" spans="1:12" ht="15.75" x14ac:dyDescent="0.25">
      <c r="G5" s="1259" t="s">
        <v>743</v>
      </c>
      <c r="H5" s="1259"/>
      <c r="I5" s="237"/>
    </row>
    <row r="8" spans="1:12" ht="17.25" x14ac:dyDescent="0.2">
      <c r="C8" s="1240" t="s">
        <v>376</v>
      </c>
      <c r="D8" s="1240"/>
      <c r="E8" s="1240"/>
      <c r="F8" s="1240"/>
      <c r="G8" s="1240"/>
      <c r="H8" s="238"/>
      <c r="I8" s="238"/>
    </row>
    <row r="9" spans="1:12" ht="13.9" customHeight="1" x14ac:dyDescent="0.2">
      <c r="B9" s="1240" t="s">
        <v>538</v>
      </c>
      <c r="C9" s="1240"/>
      <c r="D9" s="1240"/>
      <c r="E9" s="1240"/>
      <c r="F9" s="1240"/>
      <c r="G9" s="1240"/>
      <c r="H9" s="1240"/>
      <c r="I9" s="238"/>
    </row>
    <row r="10" spans="1:12" ht="13.9" customHeight="1" x14ac:dyDescent="0.2">
      <c r="B10" s="239"/>
      <c r="C10" s="239"/>
      <c r="D10" s="239"/>
      <c r="E10" s="239"/>
      <c r="F10" s="239"/>
      <c r="G10" s="239"/>
      <c r="H10" s="239"/>
      <c r="I10" s="239"/>
    </row>
    <row r="11" spans="1:12" s="240" customFormat="1" ht="15.75" x14ac:dyDescent="0.25">
      <c r="A11" s="1241">
        <v>1559100000</v>
      </c>
      <c r="B11" s="1241"/>
    </row>
    <row r="12" spans="1:12" s="240" customFormat="1" ht="15.75" x14ac:dyDescent="0.25">
      <c r="A12" s="241" t="s">
        <v>0</v>
      </c>
      <c r="B12" s="241"/>
    </row>
    <row r="13" spans="1:12" ht="16.5" thickBot="1" x14ac:dyDescent="0.25">
      <c r="I13" s="233" t="s">
        <v>235</v>
      </c>
    </row>
    <row r="14" spans="1:12" ht="15.75" x14ac:dyDescent="0.2">
      <c r="A14" s="1242" t="s">
        <v>8</v>
      </c>
      <c r="B14" s="1245" t="s">
        <v>9</v>
      </c>
      <c r="C14" s="1245" t="s">
        <v>10</v>
      </c>
      <c r="D14" s="1248" t="s">
        <v>377</v>
      </c>
      <c r="E14" s="1251" t="s">
        <v>378</v>
      </c>
      <c r="F14" s="1252"/>
      <c r="G14" s="1252"/>
      <c r="H14" s="1252"/>
      <c r="I14" s="1252"/>
      <c r="J14" s="1252"/>
      <c r="K14" s="1252"/>
      <c r="L14" s="1253"/>
    </row>
    <row r="15" spans="1:12" ht="62.45" customHeight="1" x14ac:dyDescent="0.25">
      <c r="A15" s="1243"/>
      <c r="B15" s="1246"/>
      <c r="C15" s="1246"/>
      <c r="D15" s="1249"/>
      <c r="E15" s="1254" t="s">
        <v>539</v>
      </c>
      <c r="F15" s="1254"/>
      <c r="G15" s="1254"/>
      <c r="H15" s="1254"/>
      <c r="I15" s="1255" t="s">
        <v>698</v>
      </c>
      <c r="J15" s="1256"/>
      <c r="K15" s="1256"/>
      <c r="L15" s="1257"/>
    </row>
    <row r="16" spans="1:12" ht="31.15" customHeight="1" x14ac:dyDescent="0.2">
      <c r="A16" s="1243"/>
      <c r="B16" s="1246"/>
      <c r="C16" s="1246"/>
      <c r="D16" s="1249"/>
      <c r="E16" s="1262" t="s">
        <v>379</v>
      </c>
      <c r="F16" s="1264" t="s">
        <v>380</v>
      </c>
      <c r="G16" s="1265"/>
      <c r="H16" s="1262" t="s">
        <v>381</v>
      </c>
      <c r="I16" s="1262" t="s">
        <v>379</v>
      </c>
      <c r="J16" s="1264" t="s">
        <v>380</v>
      </c>
      <c r="K16" s="1265"/>
      <c r="L16" s="1238" t="s">
        <v>381</v>
      </c>
    </row>
    <row r="17" spans="1:12" ht="96.6" customHeight="1" thickBot="1" x14ac:dyDescent="0.25">
      <c r="A17" s="1244"/>
      <c r="B17" s="1247"/>
      <c r="C17" s="1247"/>
      <c r="D17" s="1250"/>
      <c r="E17" s="1263"/>
      <c r="F17" s="344" t="s">
        <v>4</v>
      </c>
      <c r="G17" s="344" t="s">
        <v>5</v>
      </c>
      <c r="H17" s="1263"/>
      <c r="I17" s="1263"/>
      <c r="J17" s="344" t="s">
        <v>4</v>
      </c>
      <c r="K17" s="344" t="s">
        <v>5</v>
      </c>
      <c r="L17" s="1239"/>
    </row>
    <row r="18" spans="1:12" ht="16.5" thickBot="1" x14ac:dyDescent="0.25">
      <c r="A18" s="242">
        <v>1</v>
      </c>
      <c r="B18" s="243">
        <v>2</v>
      </c>
      <c r="C18" s="243">
        <v>3</v>
      </c>
      <c r="D18" s="243">
        <v>4</v>
      </c>
      <c r="E18" s="243">
        <v>5</v>
      </c>
      <c r="F18" s="243">
        <v>6</v>
      </c>
      <c r="G18" s="243">
        <v>7</v>
      </c>
      <c r="H18" s="243">
        <v>8</v>
      </c>
      <c r="I18" s="244">
        <v>9</v>
      </c>
      <c r="J18" s="244">
        <v>10</v>
      </c>
      <c r="K18" s="244">
        <v>11</v>
      </c>
      <c r="L18" s="245">
        <v>12</v>
      </c>
    </row>
    <row r="19" spans="1:12" s="251" customFormat="1" ht="44.25" customHeight="1" thickBot="1" x14ac:dyDescent="0.25">
      <c r="A19" s="246"/>
      <c r="B19" s="247"/>
      <c r="C19" s="247"/>
      <c r="D19" s="248"/>
      <c r="E19" s="249"/>
      <c r="F19" s="249"/>
      <c r="G19" s="249"/>
      <c r="H19" s="249"/>
      <c r="I19" s="250"/>
      <c r="J19" s="250"/>
      <c r="K19" s="250"/>
      <c r="L19" s="363"/>
    </row>
    <row r="20" spans="1:12" s="257" customFormat="1" ht="15.75" x14ac:dyDescent="0.2">
      <c r="A20" s="252"/>
      <c r="B20" s="253"/>
      <c r="C20" s="253"/>
      <c r="D20" s="254"/>
      <c r="E20" s="255"/>
      <c r="F20" s="255"/>
      <c r="G20" s="255"/>
      <c r="H20" s="255"/>
      <c r="I20" s="256"/>
      <c r="J20" s="256"/>
      <c r="K20" s="256"/>
      <c r="L20" s="364"/>
    </row>
    <row r="21" spans="1:12" ht="15.75" x14ac:dyDescent="0.2">
      <c r="A21" s="258"/>
      <c r="B21" s="259"/>
      <c r="C21" s="259"/>
      <c r="D21" s="260"/>
      <c r="E21" s="261"/>
      <c r="F21" s="262"/>
      <c r="G21" s="262"/>
      <c r="H21" s="261"/>
      <c r="I21" s="263"/>
      <c r="J21" s="263"/>
      <c r="K21" s="263"/>
      <c r="L21" s="365"/>
    </row>
    <row r="22" spans="1:12" s="257" customFormat="1" ht="16.5" thickBot="1" x14ac:dyDescent="0.25">
      <c r="A22" s="264"/>
      <c r="B22" s="265"/>
      <c r="C22" s="266"/>
      <c r="D22" s="267"/>
      <c r="E22" s="268"/>
      <c r="F22" s="269"/>
      <c r="G22" s="269"/>
      <c r="H22" s="268"/>
      <c r="I22" s="270"/>
      <c r="J22" s="270"/>
      <c r="K22" s="270"/>
      <c r="L22" s="366"/>
    </row>
    <row r="23" spans="1:12" s="272" customFormat="1" ht="16.5" thickBot="1" x14ac:dyDescent="0.25">
      <c r="A23" s="246" t="s">
        <v>255</v>
      </c>
      <c r="B23" s="247" t="s">
        <v>255</v>
      </c>
      <c r="C23" s="247" t="s">
        <v>255</v>
      </c>
      <c r="D23" s="271" t="s">
        <v>138</v>
      </c>
      <c r="E23" s="249">
        <f t="shared" ref="E23:K23" si="0">E19</f>
        <v>0</v>
      </c>
      <c r="F23" s="249">
        <f t="shared" si="0"/>
        <v>0</v>
      </c>
      <c r="G23" s="249">
        <f t="shared" si="0"/>
        <v>0</v>
      </c>
      <c r="H23" s="249">
        <f t="shared" si="0"/>
        <v>0</v>
      </c>
      <c r="I23" s="250">
        <f t="shared" si="0"/>
        <v>0</v>
      </c>
      <c r="J23" s="250">
        <f t="shared" si="0"/>
        <v>0</v>
      </c>
      <c r="K23" s="250">
        <f t="shared" si="0"/>
        <v>0</v>
      </c>
      <c r="L23" s="363">
        <f>I23</f>
        <v>0</v>
      </c>
    </row>
    <row r="24" spans="1:12" ht="15.75" x14ac:dyDescent="0.2">
      <c r="A24" s="273"/>
      <c r="B24" s="273"/>
      <c r="C24" s="273"/>
      <c r="D24" s="274"/>
      <c r="E24" s="273"/>
      <c r="F24" s="273"/>
      <c r="G24" s="273"/>
      <c r="H24" s="273"/>
      <c r="I24" s="273"/>
    </row>
    <row r="26" spans="1:12" s="276" customFormat="1" ht="28.9" customHeight="1" x14ac:dyDescent="0.2">
      <c r="A26" s="1261" t="s">
        <v>435</v>
      </c>
      <c r="B26" s="1261"/>
      <c r="C26" s="1261"/>
      <c r="D26" s="1261"/>
      <c r="E26" s="275"/>
      <c r="F26" s="275"/>
      <c r="G26" s="275" t="s">
        <v>410</v>
      </c>
      <c r="H26" s="275"/>
      <c r="I26" s="275"/>
    </row>
  </sheetData>
  <mergeCells count="20">
    <mergeCell ref="G3:J3"/>
    <mergeCell ref="G5:H5"/>
    <mergeCell ref="G4:I4"/>
    <mergeCell ref="A26:D26"/>
    <mergeCell ref="E16:E17"/>
    <mergeCell ref="F16:G16"/>
    <mergeCell ref="H16:H17"/>
    <mergeCell ref="I16:I17"/>
    <mergeCell ref="J16:K16"/>
    <mergeCell ref="L16:L17"/>
    <mergeCell ref="C8:G8"/>
    <mergeCell ref="B9:H9"/>
    <mergeCell ref="A11:B11"/>
    <mergeCell ref="A14:A17"/>
    <mergeCell ref="B14:B17"/>
    <mergeCell ref="C14:C17"/>
    <mergeCell ref="D14:D17"/>
    <mergeCell ref="E14:L14"/>
    <mergeCell ref="E15:H15"/>
    <mergeCell ref="I15:L15"/>
  </mergeCells>
  <pageMargins left="1.1811023622047245" right="0.39370078740157483" top="0.78740157480314965" bottom="0.78740157480314965" header="0.31496062992125984" footer="0.31496062992125984"/>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P82"/>
  <sheetViews>
    <sheetView view="pageBreakPreview" zoomScale="120" zoomScaleNormal="100" zoomScaleSheetLayoutView="120" workbookViewId="0">
      <selection activeCell="C69" sqref="C69"/>
    </sheetView>
  </sheetViews>
  <sheetFormatPr defaultRowHeight="12.75" x14ac:dyDescent="0.2"/>
  <cols>
    <col min="1" max="1" width="16" customWidth="1"/>
    <col min="2" max="2" width="20.7109375" customWidth="1"/>
    <col min="3" max="3" width="52.140625" customWidth="1"/>
    <col min="4" max="4" width="16.28515625" customWidth="1"/>
    <col min="5" max="5" width="15.5703125" customWidth="1"/>
    <col min="6" max="6" width="13.5703125" customWidth="1"/>
  </cols>
  <sheetData>
    <row r="1" spans="1:6" x14ac:dyDescent="0.2">
      <c r="C1" s="339"/>
    </row>
    <row r="2" spans="1:6" ht="15.75" x14ac:dyDescent="0.25">
      <c r="C2" s="339"/>
      <c r="D2" s="234" t="s">
        <v>434</v>
      </c>
    </row>
    <row r="3" spans="1:6" ht="15.75" x14ac:dyDescent="0.25">
      <c r="A3" s="5"/>
      <c r="B3" s="5"/>
      <c r="C3" s="5"/>
      <c r="D3" s="234" t="s">
        <v>453</v>
      </c>
      <c r="E3" s="5"/>
    </row>
    <row r="4" spans="1:6" ht="15.75" x14ac:dyDescent="0.25">
      <c r="A4" s="5"/>
      <c r="B4" s="5"/>
      <c r="C4" s="5"/>
      <c r="D4" s="1258" t="s">
        <v>619</v>
      </c>
      <c r="E4" s="1258"/>
      <c r="F4" s="1258"/>
    </row>
    <row r="5" spans="1:6" ht="15.75" x14ac:dyDescent="0.2">
      <c r="A5" s="5"/>
      <c r="B5" s="5"/>
      <c r="C5" s="5"/>
      <c r="D5" s="1260" t="s">
        <v>740</v>
      </c>
      <c r="E5" s="1260"/>
      <c r="F5" s="337"/>
    </row>
    <row r="6" spans="1:6" ht="15.75" x14ac:dyDescent="0.25">
      <c r="A6" s="5"/>
      <c r="B6" s="5"/>
      <c r="C6" s="5"/>
      <c r="D6" s="1259" t="s">
        <v>746</v>
      </c>
      <c r="E6" s="1259"/>
      <c r="F6" s="338"/>
    </row>
    <row r="7" spans="1:6" ht="15.75" x14ac:dyDescent="0.2">
      <c r="A7" s="5"/>
      <c r="B7" s="5"/>
      <c r="C7" s="108"/>
      <c r="D7" s="5"/>
      <c r="E7" s="5"/>
    </row>
    <row r="8" spans="1:6" ht="19.149999999999999" customHeight="1" x14ac:dyDescent="0.2">
      <c r="A8" s="5"/>
      <c r="B8" s="5"/>
      <c r="C8" s="5"/>
      <c r="D8" s="5"/>
      <c r="E8" s="5"/>
    </row>
    <row r="9" spans="1:6" ht="15.6" customHeight="1" x14ac:dyDescent="0.2">
      <c r="A9" s="5"/>
      <c r="B9" s="5"/>
      <c r="C9" s="5"/>
      <c r="D9" s="5"/>
      <c r="E9" s="5"/>
    </row>
    <row r="10" spans="1:6" ht="20.25" x14ac:dyDescent="0.3">
      <c r="A10" s="1206" t="s">
        <v>725</v>
      </c>
      <c r="B10" s="1207"/>
      <c r="C10" s="1207"/>
      <c r="D10" s="1207"/>
    </row>
    <row r="11" spans="1:6" ht="15.75" x14ac:dyDescent="0.25">
      <c r="A11" s="1190" t="s">
        <v>143</v>
      </c>
      <c r="B11" s="1292"/>
      <c r="C11" s="1292"/>
      <c r="D11" s="1292"/>
    </row>
    <row r="12" spans="1:6" ht="15.75" x14ac:dyDescent="0.25">
      <c r="A12" s="1292" t="s">
        <v>0</v>
      </c>
      <c r="B12" s="1292"/>
      <c r="C12" s="1292"/>
      <c r="D12" s="1292"/>
    </row>
    <row r="13" spans="1:6" ht="21.95" customHeight="1" x14ac:dyDescent="0.25">
      <c r="B13" s="1"/>
      <c r="C13" s="1"/>
      <c r="D13" s="1"/>
    </row>
    <row r="14" spans="1:6" ht="16.5" thickBot="1" x14ac:dyDescent="0.3">
      <c r="A14" s="455" t="s">
        <v>382</v>
      </c>
      <c r="B14" s="1"/>
      <c r="C14" s="1"/>
      <c r="D14" s="2" t="s">
        <v>235</v>
      </c>
    </row>
    <row r="15" spans="1:6" ht="61.15" customHeight="1" thickBot="1" x14ac:dyDescent="0.25">
      <c r="A15" s="322" t="s">
        <v>383</v>
      </c>
      <c r="B15" s="1293" t="s">
        <v>384</v>
      </c>
      <c r="C15" s="1294"/>
      <c r="D15" s="319" t="s">
        <v>585</v>
      </c>
      <c r="E15" s="320" t="s">
        <v>698</v>
      </c>
      <c r="F15" s="321" t="s">
        <v>402</v>
      </c>
    </row>
    <row r="16" spans="1:6" ht="15" x14ac:dyDescent="0.25">
      <c r="A16" s="547">
        <v>1</v>
      </c>
      <c r="B16" s="1295">
        <v>2</v>
      </c>
      <c r="C16" s="1296"/>
      <c r="D16" s="548">
        <v>3</v>
      </c>
      <c r="E16" s="549">
        <v>4</v>
      </c>
      <c r="F16" s="550">
        <v>5</v>
      </c>
    </row>
    <row r="17" spans="1:6" ht="15.75" x14ac:dyDescent="0.25">
      <c r="A17" s="1297" t="s">
        <v>431</v>
      </c>
      <c r="B17" s="1298"/>
      <c r="C17" s="1298"/>
      <c r="D17" s="1299"/>
      <c r="E17" s="316"/>
      <c r="F17" s="318"/>
    </row>
    <row r="18" spans="1:6" ht="76.900000000000006" customHeight="1" x14ac:dyDescent="0.25">
      <c r="A18" s="317">
        <v>41021400</v>
      </c>
      <c r="B18" s="1300" t="s">
        <v>344</v>
      </c>
      <c r="C18" s="1301"/>
      <c r="D18" s="324">
        <f>D19</f>
        <v>1041200</v>
      </c>
      <c r="E18" s="329">
        <f>E19</f>
        <v>0</v>
      </c>
      <c r="F18" s="330">
        <f>E18/D18*100</f>
        <v>0</v>
      </c>
    </row>
    <row r="19" spans="1:6" ht="22.9" customHeight="1" x14ac:dyDescent="0.25">
      <c r="A19" s="140" t="s">
        <v>385</v>
      </c>
      <c r="B19" s="1280" t="s">
        <v>386</v>
      </c>
      <c r="C19" s="1281"/>
      <c r="D19" s="312">
        <v>1041200</v>
      </c>
      <c r="E19" s="323">
        <v>0</v>
      </c>
      <c r="F19" s="330">
        <f t="shared" ref="F19:F47" si="0">E19/D19*100</f>
        <v>0</v>
      </c>
    </row>
    <row r="20" spans="1:6" ht="21.75" customHeight="1" x14ac:dyDescent="0.25">
      <c r="A20" s="138" t="s">
        <v>347</v>
      </c>
      <c r="B20" s="1288" t="s">
        <v>348</v>
      </c>
      <c r="C20" s="1289"/>
      <c r="D20" s="313">
        <f>D21</f>
        <v>77435200</v>
      </c>
      <c r="E20" s="329">
        <f>E21</f>
        <v>77413343.439999998</v>
      </c>
      <c r="F20" s="551">
        <f t="shared" si="0"/>
        <v>99.971774386842156</v>
      </c>
    </row>
    <row r="21" spans="1:6" ht="22.15" customHeight="1" x14ac:dyDescent="0.25">
      <c r="A21" s="140" t="s">
        <v>385</v>
      </c>
      <c r="B21" s="1280" t="s">
        <v>386</v>
      </c>
      <c r="C21" s="1281"/>
      <c r="D21" s="325">
        <v>77435200</v>
      </c>
      <c r="E21" s="323">
        <v>77413343.439999998</v>
      </c>
      <c r="F21" s="330">
        <f t="shared" si="0"/>
        <v>99.971774386842156</v>
      </c>
    </row>
    <row r="22" spans="1:6" ht="33.75" customHeight="1" x14ac:dyDescent="0.25">
      <c r="A22" s="138">
        <v>41031100</v>
      </c>
      <c r="B22" s="1288" t="s">
        <v>726</v>
      </c>
      <c r="C22" s="1289"/>
      <c r="D22" s="329">
        <f>D23</f>
        <v>8230500</v>
      </c>
      <c r="E22" s="329">
        <f>E23</f>
        <v>5698856.0199999996</v>
      </c>
      <c r="F22" s="551">
        <f t="shared" si="0"/>
        <v>69.240702508960567</v>
      </c>
    </row>
    <row r="23" spans="1:6" ht="22.15" customHeight="1" x14ac:dyDescent="0.25">
      <c r="A23" s="140" t="s">
        <v>385</v>
      </c>
      <c r="B23" s="1280" t="s">
        <v>386</v>
      </c>
      <c r="C23" s="1281"/>
      <c r="D23" s="325">
        <v>8230500</v>
      </c>
      <c r="E23" s="323">
        <v>5698856.0199999996</v>
      </c>
      <c r="F23" s="330">
        <f t="shared" si="0"/>
        <v>69.240702508960567</v>
      </c>
    </row>
    <row r="24" spans="1:6" ht="37.5" customHeight="1" x14ac:dyDescent="0.25">
      <c r="A24" s="138">
        <v>41035400</v>
      </c>
      <c r="B24" s="1288" t="s">
        <v>577</v>
      </c>
      <c r="C24" s="1289"/>
      <c r="D24" s="313">
        <f>D25</f>
        <v>480600</v>
      </c>
      <c r="E24" s="329">
        <f>E25</f>
        <v>480600</v>
      </c>
      <c r="F24" s="551">
        <f>F25</f>
        <v>100</v>
      </c>
    </row>
    <row r="25" spans="1:6" ht="18.75" customHeight="1" x14ac:dyDescent="0.25">
      <c r="A25" s="140" t="s">
        <v>385</v>
      </c>
      <c r="B25" s="1280" t="s">
        <v>386</v>
      </c>
      <c r="C25" s="1281"/>
      <c r="D25" s="325">
        <v>480600</v>
      </c>
      <c r="E25" s="323">
        <v>480600</v>
      </c>
      <c r="F25" s="330">
        <f t="shared" ref="F25" si="1">E25/D25*100</f>
        <v>100</v>
      </c>
    </row>
    <row r="26" spans="1:6" ht="51.75" customHeight="1" x14ac:dyDescent="0.25">
      <c r="A26" s="138">
        <v>41036000</v>
      </c>
      <c r="B26" s="1288" t="s">
        <v>578</v>
      </c>
      <c r="C26" s="1289"/>
      <c r="D26" s="313">
        <f>D27</f>
        <v>1352500</v>
      </c>
      <c r="E26" s="329">
        <f>E27</f>
        <v>1184531.6000000001</v>
      </c>
      <c r="F26" s="551">
        <f>F27</f>
        <v>87.580894639556391</v>
      </c>
    </row>
    <row r="27" spans="1:6" ht="15.75" x14ac:dyDescent="0.25">
      <c r="A27" s="140" t="s">
        <v>385</v>
      </c>
      <c r="B27" s="1280" t="s">
        <v>386</v>
      </c>
      <c r="C27" s="1281"/>
      <c r="D27" s="325">
        <v>1352500</v>
      </c>
      <c r="E27" s="323">
        <v>1184531.6000000001</v>
      </c>
      <c r="F27" s="330">
        <f t="shared" si="0"/>
        <v>87.580894639556391</v>
      </c>
    </row>
    <row r="28" spans="1:6" ht="46.5" customHeight="1" x14ac:dyDescent="0.25">
      <c r="A28" s="138">
        <v>41036300</v>
      </c>
      <c r="B28" s="1288" t="s">
        <v>579</v>
      </c>
      <c r="C28" s="1289"/>
      <c r="D28" s="313">
        <f>D29</f>
        <v>9379900</v>
      </c>
      <c r="E28" s="329">
        <f>E29</f>
        <v>9123035.5399999991</v>
      </c>
      <c r="F28" s="551">
        <f>F29</f>
        <v>97.261543726478948</v>
      </c>
    </row>
    <row r="29" spans="1:6" ht="15.75" x14ac:dyDescent="0.25">
      <c r="A29" s="140" t="s">
        <v>385</v>
      </c>
      <c r="B29" s="1280" t="s">
        <v>386</v>
      </c>
      <c r="C29" s="1281"/>
      <c r="D29" s="325">
        <v>9379900</v>
      </c>
      <c r="E29" s="323">
        <v>9123035.5399999991</v>
      </c>
      <c r="F29" s="330">
        <f t="shared" si="0"/>
        <v>97.261543726478948</v>
      </c>
    </row>
    <row r="30" spans="1:6" ht="287.25" customHeight="1" x14ac:dyDescent="0.25">
      <c r="A30" s="138">
        <v>41050200</v>
      </c>
      <c r="B30" s="1288" t="s">
        <v>727</v>
      </c>
      <c r="C30" s="1289"/>
      <c r="D30" s="313">
        <f>D31</f>
        <v>2534226</v>
      </c>
      <c r="E30" s="329">
        <f>E31</f>
        <v>2534225.9</v>
      </c>
      <c r="F30" s="551">
        <f t="shared" si="0"/>
        <v>99.999996054022006</v>
      </c>
    </row>
    <row r="31" spans="1:6" ht="19.5" customHeight="1" x14ac:dyDescent="0.25">
      <c r="A31" s="143" t="s">
        <v>388</v>
      </c>
      <c r="B31" s="1290" t="s">
        <v>387</v>
      </c>
      <c r="C31" s="1291"/>
      <c r="D31" s="325">
        <v>2534226</v>
      </c>
      <c r="E31" s="323">
        <v>2534225.9</v>
      </c>
      <c r="F31" s="330">
        <f t="shared" si="0"/>
        <v>99.999996054022006</v>
      </c>
    </row>
    <row r="32" spans="1:6" ht="39.6" customHeight="1" x14ac:dyDescent="0.25">
      <c r="A32" s="138" t="s">
        <v>349</v>
      </c>
      <c r="B32" s="1288" t="s">
        <v>350</v>
      </c>
      <c r="C32" s="1289"/>
      <c r="D32" s="313">
        <f>D33</f>
        <v>1773410</v>
      </c>
      <c r="E32" s="329">
        <f>E33</f>
        <v>1745439.24</v>
      </c>
      <c r="F32" s="551">
        <f t="shared" si="0"/>
        <v>98.422769692287744</v>
      </c>
    </row>
    <row r="33" spans="1:6" ht="25.15" customHeight="1" x14ac:dyDescent="0.25">
      <c r="A33" s="140">
        <v>15100000000</v>
      </c>
      <c r="B33" s="1280" t="s">
        <v>387</v>
      </c>
      <c r="C33" s="1281"/>
      <c r="D33" s="325">
        <v>1773410</v>
      </c>
      <c r="E33" s="323">
        <v>1745439.24</v>
      </c>
      <c r="F33" s="330">
        <f t="shared" si="0"/>
        <v>98.422769692287744</v>
      </c>
    </row>
    <row r="34" spans="1:6" s="142" customFormat="1" ht="52.5" customHeight="1" x14ac:dyDescent="0.25">
      <c r="A34" s="141">
        <v>41053900</v>
      </c>
      <c r="B34" s="1284" t="s">
        <v>351</v>
      </c>
      <c r="C34" s="1285"/>
      <c r="D34" s="326">
        <f>D35</f>
        <v>136573</v>
      </c>
      <c r="E34" s="690">
        <f>E35</f>
        <v>69614.149999999994</v>
      </c>
      <c r="F34" s="760">
        <f t="shared" si="0"/>
        <v>50.972117475635734</v>
      </c>
    </row>
    <row r="35" spans="1:6" s="142" customFormat="1" ht="15.75" x14ac:dyDescent="0.25">
      <c r="A35" s="143" t="s">
        <v>388</v>
      </c>
      <c r="B35" s="1270" t="s">
        <v>387</v>
      </c>
      <c r="C35" s="1271"/>
      <c r="D35" s="327">
        <v>136573</v>
      </c>
      <c r="E35" s="691">
        <v>69614.149999999994</v>
      </c>
      <c r="F35" s="761">
        <f t="shared" si="0"/>
        <v>50.972117475635734</v>
      </c>
    </row>
    <row r="36" spans="1:6" s="142" customFormat="1" ht="35.450000000000003" customHeight="1" x14ac:dyDescent="0.25">
      <c r="A36" s="141">
        <v>41053900</v>
      </c>
      <c r="B36" s="1284" t="s">
        <v>352</v>
      </c>
      <c r="C36" s="1285"/>
      <c r="D36" s="328">
        <f>D37</f>
        <v>164690</v>
      </c>
      <c r="E36" s="690">
        <f>E37</f>
        <v>60125</v>
      </c>
      <c r="F36" s="760">
        <f t="shared" si="0"/>
        <v>36.507984698524496</v>
      </c>
    </row>
    <row r="37" spans="1:6" s="142" customFormat="1" ht="18.600000000000001" customHeight="1" x14ac:dyDescent="0.25">
      <c r="A37" s="143" t="s">
        <v>388</v>
      </c>
      <c r="B37" s="1290" t="s">
        <v>387</v>
      </c>
      <c r="C37" s="1291"/>
      <c r="D37" s="327">
        <v>164690</v>
      </c>
      <c r="E37" s="691">
        <v>60125</v>
      </c>
      <c r="F37" s="761">
        <f t="shared" si="0"/>
        <v>36.507984698524496</v>
      </c>
    </row>
    <row r="38" spans="1:6" s="142" customFormat="1" ht="52.9" customHeight="1" x14ac:dyDescent="0.25">
      <c r="A38" s="141">
        <v>41053900</v>
      </c>
      <c r="B38" s="1284" t="s">
        <v>353</v>
      </c>
      <c r="C38" s="1285"/>
      <c r="D38" s="328">
        <f>D39</f>
        <v>17623</v>
      </c>
      <c r="E38" s="690">
        <f>E39</f>
        <v>13410.6</v>
      </c>
      <c r="F38" s="760">
        <f t="shared" si="0"/>
        <v>76.097145775407142</v>
      </c>
    </row>
    <row r="39" spans="1:6" s="142" customFormat="1" ht="15.75" x14ac:dyDescent="0.25">
      <c r="A39" s="143" t="s">
        <v>388</v>
      </c>
      <c r="B39" s="1270" t="s">
        <v>387</v>
      </c>
      <c r="C39" s="1271"/>
      <c r="D39" s="552">
        <v>17623</v>
      </c>
      <c r="E39" s="691">
        <v>13410.6</v>
      </c>
      <c r="F39" s="760">
        <f t="shared" si="0"/>
        <v>76.097145775407142</v>
      </c>
    </row>
    <row r="40" spans="1:6" s="142" customFormat="1" ht="51" customHeight="1" x14ac:dyDescent="0.25">
      <c r="A40" s="141">
        <v>41053900</v>
      </c>
      <c r="B40" s="1284" t="s">
        <v>728</v>
      </c>
      <c r="C40" s="1285"/>
      <c r="D40" s="764">
        <f>D41</f>
        <v>241072</v>
      </c>
      <c r="E40" s="764">
        <f>E41</f>
        <v>240831.14</v>
      </c>
      <c r="F40" s="760">
        <f t="shared" si="0"/>
        <v>99.900087940532288</v>
      </c>
    </row>
    <row r="41" spans="1:6" s="142" customFormat="1" ht="15.75" x14ac:dyDescent="0.25">
      <c r="A41" s="143" t="s">
        <v>388</v>
      </c>
      <c r="B41" s="1270" t="s">
        <v>387</v>
      </c>
      <c r="C41" s="1271"/>
      <c r="D41" s="877">
        <f>241072</f>
        <v>241072</v>
      </c>
      <c r="E41" s="691">
        <v>240831.14</v>
      </c>
      <c r="F41" s="760">
        <f t="shared" si="0"/>
        <v>99.900087940532288</v>
      </c>
    </row>
    <row r="42" spans="1:6" s="142" customFormat="1" ht="87.75" customHeight="1" x14ac:dyDescent="0.25">
      <c r="A42" s="553" t="s">
        <v>586</v>
      </c>
      <c r="B42" s="1286" t="s">
        <v>587</v>
      </c>
      <c r="C42" s="1287"/>
      <c r="D42" s="554">
        <f>D43</f>
        <v>295047</v>
      </c>
      <c r="E42" s="762">
        <f>E43</f>
        <v>0</v>
      </c>
      <c r="F42" s="760">
        <f t="shared" si="0"/>
        <v>0</v>
      </c>
    </row>
    <row r="43" spans="1:6" s="142" customFormat="1" ht="15.75" x14ac:dyDescent="0.25">
      <c r="A43" s="143" t="s">
        <v>388</v>
      </c>
      <c r="B43" s="1270" t="s">
        <v>387</v>
      </c>
      <c r="C43" s="1271"/>
      <c r="D43" s="759">
        <v>295047</v>
      </c>
      <c r="E43" s="763">
        <v>0</v>
      </c>
      <c r="F43" s="760">
        <f t="shared" si="0"/>
        <v>0</v>
      </c>
    </row>
    <row r="44" spans="1:6" s="142" customFormat="1" ht="61.5" customHeight="1" x14ac:dyDescent="0.25">
      <c r="A44" s="785" t="s">
        <v>664</v>
      </c>
      <c r="B44" s="1282" t="s">
        <v>593</v>
      </c>
      <c r="C44" s="1283"/>
      <c r="D44" s="764">
        <f>D45</f>
        <v>79056</v>
      </c>
      <c r="E44" s="690">
        <f>E45</f>
        <v>8784</v>
      </c>
      <c r="F44" s="777">
        <f t="shared" si="0"/>
        <v>11.111111111111111</v>
      </c>
    </row>
    <row r="45" spans="1:6" s="142" customFormat="1" ht="15.75" x14ac:dyDescent="0.25">
      <c r="A45" s="143" t="s">
        <v>388</v>
      </c>
      <c r="B45" s="1270" t="s">
        <v>387</v>
      </c>
      <c r="C45" s="1271"/>
      <c r="D45" s="552">
        <v>79056</v>
      </c>
      <c r="E45" s="691">
        <v>8784</v>
      </c>
      <c r="F45" s="778">
        <f t="shared" si="0"/>
        <v>11.111111111111111</v>
      </c>
    </row>
    <row r="46" spans="1:6" s="142" customFormat="1" ht="62.25" customHeight="1" x14ac:dyDescent="0.25">
      <c r="A46" s="785" t="s">
        <v>665</v>
      </c>
      <c r="B46" s="1282" t="s">
        <v>594</v>
      </c>
      <c r="C46" s="1283"/>
      <c r="D46" s="764">
        <f>D47</f>
        <v>1250000</v>
      </c>
      <c r="E46" s="690">
        <f>E47</f>
        <v>0</v>
      </c>
      <c r="F46" s="765">
        <f t="shared" si="0"/>
        <v>0</v>
      </c>
    </row>
    <row r="47" spans="1:6" s="142" customFormat="1" ht="16.5" customHeight="1" x14ac:dyDescent="0.25">
      <c r="A47" s="143" t="s">
        <v>388</v>
      </c>
      <c r="B47" s="1270" t="s">
        <v>387</v>
      </c>
      <c r="C47" s="1271"/>
      <c r="D47" s="552">
        <v>1250000</v>
      </c>
      <c r="E47" s="691">
        <v>0</v>
      </c>
      <c r="F47" s="765">
        <f t="shared" si="0"/>
        <v>0</v>
      </c>
    </row>
    <row r="48" spans="1:6" ht="16.5" thickBot="1" x14ac:dyDescent="0.25">
      <c r="A48" s="1272"/>
      <c r="B48" s="1273"/>
      <c r="C48" s="1273"/>
      <c r="D48" s="1273"/>
      <c r="E48" s="1273"/>
      <c r="F48" s="1274"/>
    </row>
    <row r="49" spans="1:15" ht="16.5" thickBot="1" x14ac:dyDescent="0.3">
      <c r="A49" s="1275" t="s">
        <v>432</v>
      </c>
      <c r="B49" s="1276"/>
      <c r="C49" s="1276"/>
      <c r="D49" s="1277"/>
      <c r="E49" s="783"/>
      <c r="F49" s="784"/>
    </row>
    <row r="50" spans="1:15" s="144" customFormat="1" ht="28.5" customHeight="1" x14ac:dyDescent="0.25">
      <c r="A50" s="779">
        <v>41033900</v>
      </c>
      <c r="B50" s="1278" t="s">
        <v>348</v>
      </c>
      <c r="C50" s="1279"/>
      <c r="D50" s="780">
        <f>D51</f>
        <v>2511700</v>
      </c>
      <c r="E50" s="781">
        <f>E51</f>
        <v>2482375.2400000002</v>
      </c>
      <c r="F50" s="782">
        <f t="shared" ref="F50:F55" si="2">E50/D50*100</f>
        <v>98.832473623442297</v>
      </c>
    </row>
    <row r="51" spans="1:15" s="144" customFormat="1" ht="18.75" customHeight="1" x14ac:dyDescent="0.25">
      <c r="A51" s="140" t="s">
        <v>385</v>
      </c>
      <c r="B51" s="1280" t="s">
        <v>386</v>
      </c>
      <c r="C51" s="1281"/>
      <c r="D51" s="786">
        <v>2511700</v>
      </c>
      <c r="E51" s="691">
        <v>2482375.2400000002</v>
      </c>
      <c r="F51" s="330">
        <f t="shared" si="2"/>
        <v>98.832473623442297</v>
      </c>
    </row>
    <row r="52" spans="1:15" s="144" customFormat="1" ht="44.25" customHeight="1" x14ac:dyDescent="0.25">
      <c r="A52" s="785" t="s">
        <v>729</v>
      </c>
      <c r="B52" s="1284" t="s">
        <v>577</v>
      </c>
      <c r="C52" s="1285"/>
      <c r="D52" s="570">
        <f>D53</f>
        <v>205700</v>
      </c>
      <c r="E52" s="570">
        <f>E53</f>
        <v>205700</v>
      </c>
      <c r="F52" s="551">
        <f t="shared" si="2"/>
        <v>100</v>
      </c>
    </row>
    <row r="53" spans="1:15" s="144" customFormat="1" ht="18.75" customHeight="1" x14ac:dyDescent="0.25">
      <c r="A53" s="140" t="s">
        <v>385</v>
      </c>
      <c r="B53" s="1280" t="s">
        <v>386</v>
      </c>
      <c r="C53" s="1281"/>
      <c r="D53" s="878">
        <v>205700</v>
      </c>
      <c r="E53" s="879">
        <v>205700</v>
      </c>
      <c r="F53" s="330">
        <f t="shared" si="2"/>
        <v>100</v>
      </c>
    </row>
    <row r="54" spans="1:15" s="144" customFormat="1" ht="63.75" customHeight="1" x14ac:dyDescent="0.25">
      <c r="A54" s="779">
        <v>41037400</v>
      </c>
      <c r="B54" s="1278" t="s">
        <v>663</v>
      </c>
      <c r="C54" s="1279"/>
      <c r="D54" s="780">
        <f>D55</f>
        <v>1380800</v>
      </c>
      <c r="E54" s="781">
        <f>E55</f>
        <v>1195677.1499999999</v>
      </c>
      <c r="F54" s="782">
        <f t="shared" si="2"/>
        <v>86.59307285631516</v>
      </c>
    </row>
    <row r="55" spans="1:15" s="144" customFormat="1" ht="18.75" customHeight="1" x14ac:dyDescent="0.25">
      <c r="A55" s="140" t="s">
        <v>385</v>
      </c>
      <c r="B55" s="1280" t="s">
        <v>386</v>
      </c>
      <c r="C55" s="1281"/>
      <c r="D55" s="786">
        <v>1380800</v>
      </c>
      <c r="E55" s="691">
        <v>1195677.1499999999</v>
      </c>
      <c r="F55" s="330">
        <f t="shared" si="2"/>
        <v>86.59307285631516</v>
      </c>
    </row>
    <row r="56" spans="1:15" ht="15.75" x14ac:dyDescent="0.25">
      <c r="A56" s="787" t="s">
        <v>6</v>
      </c>
      <c r="B56" s="788" t="s">
        <v>389</v>
      </c>
      <c r="C56" s="789"/>
      <c r="D56" s="790">
        <f>D57+D58</f>
        <v>108509797</v>
      </c>
      <c r="E56" s="790">
        <f>E57+E58</f>
        <v>102456549.02</v>
      </c>
      <c r="F56" s="791">
        <f t="shared" ref="F56:F58" si="3">E56/D56*100</f>
        <v>94.421473316367923</v>
      </c>
    </row>
    <row r="57" spans="1:15" ht="15.75" x14ac:dyDescent="0.25">
      <c r="A57" s="311" t="s">
        <v>6</v>
      </c>
      <c r="B57" s="145" t="s">
        <v>379</v>
      </c>
      <c r="C57" s="139"/>
      <c r="D57" s="329">
        <f>D18+D20+D32+D34+D36+D38+D42+D30+D28+D26+D24+D44+D46+D22+D40</f>
        <v>104411597</v>
      </c>
      <c r="E57" s="329">
        <f>E18+E20+E32+E34+E36+E38+E42+E30+E28+E26+E24+E44+E46+E22+E40</f>
        <v>98572796.629999995</v>
      </c>
      <c r="F57" s="330">
        <f t="shared" si="3"/>
        <v>94.407900522774298</v>
      </c>
    </row>
    <row r="58" spans="1:15" ht="16.5" thickBot="1" x14ac:dyDescent="0.3">
      <c r="A58" s="965" t="s">
        <v>6</v>
      </c>
      <c r="B58" s="966" t="s">
        <v>380</v>
      </c>
      <c r="C58" s="967"/>
      <c r="D58" s="968">
        <f>D50+D54+D52</f>
        <v>4098200</v>
      </c>
      <c r="E58" s="968">
        <f>E50+E54+E52</f>
        <v>3883752.39</v>
      </c>
      <c r="F58" s="969">
        <f t="shared" si="3"/>
        <v>94.767273193109176</v>
      </c>
      <c r="J58" s="560"/>
      <c r="K58" s="560"/>
      <c r="L58" s="560"/>
      <c r="M58" s="560"/>
      <c r="N58" s="560"/>
      <c r="O58" s="560"/>
    </row>
    <row r="59" spans="1:15" ht="16.5" customHeight="1" thickBot="1" x14ac:dyDescent="0.3">
      <c r="A59" s="970" t="s">
        <v>390</v>
      </c>
      <c r="B59" s="971"/>
      <c r="C59" s="971"/>
      <c r="D59" s="972" t="s">
        <v>235</v>
      </c>
      <c r="E59" s="783"/>
      <c r="F59" s="784"/>
      <c r="J59" s="560"/>
      <c r="K59" s="560"/>
      <c r="L59" s="560"/>
      <c r="M59" s="560"/>
      <c r="N59" s="560"/>
      <c r="O59" s="560"/>
    </row>
    <row r="60" spans="1:15" ht="123" customHeight="1" thickBot="1" x14ac:dyDescent="0.25">
      <c r="A60" s="710" t="s">
        <v>391</v>
      </c>
      <c r="B60" s="711" t="s">
        <v>392</v>
      </c>
      <c r="C60" s="712" t="s">
        <v>393</v>
      </c>
      <c r="D60" s="319" t="s">
        <v>585</v>
      </c>
      <c r="E60" s="320" t="s">
        <v>698</v>
      </c>
      <c r="F60" s="321" t="s">
        <v>402</v>
      </c>
      <c r="J60" s="561"/>
      <c r="K60" s="561"/>
      <c r="L60" s="562"/>
      <c r="M60" s="563"/>
      <c r="N60" s="560"/>
      <c r="O60" s="560"/>
    </row>
    <row r="61" spans="1:15" ht="13.5" customHeight="1" x14ac:dyDescent="0.2">
      <c r="A61" s="707">
        <v>1</v>
      </c>
      <c r="B61" s="708">
        <v>2</v>
      </c>
      <c r="C61" s="708">
        <v>3</v>
      </c>
      <c r="D61" s="709">
        <v>4</v>
      </c>
      <c r="E61" s="973">
        <v>5</v>
      </c>
      <c r="F61" s="974">
        <v>6</v>
      </c>
      <c r="J61" s="564"/>
      <c r="K61" s="564"/>
      <c r="L61" s="565"/>
      <c r="M61" s="566"/>
      <c r="N61" s="560"/>
      <c r="O61" s="560"/>
    </row>
    <row r="62" spans="1:15" ht="23.25" customHeight="1" x14ac:dyDescent="0.25">
      <c r="A62" s="1266" t="s">
        <v>394</v>
      </c>
      <c r="B62" s="1267"/>
      <c r="C62" s="1268"/>
      <c r="D62" s="329"/>
      <c r="E62" s="316"/>
      <c r="F62" s="318"/>
      <c r="J62" s="560"/>
      <c r="K62" s="560"/>
      <c r="L62" s="560"/>
      <c r="M62" s="560"/>
      <c r="N62" s="560"/>
      <c r="O62" s="560"/>
    </row>
    <row r="63" spans="1:15" ht="21.75" customHeight="1" x14ac:dyDescent="0.25">
      <c r="A63" s="555" t="s">
        <v>508</v>
      </c>
      <c r="B63" s="146">
        <v>9770</v>
      </c>
      <c r="C63" s="147" t="s">
        <v>395</v>
      </c>
      <c r="D63" s="329">
        <f>D64</f>
        <v>30000000</v>
      </c>
      <c r="E63" s="329">
        <f>E64</f>
        <v>30000000</v>
      </c>
      <c r="F63" s="768">
        <f t="shared" ref="F63:F78" si="4">E63/D63*100</f>
        <v>100</v>
      </c>
      <c r="J63" s="560"/>
      <c r="K63" s="560"/>
      <c r="L63" s="560"/>
      <c r="M63" s="560"/>
      <c r="N63" s="560"/>
      <c r="O63" s="560"/>
    </row>
    <row r="64" spans="1:15" ht="19.899999999999999" customHeight="1" x14ac:dyDescent="0.25">
      <c r="A64" s="143" t="s">
        <v>388</v>
      </c>
      <c r="B64" s="310">
        <v>9770</v>
      </c>
      <c r="C64" s="148" t="s">
        <v>387</v>
      </c>
      <c r="D64" s="571">
        <f>0+30000000</f>
        <v>30000000</v>
      </c>
      <c r="E64" s="571">
        <f>30000000</f>
        <v>30000000</v>
      </c>
      <c r="F64" s="769">
        <f t="shared" si="4"/>
        <v>100</v>
      </c>
      <c r="J64" s="560"/>
      <c r="K64" s="560"/>
      <c r="L64" s="560"/>
      <c r="M64" s="560"/>
      <c r="N64" s="560"/>
      <c r="O64" s="560"/>
    </row>
    <row r="65" spans="1:16" ht="19.899999999999999" customHeight="1" x14ac:dyDescent="0.25">
      <c r="A65" s="555" t="s">
        <v>612</v>
      </c>
      <c r="B65" s="146">
        <v>9770</v>
      </c>
      <c r="C65" s="147" t="s">
        <v>395</v>
      </c>
      <c r="D65" s="570">
        <f>D66</f>
        <v>21363</v>
      </c>
      <c r="E65" s="570">
        <f>E66</f>
        <v>21363</v>
      </c>
      <c r="F65" s="770">
        <f t="shared" si="4"/>
        <v>100</v>
      </c>
      <c r="J65" s="560"/>
      <c r="K65" s="560"/>
      <c r="L65" s="560"/>
      <c r="M65" s="560"/>
      <c r="N65" s="560"/>
      <c r="O65" s="560"/>
    </row>
    <row r="66" spans="1:16" ht="19.899999999999999" customHeight="1" x14ac:dyDescent="0.25">
      <c r="A66" s="143" t="s">
        <v>388</v>
      </c>
      <c r="B66" s="310">
        <v>9770</v>
      </c>
      <c r="C66" s="148" t="s">
        <v>387</v>
      </c>
      <c r="D66" s="571">
        <v>21363</v>
      </c>
      <c r="E66" s="571">
        <v>21363</v>
      </c>
      <c r="F66" s="769">
        <f t="shared" si="4"/>
        <v>100</v>
      </c>
      <c r="J66" s="560"/>
      <c r="K66" s="560"/>
      <c r="L66" s="560"/>
      <c r="M66" s="560"/>
      <c r="N66" s="560"/>
      <c r="O66" s="560"/>
    </row>
    <row r="67" spans="1:16" ht="19.899999999999999" customHeight="1" x14ac:dyDescent="0.2">
      <c r="A67" s="695" t="s">
        <v>588</v>
      </c>
      <c r="B67" s="556" t="s">
        <v>589</v>
      </c>
      <c r="C67" s="557" t="s">
        <v>528</v>
      </c>
      <c r="D67" s="570">
        <f>D68</f>
        <v>56019300</v>
      </c>
      <c r="E67" s="570">
        <f>E68</f>
        <v>56019300</v>
      </c>
      <c r="F67" s="770">
        <f t="shared" si="4"/>
        <v>100</v>
      </c>
      <c r="J67" s="560"/>
      <c r="K67" s="560"/>
      <c r="L67" s="560"/>
      <c r="M67" s="560"/>
      <c r="N67" s="560"/>
      <c r="O67" s="560"/>
    </row>
    <row r="68" spans="1:16" ht="19.899999999999999" customHeight="1" x14ac:dyDescent="0.2">
      <c r="A68" s="975" t="s">
        <v>385</v>
      </c>
      <c r="B68" s="976" t="s">
        <v>589</v>
      </c>
      <c r="C68" s="693" t="s">
        <v>386</v>
      </c>
      <c r="D68" s="571">
        <v>56019300</v>
      </c>
      <c r="E68" s="571">
        <v>56019300</v>
      </c>
      <c r="F68" s="977">
        <f t="shared" si="4"/>
        <v>100</v>
      </c>
      <c r="J68" s="560"/>
      <c r="K68" s="560"/>
      <c r="L68" s="560"/>
      <c r="M68" s="560"/>
      <c r="N68" s="560"/>
      <c r="O68" s="560"/>
    </row>
    <row r="69" spans="1:16" ht="57.75" customHeight="1" x14ac:dyDescent="0.25">
      <c r="A69" s="555" t="s">
        <v>599</v>
      </c>
      <c r="B69" s="881">
        <v>9800</v>
      </c>
      <c r="C69" s="557" t="s">
        <v>592</v>
      </c>
      <c r="D69" s="882">
        <f>D70</f>
        <v>12216839</v>
      </c>
      <c r="E69" s="882">
        <f>E70</f>
        <v>12215453.460000001</v>
      </c>
      <c r="F69" s="770">
        <f t="shared" si="4"/>
        <v>99.988658768442491</v>
      </c>
      <c r="J69" s="560"/>
      <c r="K69" s="560"/>
      <c r="L69" s="560"/>
      <c r="M69" s="560"/>
      <c r="N69" s="560"/>
      <c r="O69" s="560"/>
    </row>
    <row r="70" spans="1:16" ht="19.899999999999999" customHeight="1" x14ac:dyDescent="0.2">
      <c r="A70" s="696" t="s">
        <v>385</v>
      </c>
      <c r="B70" s="558">
        <v>9800</v>
      </c>
      <c r="C70" s="559" t="s">
        <v>386</v>
      </c>
      <c r="D70" s="880">
        <v>12216839</v>
      </c>
      <c r="E70" s="571">
        <v>12215453.460000001</v>
      </c>
      <c r="F70" s="769">
        <f t="shared" si="4"/>
        <v>99.988658768442491</v>
      </c>
      <c r="J70" s="560"/>
      <c r="K70" s="560"/>
      <c r="L70" s="560"/>
      <c r="M70" s="560"/>
      <c r="N70" s="560"/>
      <c r="O70" s="560"/>
    </row>
    <row r="71" spans="1:16" ht="20.100000000000001" customHeight="1" x14ac:dyDescent="0.25">
      <c r="A71" s="1266" t="s">
        <v>396</v>
      </c>
      <c r="B71" s="1267"/>
      <c r="C71" s="1267"/>
      <c r="D71" s="1268"/>
      <c r="E71" s="316"/>
      <c r="F71" s="318"/>
    </row>
    <row r="72" spans="1:16" ht="60" customHeight="1" x14ac:dyDescent="0.25">
      <c r="A72" s="697" t="s">
        <v>599</v>
      </c>
      <c r="B72" s="150">
        <v>9800</v>
      </c>
      <c r="C72" s="557" t="s">
        <v>592</v>
      </c>
      <c r="D72" s="329">
        <f>D73</f>
        <v>22143025</v>
      </c>
      <c r="E72" s="329">
        <f>E73</f>
        <v>22101893</v>
      </c>
      <c r="F72" s="569">
        <f t="shared" si="4"/>
        <v>99.814243988795567</v>
      </c>
    </row>
    <row r="73" spans="1:16" ht="20.100000000000001" customHeight="1" x14ac:dyDescent="0.25">
      <c r="A73" s="698">
        <v>99000000000</v>
      </c>
      <c r="B73" s="692">
        <v>9800</v>
      </c>
      <c r="C73" s="693" t="s">
        <v>386</v>
      </c>
      <c r="D73" s="323">
        <v>22143025</v>
      </c>
      <c r="E73" s="323">
        <v>22101893</v>
      </c>
      <c r="F73" s="765">
        <f t="shared" si="4"/>
        <v>99.814243988795567</v>
      </c>
    </row>
    <row r="74" spans="1:16" ht="40.5" customHeight="1" x14ac:dyDescent="0.2">
      <c r="A74" s="697" t="s">
        <v>595</v>
      </c>
      <c r="B74" s="150">
        <v>9750</v>
      </c>
      <c r="C74" s="557" t="s">
        <v>596</v>
      </c>
      <c r="D74" s="883">
        <f>D75</f>
        <v>2000000</v>
      </c>
      <c r="E74" s="883">
        <f>E75</f>
        <v>2000000</v>
      </c>
      <c r="F74" s="884">
        <f t="shared" si="4"/>
        <v>100</v>
      </c>
    </row>
    <row r="75" spans="1:16" ht="27.75" customHeight="1" x14ac:dyDescent="0.25">
      <c r="A75" s="143" t="s">
        <v>388</v>
      </c>
      <c r="B75" s="310">
        <v>9750</v>
      </c>
      <c r="C75" s="694" t="s">
        <v>387</v>
      </c>
      <c r="D75" s="325">
        <v>2000000</v>
      </c>
      <c r="E75" s="323">
        <v>2000000</v>
      </c>
      <c r="F75" s="765">
        <f t="shared" si="4"/>
        <v>100</v>
      </c>
    </row>
    <row r="76" spans="1:16" ht="15.75" x14ac:dyDescent="0.25">
      <c r="A76" s="149" t="s">
        <v>6</v>
      </c>
      <c r="B76" s="150" t="s">
        <v>6</v>
      </c>
      <c r="C76" s="145" t="s">
        <v>389</v>
      </c>
      <c r="D76" s="314">
        <f>D77+D78</f>
        <v>122400527</v>
      </c>
      <c r="E76" s="568">
        <f>E77+E78</f>
        <v>122358009.46000001</v>
      </c>
      <c r="F76" s="569">
        <f t="shared" si="4"/>
        <v>99.965263597271942</v>
      </c>
    </row>
    <row r="77" spans="1:16" ht="15.75" x14ac:dyDescent="0.25">
      <c r="A77" s="149" t="s">
        <v>6</v>
      </c>
      <c r="B77" s="150" t="s">
        <v>6</v>
      </c>
      <c r="C77" s="145" t="s">
        <v>379</v>
      </c>
      <c r="D77" s="315">
        <f>D63+D65+D67+D69</f>
        <v>98257502</v>
      </c>
      <c r="E77" s="315">
        <f>E63+E65+E67+E69</f>
        <v>98256116.460000008</v>
      </c>
      <c r="F77" s="569">
        <f t="shared" si="4"/>
        <v>99.998589888841266</v>
      </c>
    </row>
    <row r="78" spans="1:16" ht="16.5" thickBot="1" x14ac:dyDescent="0.3">
      <c r="A78" s="151" t="s">
        <v>6</v>
      </c>
      <c r="B78" s="152" t="s">
        <v>6</v>
      </c>
      <c r="C78" s="153" t="s">
        <v>380</v>
      </c>
      <c r="D78" s="567">
        <f>D72+D74</f>
        <v>24143025</v>
      </c>
      <c r="E78" s="567">
        <f>E72+E74</f>
        <v>24101893</v>
      </c>
      <c r="F78" s="699">
        <f t="shared" si="4"/>
        <v>99.829631953742336</v>
      </c>
    </row>
    <row r="79" spans="1:16" ht="15.75" x14ac:dyDescent="0.25">
      <c r="A79" s="1"/>
      <c r="B79" s="1"/>
      <c r="C79" s="1"/>
      <c r="D79" s="1"/>
    </row>
    <row r="80" spans="1:16" s="73" customFormat="1" ht="42.6" customHeight="1" x14ac:dyDescent="0.25">
      <c r="A80" s="1269" t="s">
        <v>436</v>
      </c>
      <c r="B80" s="1269"/>
      <c r="C80" s="1269"/>
      <c r="D80" s="1269"/>
      <c r="E80" s="1269"/>
      <c r="F80" s="1269"/>
      <c r="G80" s="154"/>
      <c r="H80" s="154"/>
      <c r="I80" s="154"/>
      <c r="K80" s="154"/>
      <c r="L80" s="155"/>
      <c r="M80" s="154"/>
      <c r="N80" s="156"/>
      <c r="O80" s="157"/>
      <c r="P80" s="158"/>
    </row>
    <row r="81" spans="1:4" s="161" customFormat="1" ht="20.45" customHeight="1" x14ac:dyDescent="0.3">
      <c r="A81" s="159"/>
      <c r="B81" s="160"/>
      <c r="C81" s="1"/>
      <c r="D81" s="160"/>
    </row>
    <row r="82" spans="1:4" ht="15.75" x14ac:dyDescent="0.25">
      <c r="A82" s="1"/>
      <c r="B82" s="1"/>
      <c r="D82" s="1"/>
    </row>
  </sheetData>
  <mergeCells count="50">
    <mergeCell ref="D4:F4"/>
    <mergeCell ref="D6:E6"/>
    <mergeCell ref="D5:E5"/>
    <mergeCell ref="B27:C27"/>
    <mergeCell ref="A10:D10"/>
    <mergeCell ref="A11:D11"/>
    <mergeCell ref="A12:D12"/>
    <mergeCell ref="B15:C15"/>
    <mergeCell ref="B16:C16"/>
    <mergeCell ref="A17:D17"/>
    <mergeCell ref="B18:C18"/>
    <mergeCell ref="B19:C19"/>
    <mergeCell ref="B25:C25"/>
    <mergeCell ref="B26:C26"/>
    <mergeCell ref="B20:C20"/>
    <mergeCell ref="B21:C21"/>
    <mergeCell ref="B24:C24"/>
    <mergeCell ref="B22:C22"/>
    <mergeCell ref="B23:C23"/>
    <mergeCell ref="B36:C36"/>
    <mergeCell ref="B37:C37"/>
    <mergeCell ref="B35:C35"/>
    <mergeCell ref="B34:C34"/>
    <mergeCell ref="B28:C28"/>
    <mergeCell ref="B29:C29"/>
    <mergeCell ref="B30:C30"/>
    <mergeCell ref="B31:C31"/>
    <mergeCell ref="B32:C32"/>
    <mergeCell ref="B33:C33"/>
    <mergeCell ref="B38:C38"/>
    <mergeCell ref="B39:C39"/>
    <mergeCell ref="B42:C42"/>
    <mergeCell ref="B40:C40"/>
    <mergeCell ref="B41:C41"/>
    <mergeCell ref="A62:C62"/>
    <mergeCell ref="A71:D71"/>
    <mergeCell ref="A80:F80"/>
    <mergeCell ref="B43:C43"/>
    <mergeCell ref="A48:F48"/>
    <mergeCell ref="A49:D49"/>
    <mergeCell ref="B50:C50"/>
    <mergeCell ref="B51:C51"/>
    <mergeCell ref="B44:C44"/>
    <mergeCell ref="B45:C45"/>
    <mergeCell ref="B46:C46"/>
    <mergeCell ref="B47:C47"/>
    <mergeCell ref="B54:C54"/>
    <mergeCell ref="B55:C55"/>
    <mergeCell ref="B53:C53"/>
    <mergeCell ref="B52:C52"/>
  </mergeCells>
  <pageMargins left="1.1811023622047245" right="0.39370078740157483" top="0.78740157480314965" bottom="0.78740157480314965" header="0.31496062992125984" footer="0.31496062992125984"/>
  <pageSetup paperSize="9" scale="70" orientation="portrait" r:id="rId1"/>
  <rowBreaks count="1" manualBreakCount="1">
    <brk id="58"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0"/>
  <sheetViews>
    <sheetView tabSelected="1" view="pageBreakPreview" zoomScale="60" zoomScaleNormal="50" workbookViewId="0">
      <selection activeCell="G17" sqref="G17:G18"/>
    </sheetView>
  </sheetViews>
  <sheetFormatPr defaultColWidth="9.28515625" defaultRowHeight="15" x14ac:dyDescent="0.25"/>
  <cols>
    <col min="1" max="1" width="14.5703125" style="62" customWidth="1"/>
    <col min="2" max="2" width="17" style="63" customWidth="1"/>
    <col min="3" max="3" width="16.5703125" style="64" customWidth="1"/>
    <col min="4" max="4" width="44" style="65" customWidth="1"/>
    <col min="5" max="5" width="33.28515625" style="66" customWidth="1"/>
    <col min="6" max="6" width="22.28515625" style="64" customWidth="1"/>
    <col min="7" max="7" width="20.140625" style="107" customWidth="1"/>
    <col min="8" max="8" width="22.28515625" style="107" customWidth="1"/>
    <col min="9" max="9" width="21.85546875" style="107" customWidth="1"/>
    <col min="10" max="10" width="20.7109375" style="107" customWidth="1"/>
    <col min="11" max="11" width="22" style="68" customWidth="1"/>
    <col min="12" max="12" width="9.28515625" style="62"/>
    <col min="13" max="13" width="16.85546875" style="62" bestFit="1" customWidth="1"/>
    <col min="14" max="14" width="9.28515625" style="62"/>
    <col min="15" max="15" width="13.7109375" style="62" bestFit="1" customWidth="1"/>
    <col min="16" max="256" width="9.28515625" style="62"/>
    <col min="257" max="257" width="15" style="62" customWidth="1"/>
    <col min="258" max="258" width="12.7109375" style="62" customWidth="1"/>
    <col min="259" max="259" width="11.7109375" style="62" customWidth="1"/>
    <col min="260" max="260" width="44.85546875" style="62" customWidth="1"/>
    <col min="261" max="261" width="54.7109375" style="62" customWidth="1"/>
    <col min="262" max="262" width="15.28515625" style="62" customWidth="1"/>
    <col min="263" max="264" width="19.28515625" style="62" customWidth="1"/>
    <col min="265" max="265" width="13.85546875" style="62" customWidth="1"/>
    <col min="266" max="266" width="25.28515625" style="62" customWidth="1"/>
    <col min="267" max="267" width="16.28515625" style="62" customWidth="1"/>
    <col min="268" max="512" width="9.28515625" style="62"/>
    <col min="513" max="513" width="15" style="62" customWidth="1"/>
    <col min="514" max="514" width="12.7109375" style="62" customWidth="1"/>
    <col min="515" max="515" width="11.7109375" style="62" customWidth="1"/>
    <col min="516" max="516" width="44.85546875" style="62" customWidth="1"/>
    <col min="517" max="517" width="54.7109375" style="62" customWidth="1"/>
    <col min="518" max="518" width="15.28515625" style="62" customWidth="1"/>
    <col min="519" max="520" width="19.28515625" style="62" customWidth="1"/>
    <col min="521" max="521" width="13.85546875" style="62" customWidth="1"/>
    <col min="522" max="522" width="25.28515625" style="62" customWidth="1"/>
    <col min="523" max="523" width="16.28515625" style="62" customWidth="1"/>
    <col min="524" max="768" width="9.28515625" style="62"/>
    <col min="769" max="769" width="15" style="62" customWidth="1"/>
    <col min="770" max="770" width="12.7109375" style="62" customWidth="1"/>
    <col min="771" max="771" width="11.7109375" style="62" customWidth="1"/>
    <col min="772" max="772" width="44.85546875" style="62" customWidth="1"/>
    <col min="773" max="773" width="54.7109375" style="62" customWidth="1"/>
    <col min="774" max="774" width="15.28515625" style="62" customWidth="1"/>
    <col min="775" max="776" width="19.28515625" style="62" customWidth="1"/>
    <col min="777" max="777" width="13.85546875" style="62" customWidth="1"/>
    <col min="778" max="778" width="25.28515625" style="62" customWidth="1"/>
    <col min="779" max="779" width="16.28515625" style="62" customWidth="1"/>
    <col min="780" max="1024" width="9.28515625" style="62"/>
    <col min="1025" max="1025" width="15" style="62" customWidth="1"/>
    <col min="1026" max="1026" width="12.7109375" style="62" customWidth="1"/>
    <col min="1027" max="1027" width="11.7109375" style="62" customWidth="1"/>
    <col min="1028" max="1028" width="44.85546875" style="62" customWidth="1"/>
    <col min="1029" max="1029" width="54.7109375" style="62" customWidth="1"/>
    <col min="1030" max="1030" width="15.28515625" style="62" customWidth="1"/>
    <col min="1031" max="1032" width="19.28515625" style="62" customWidth="1"/>
    <col min="1033" max="1033" width="13.85546875" style="62" customWidth="1"/>
    <col min="1034" max="1034" width="25.28515625" style="62" customWidth="1"/>
    <col min="1035" max="1035" width="16.28515625" style="62" customWidth="1"/>
    <col min="1036" max="1280" width="9.28515625" style="62"/>
    <col min="1281" max="1281" width="15" style="62" customWidth="1"/>
    <col min="1282" max="1282" width="12.7109375" style="62" customWidth="1"/>
    <col min="1283" max="1283" width="11.7109375" style="62" customWidth="1"/>
    <col min="1284" max="1284" width="44.85546875" style="62" customWidth="1"/>
    <col min="1285" max="1285" width="54.7109375" style="62" customWidth="1"/>
    <col min="1286" max="1286" width="15.28515625" style="62" customWidth="1"/>
    <col min="1287" max="1288" width="19.28515625" style="62" customWidth="1"/>
    <col min="1289" max="1289" width="13.85546875" style="62" customWidth="1"/>
    <col min="1290" max="1290" width="25.28515625" style="62" customWidth="1"/>
    <col min="1291" max="1291" width="16.28515625" style="62" customWidth="1"/>
    <col min="1292" max="1536" width="9.28515625" style="62"/>
    <col min="1537" max="1537" width="15" style="62" customWidth="1"/>
    <col min="1538" max="1538" width="12.7109375" style="62" customWidth="1"/>
    <col min="1539" max="1539" width="11.7109375" style="62" customWidth="1"/>
    <col min="1540" max="1540" width="44.85546875" style="62" customWidth="1"/>
    <col min="1541" max="1541" width="54.7109375" style="62" customWidth="1"/>
    <col min="1542" max="1542" width="15.28515625" style="62" customWidth="1"/>
    <col min="1543" max="1544" width="19.28515625" style="62" customWidth="1"/>
    <col min="1545" max="1545" width="13.85546875" style="62" customWidth="1"/>
    <col min="1546" max="1546" width="25.28515625" style="62" customWidth="1"/>
    <col min="1547" max="1547" width="16.28515625" style="62" customWidth="1"/>
    <col min="1548" max="1792" width="9.28515625" style="62"/>
    <col min="1793" max="1793" width="15" style="62" customWidth="1"/>
    <col min="1794" max="1794" width="12.7109375" style="62" customWidth="1"/>
    <col min="1795" max="1795" width="11.7109375" style="62" customWidth="1"/>
    <col min="1796" max="1796" width="44.85546875" style="62" customWidth="1"/>
    <col min="1797" max="1797" width="54.7109375" style="62" customWidth="1"/>
    <col min="1798" max="1798" width="15.28515625" style="62" customWidth="1"/>
    <col min="1799" max="1800" width="19.28515625" style="62" customWidth="1"/>
    <col min="1801" max="1801" width="13.85546875" style="62" customWidth="1"/>
    <col min="1802" max="1802" width="25.28515625" style="62" customWidth="1"/>
    <col min="1803" max="1803" width="16.28515625" style="62" customWidth="1"/>
    <col min="1804" max="2048" width="9.28515625" style="62"/>
    <col min="2049" max="2049" width="15" style="62" customWidth="1"/>
    <col min="2050" max="2050" width="12.7109375" style="62" customWidth="1"/>
    <col min="2051" max="2051" width="11.7109375" style="62" customWidth="1"/>
    <col min="2052" max="2052" width="44.85546875" style="62" customWidth="1"/>
    <col min="2053" max="2053" width="54.7109375" style="62" customWidth="1"/>
    <col min="2054" max="2054" width="15.28515625" style="62" customWidth="1"/>
    <col min="2055" max="2056" width="19.28515625" style="62" customWidth="1"/>
    <col min="2057" max="2057" width="13.85546875" style="62" customWidth="1"/>
    <col min="2058" max="2058" width="25.28515625" style="62" customWidth="1"/>
    <col min="2059" max="2059" width="16.28515625" style="62" customWidth="1"/>
    <col min="2060" max="2304" width="9.28515625" style="62"/>
    <col min="2305" max="2305" width="15" style="62" customWidth="1"/>
    <col min="2306" max="2306" width="12.7109375" style="62" customWidth="1"/>
    <col min="2307" max="2307" width="11.7109375" style="62" customWidth="1"/>
    <col min="2308" max="2308" width="44.85546875" style="62" customWidth="1"/>
    <col min="2309" max="2309" width="54.7109375" style="62" customWidth="1"/>
    <col min="2310" max="2310" width="15.28515625" style="62" customWidth="1"/>
    <col min="2311" max="2312" width="19.28515625" style="62" customWidth="1"/>
    <col min="2313" max="2313" width="13.85546875" style="62" customWidth="1"/>
    <col min="2314" max="2314" width="25.28515625" style="62" customWidth="1"/>
    <col min="2315" max="2315" width="16.28515625" style="62" customWidth="1"/>
    <col min="2316" max="2560" width="9.28515625" style="62"/>
    <col min="2561" max="2561" width="15" style="62" customWidth="1"/>
    <col min="2562" max="2562" width="12.7109375" style="62" customWidth="1"/>
    <col min="2563" max="2563" width="11.7109375" style="62" customWidth="1"/>
    <col min="2564" max="2564" width="44.85546875" style="62" customWidth="1"/>
    <col min="2565" max="2565" width="54.7109375" style="62" customWidth="1"/>
    <col min="2566" max="2566" width="15.28515625" style="62" customWidth="1"/>
    <col min="2567" max="2568" width="19.28515625" style="62" customWidth="1"/>
    <col min="2569" max="2569" width="13.85546875" style="62" customWidth="1"/>
    <col min="2570" max="2570" width="25.28515625" style="62" customWidth="1"/>
    <col min="2571" max="2571" width="16.28515625" style="62" customWidth="1"/>
    <col min="2572" max="2816" width="9.28515625" style="62"/>
    <col min="2817" max="2817" width="15" style="62" customWidth="1"/>
    <col min="2818" max="2818" width="12.7109375" style="62" customWidth="1"/>
    <col min="2819" max="2819" width="11.7109375" style="62" customWidth="1"/>
    <col min="2820" max="2820" width="44.85546875" style="62" customWidth="1"/>
    <col min="2821" max="2821" width="54.7109375" style="62" customWidth="1"/>
    <col min="2822" max="2822" width="15.28515625" style="62" customWidth="1"/>
    <col min="2823" max="2824" width="19.28515625" style="62" customWidth="1"/>
    <col min="2825" max="2825" width="13.85546875" style="62" customWidth="1"/>
    <col min="2826" max="2826" width="25.28515625" style="62" customWidth="1"/>
    <col min="2827" max="2827" width="16.28515625" style="62" customWidth="1"/>
    <col min="2828" max="3072" width="9.28515625" style="62"/>
    <col min="3073" max="3073" width="15" style="62" customWidth="1"/>
    <col min="3074" max="3074" width="12.7109375" style="62" customWidth="1"/>
    <col min="3075" max="3075" width="11.7109375" style="62" customWidth="1"/>
    <col min="3076" max="3076" width="44.85546875" style="62" customWidth="1"/>
    <col min="3077" max="3077" width="54.7109375" style="62" customWidth="1"/>
    <col min="3078" max="3078" width="15.28515625" style="62" customWidth="1"/>
    <col min="3079" max="3080" width="19.28515625" style="62" customWidth="1"/>
    <col min="3081" max="3081" width="13.85546875" style="62" customWidth="1"/>
    <col min="3082" max="3082" width="25.28515625" style="62" customWidth="1"/>
    <col min="3083" max="3083" width="16.28515625" style="62" customWidth="1"/>
    <col min="3084" max="3328" width="9.28515625" style="62"/>
    <col min="3329" max="3329" width="15" style="62" customWidth="1"/>
    <col min="3330" max="3330" width="12.7109375" style="62" customWidth="1"/>
    <col min="3331" max="3331" width="11.7109375" style="62" customWidth="1"/>
    <col min="3332" max="3332" width="44.85546875" style="62" customWidth="1"/>
    <col min="3333" max="3333" width="54.7109375" style="62" customWidth="1"/>
    <col min="3334" max="3334" width="15.28515625" style="62" customWidth="1"/>
    <col min="3335" max="3336" width="19.28515625" style="62" customWidth="1"/>
    <col min="3337" max="3337" width="13.85546875" style="62" customWidth="1"/>
    <col min="3338" max="3338" width="25.28515625" style="62" customWidth="1"/>
    <col min="3339" max="3339" width="16.28515625" style="62" customWidth="1"/>
    <col min="3340" max="3584" width="9.28515625" style="62"/>
    <col min="3585" max="3585" width="15" style="62" customWidth="1"/>
    <col min="3586" max="3586" width="12.7109375" style="62" customWidth="1"/>
    <col min="3587" max="3587" width="11.7109375" style="62" customWidth="1"/>
    <col min="3588" max="3588" width="44.85546875" style="62" customWidth="1"/>
    <col min="3589" max="3589" width="54.7109375" style="62" customWidth="1"/>
    <col min="3590" max="3590" width="15.28515625" style="62" customWidth="1"/>
    <col min="3591" max="3592" width="19.28515625" style="62" customWidth="1"/>
    <col min="3593" max="3593" width="13.85546875" style="62" customWidth="1"/>
    <col min="3594" max="3594" width="25.28515625" style="62" customWidth="1"/>
    <col min="3595" max="3595" width="16.28515625" style="62" customWidth="1"/>
    <col min="3596" max="3840" width="9.28515625" style="62"/>
    <col min="3841" max="3841" width="15" style="62" customWidth="1"/>
    <col min="3842" max="3842" width="12.7109375" style="62" customWidth="1"/>
    <col min="3843" max="3843" width="11.7109375" style="62" customWidth="1"/>
    <col min="3844" max="3844" width="44.85546875" style="62" customWidth="1"/>
    <col min="3845" max="3845" width="54.7109375" style="62" customWidth="1"/>
    <col min="3846" max="3846" width="15.28515625" style="62" customWidth="1"/>
    <col min="3847" max="3848" width="19.28515625" style="62" customWidth="1"/>
    <col min="3849" max="3849" width="13.85546875" style="62" customWidth="1"/>
    <col min="3850" max="3850" width="25.28515625" style="62" customWidth="1"/>
    <col min="3851" max="3851" width="16.28515625" style="62" customWidth="1"/>
    <col min="3852" max="4096" width="9.28515625" style="62"/>
    <col min="4097" max="4097" width="15" style="62" customWidth="1"/>
    <col min="4098" max="4098" width="12.7109375" style="62" customWidth="1"/>
    <col min="4099" max="4099" width="11.7109375" style="62" customWidth="1"/>
    <col min="4100" max="4100" width="44.85546875" style="62" customWidth="1"/>
    <col min="4101" max="4101" width="54.7109375" style="62" customWidth="1"/>
    <col min="4102" max="4102" width="15.28515625" style="62" customWidth="1"/>
    <col min="4103" max="4104" width="19.28515625" style="62" customWidth="1"/>
    <col min="4105" max="4105" width="13.85546875" style="62" customWidth="1"/>
    <col min="4106" max="4106" width="25.28515625" style="62" customWidth="1"/>
    <col min="4107" max="4107" width="16.28515625" style="62" customWidth="1"/>
    <col min="4108" max="4352" width="9.28515625" style="62"/>
    <col min="4353" max="4353" width="15" style="62" customWidth="1"/>
    <col min="4354" max="4354" width="12.7109375" style="62" customWidth="1"/>
    <col min="4355" max="4355" width="11.7109375" style="62" customWidth="1"/>
    <col min="4356" max="4356" width="44.85546875" style="62" customWidth="1"/>
    <col min="4357" max="4357" width="54.7109375" style="62" customWidth="1"/>
    <col min="4358" max="4358" width="15.28515625" style="62" customWidth="1"/>
    <col min="4359" max="4360" width="19.28515625" style="62" customWidth="1"/>
    <col min="4361" max="4361" width="13.85546875" style="62" customWidth="1"/>
    <col min="4362" max="4362" width="25.28515625" style="62" customWidth="1"/>
    <col min="4363" max="4363" width="16.28515625" style="62" customWidth="1"/>
    <col min="4364" max="4608" width="9.28515625" style="62"/>
    <col min="4609" max="4609" width="15" style="62" customWidth="1"/>
    <col min="4610" max="4610" width="12.7109375" style="62" customWidth="1"/>
    <col min="4611" max="4611" width="11.7109375" style="62" customWidth="1"/>
    <col min="4612" max="4612" width="44.85546875" style="62" customWidth="1"/>
    <col min="4613" max="4613" width="54.7109375" style="62" customWidth="1"/>
    <col min="4614" max="4614" width="15.28515625" style="62" customWidth="1"/>
    <col min="4615" max="4616" width="19.28515625" style="62" customWidth="1"/>
    <col min="4617" max="4617" width="13.85546875" style="62" customWidth="1"/>
    <col min="4618" max="4618" width="25.28515625" style="62" customWidth="1"/>
    <col min="4619" max="4619" width="16.28515625" style="62" customWidth="1"/>
    <col min="4620" max="4864" width="9.28515625" style="62"/>
    <col min="4865" max="4865" width="15" style="62" customWidth="1"/>
    <col min="4866" max="4866" width="12.7109375" style="62" customWidth="1"/>
    <col min="4867" max="4867" width="11.7109375" style="62" customWidth="1"/>
    <col min="4868" max="4868" width="44.85546875" style="62" customWidth="1"/>
    <col min="4869" max="4869" width="54.7109375" style="62" customWidth="1"/>
    <col min="4870" max="4870" width="15.28515625" style="62" customWidth="1"/>
    <col min="4871" max="4872" width="19.28515625" style="62" customWidth="1"/>
    <col min="4873" max="4873" width="13.85546875" style="62" customWidth="1"/>
    <col min="4874" max="4874" width="25.28515625" style="62" customWidth="1"/>
    <col min="4875" max="4875" width="16.28515625" style="62" customWidth="1"/>
    <col min="4876" max="5120" width="9.28515625" style="62"/>
    <col min="5121" max="5121" width="15" style="62" customWidth="1"/>
    <col min="5122" max="5122" width="12.7109375" style="62" customWidth="1"/>
    <col min="5123" max="5123" width="11.7109375" style="62" customWidth="1"/>
    <col min="5124" max="5124" width="44.85546875" style="62" customWidth="1"/>
    <col min="5125" max="5125" width="54.7109375" style="62" customWidth="1"/>
    <col min="5126" max="5126" width="15.28515625" style="62" customWidth="1"/>
    <col min="5127" max="5128" width="19.28515625" style="62" customWidth="1"/>
    <col min="5129" max="5129" width="13.85546875" style="62" customWidth="1"/>
    <col min="5130" max="5130" width="25.28515625" style="62" customWidth="1"/>
    <col min="5131" max="5131" width="16.28515625" style="62" customWidth="1"/>
    <col min="5132" max="5376" width="9.28515625" style="62"/>
    <col min="5377" max="5377" width="15" style="62" customWidth="1"/>
    <col min="5378" max="5378" width="12.7109375" style="62" customWidth="1"/>
    <col min="5379" max="5379" width="11.7109375" style="62" customWidth="1"/>
    <col min="5380" max="5380" width="44.85546875" style="62" customWidth="1"/>
    <col min="5381" max="5381" width="54.7109375" style="62" customWidth="1"/>
    <col min="5382" max="5382" width="15.28515625" style="62" customWidth="1"/>
    <col min="5383" max="5384" width="19.28515625" style="62" customWidth="1"/>
    <col min="5385" max="5385" width="13.85546875" style="62" customWidth="1"/>
    <col min="5386" max="5386" width="25.28515625" style="62" customWidth="1"/>
    <col min="5387" max="5387" width="16.28515625" style="62" customWidth="1"/>
    <col min="5388" max="5632" width="9.28515625" style="62"/>
    <col min="5633" max="5633" width="15" style="62" customWidth="1"/>
    <col min="5634" max="5634" width="12.7109375" style="62" customWidth="1"/>
    <col min="5635" max="5635" width="11.7109375" style="62" customWidth="1"/>
    <col min="5636" max="5636" width="44.85546875" style="62" customWidth="1"/>
    <col min="5637" max="5637" width="54.7109375" style="62" customWidth="1"/>
    <col min="5638" max="5638" width="15.28515625" style="62" customWidth="1"/>
    <col min="5639" max="5640" width="19.28515625" style="62" customWidth="1"/>
    <col min="5641" max="5641" width="13.85546875" style="62" customWidth="1"/>
    <col min="5642" max="5642" width="25.28515625" style="62" customWidth="1"/>
    <col min="5643" max="5643" width="16.28515625" style="62" customWidth="1"/>
    <col min="5644" max="5888" width="9.28515625" style="62"/>
    <col min="5889" max="5889" width="15" style="62" customWidth="1"/>
    <col min="5890" max="5890" width="12.7109375" style="62" customWidth="1"/>
    <col min="5891" max="5891" width="11.7109375" style="62" customWidth="1"/>
    <col min="5892" max="5892" width="44.85546875" style="62" customWidth="1"/>
    <col min="5893" max="5893" width="54.7109375" style="62" customWidth="1"/>
    <col min="5894" max="5894" width="15.28515625" style="62" customWidth="1"/>
    <col min="5895" max="5896" width="19.28515625" style="62" customWidth="1"/>
    <col min="5897" max="5897" width="13.85546875" style="62" customWidth="1"/>
    <col min="5898" max="5898" width="25.28515625" style="62" customWidth="1"/>
    <col min="5899" max="5899" width="16.28515625" style="62" customWidth="1"/>
    <col min="5900" max="6144" width="9.28515625" style="62"/>
    <col min="6145" max="6145" width="15" style="62" customWidth="1"/>
    <col min="6146" max="6146" width="12.7109375" style="62" customWidth="1"/>
    <col min="6147" max="6147" width="11.7109375" style="62" customWidth="1"/>
    <col min="6148" max="6148" width="44.85546875" style="62" customWidth="1"/>
    <col min="6149" max="6149" width="54.7109375" style="62" customWidth="1"/>
    <col min="6150" max="6150" width="15.28515625" style="62" customWidth="1"/>
    <col min="6151" max="6152" width="19.28515625" style="62" customWidth="1"/>
    <col min="6153" max="6153" width="13.85546875" style="62" customWidth="1"/>
    <col min="6154" max="6154" width="25.28515625" style="62" customWidth="1"/>
    <col min="6155" max="6155" width="16.28515625" style="62" customWidth="1"/>
    <col min="6156" max="6400" width="9.28515625" style="62"/>
    <col min="6401" max="6401" width="15" style="62" customWidth="1"/>
    <col min="6402" max="6402" width="12.7109375" style="62" customWidth="1"/>
    <col min="6403" max="6403" width="11.7109375" style="62" customWidth="1"/>
    <col min="6404" max="6404" width="44.85546875" style="62" customWidth="1"/>
    <col min="6405" max="6405" width="54.7109375" style="62" customWidth="1"/>
    <col min="6406" max="6406" width="15.28515625" style="62" customWidth="1"/>
    <col min="6407" max="6408" width="19.28515625" style="62" customWidth="1"/>
    <col min="6409" max="6409" width="13.85546875" style="62" customWidth="1"/>
    <col min="6410" max="6410" width="25.28515625" style="62" customWidth="1"/>
    <col min="6411" max="6411" width="16.28515625" style="62" customWidth="1"/>
    <col min="6412" max="6656" width="9.28515625" style="62"/>
    <col min="6657" max="6657" width="15" style="62" customWidth="1"/>
    <col min="6658" max="6658" width="12.7109375" style="62" customWidth="1"/>
    <col min="6659" max="6659" width="11.7109375" style="62" customWidth="1"/>
    <col min="6660" max="6660" width="44.85546875" style="62" customWidth="1"/>
    <col min="6661" max="6661" width="54.7109375" style="62" customWidth="1"/>
    <col min="6662" max="6662" width="15.28515625" style="62" customWidth="1"/>
    <col min="6663" max="6664" width="19.28515625" style="62" customWidth="1"/>
    <col min="6665" max="6665" width="13.85546875" style="62" customWidth="1"/>
    <col min="6666" max="6666" width="25.28515625" style="62" customWidth="1"/>
    <col min="6667" max="6667" width="16.28515625" style="62" customWidth="1"/>
    <col min="6668" max="6912" width="9.28515625" style="62"/>
    <col min="6913" max="6913" width="15" style="62" customWidth="1"/>
    <col min="6914" max="6914" width="12.7109375" style="62" customWidth="1"/>
    <col min="6915" max="6915" width="11.7109375" style="62" customWidth="1"/>
    <col min="6916" max="6916" width="44.85546875" style="62" customWidth="1"/>
    <col min="6917" max="6917" width="54.7109375" style="62" customWidth="1"/>
    <col min="6918" max="6918" width="15.28515625" style="62" customWidth="1"/>
    <col min="6919" max="6920" width="19.28515625" style="62" customWidth="1"/>
    <col min="6921" max="6921" width="13.85546875" style="62" customWidth="1"/>
    <col min="6922" max="6922" width="25.28515625" style="62" customWidth="1"/>
    <col min="6923" max="6923" width="16.28515625" style="62" customWidth="1"/>
    <col min="6924" max="7168" width="9.28515625" style="62"/>
    <col min="7169" max="7169" width="15" style="62" customWidth="1"/>
    <col min="7170" max="7170" width="12.7109375" style="62" customWidth="1"/>
    <col min="7171" max="7171" width="11.7109375" style="62" customWidth="1"/>
    <col min="7172" max="7172" width="44.85546875" style="62" customWidth="1"/>
    <col min="7173" max="7173" width="54.7109375" style="62" customWidth="1"/>
    <col min="7174" max="7174" width="15.28515625" style="62" customWidth="1"/>
    <col min="7175" max="7176" width="19.28515625" style="62" customWidth="1"/>
    <col min="7177" max="7177" width="13.85546875" style="62" customWidth="1"/>
    <col min="7178" max="7178" width="25.28515625" style="62" customWidth="1"/>
    <col min="7179" max="7179" width="16.28515625" style="62" customWidth="1"/>
    <col min="7180" max="7424" width="9.28515625" style="62"/>
    <col min="7425" max="7425" width="15" style="62" customWidth="1"/>
    <col min="7426" max="7426" width="12.7109375" style="62" customWidth="1"/>
    <col min="7427" max="7427" width="11.7109375" style="62" customWidth="1"/>
    <col min="7428" max="7428" width="44.85546875" style="62" customWidth="1"/>
    <col min="7429" max="7429" width="54.7109375" style="62" customWidth="1"/>
    <col min="7430" max="7430" width="15.28515625" style="62" customWidth="1"/>
    <col min="7431" max="7432" width="19.28515625" style="62" customWidth="1"/>
    <col min="7433" max="7433" width="13.85546875" style="62" customWidth="1"/>
    <col min="7434" max="7434" width="25.28515625" style="62" customWidth="1"/>
    <col min="7435" max="7435" width="16.28515625" style="62" customWidth="1"/>
    <col min="7436" max="7680" width="9.28515625" style="62"/>
    <col min="7681" max="7681" width="15" style="62" customWidth="1"/>
    <col min="7682" max="7682" width="12.7109375" style="62" customWidth="1"/>
    <col min="7683" max="7683" width="11.7109375" style="62" customWidth="1"/>
    <col min="7684" max="7684" width="44.85546875" style="62" customWidth="1"/>
    <col min="7685" max="7685" width="54.7109375" style="62" customWidth="1"/>
    <col min="7686" max="7686" width="15.28515625" style="62" customWidth="1"/>
    <col min="7687" max="7688" width="19.28515625" style="62" customWidth="1"/>
    <col min="7689" max="7689" width="13.85546875" style="62" customWidth="1"/>
    <col min="7690" max="7690" width="25.28515625" style="62" customWidth="1"/>
    <col min="7691" max="7691" width="16.28515625" style="62" customWidth="1"/>
    <col min="7692" max="7936" width="9.28515625" style="62"/>
    <col min="7937" max="7937" width="15" style="62" customWidth="1"/>
    <col min="7938" max="7938" width="12.7109375" style="62" customWidth="1"/>
    <col min="7939" max="7939" width="11.7109375" style="62" customWidth="1"/>
    <col min="7940" max="7940" width="44.85546875" style="62" customWidth="1"/>
    <col min="7941" max="7941" width="54.7109375" style="62" customWidth="1"/>
    <col min="7942" max="7942" width="15.28515625" style="62" customWidth="1"/>
    <col min="7943" max="7944" width="19.28515625" style="62" customWidth="1"/>
    <col min="7945" max="7945" width="13.85546875" style="62" customWidth="1"/>
    <col min="7946" max="7946" width="25.28515625" style="62" customWidth="1"/>
    <col min="7947" max="7947" width="16.28515625" style="62" customWidth="1"/>
    <col min="7948" max="8192" width="9.28515625" style="62"/>
    <col min="8193" max="8193" width="15" style="62" customWidth="1"/>
    <col min="8194" max="8194" width="12.7109375" style="62" customWidth="1"/>
    <col min="8195" max="8195" width="11.7109375" style="62" customWidth="1"/>
    <col min="8196" max="8196" width="44.85546875" style="62" customWidth="1"/>
    <col min="8197" max="8197" width="54.7109375" style="62" customWidth="1"/>
    <col min="8198" max="8198" width="15.28515625" style="62" customWidth="1"/>
    <col min="8199" max="8200" width="19.28515625" style="62" customWidth="1"/>
    <col min="8201" max="8201" width="13.85546875" style="62" customWidth="1"/>
    <col min="8202" max="8202" width="25.28515625" style="62" customWidth="1"/>
    <col min="8203" max="8203" width="16.28515625" style="62" customWidth="1"/>
    <col min="8204" max="8448" width="9.28515625" style="62"/>
    <col min="8449" max="8449" width="15" style="62" customWidth="1"/>
    <col min="8450" max="8450" width="12.7109375" style="62" customWidth="1"/>
    <col min="8451" max="8451" width="11.7109375" style="62" customWidth="1"/>
    <col min="8452" max="8452" width="44.85546875" style="62" customWidth="1"/>
    <col min="8453" max="8453" width="54.7109375" style="62" customWidth="1"/>
    <col min="8454" max="8454" width="15.28515625" style="62" customWidth="1"/>
    <col min="8455" max="8456" width="19.28515625" style="62" customWidth="1"/>
    <col min="8457" max="8457" width="13.85546875" style="62" customWidth="1"/>
    <col min="8458" max="8458" width="25.28515625" style="62" customWidth="1"/>
    <col min="8459" max="8459" width="16.28515625" style="62" customWidth="1"/>
    <col min="8460" max="8704" width="9.28515625" style="62"/>
    <col min="8705" max="8705" width="15" style="62" customWidth="1"/>
    <col min="8706" max="8706" width="12.7109375" style="62" customWidth="1"/>
    <col min="8707" max="8707" width="11.7109375" style="62" customWidth="1"/>
    <col min="8708" max="8708" width="44.85546875" style="62" customWidth="1"/>
    <col min="8709" max="8709" width="54.7109375" style="62" customWidth="1"/>
    <col min="8710" max="8710" width="15.28515625" style="62" customWidth="1"/>
    <col min="8711" max="8712" width="19.28515625" style="62" customWidth="1"/>
    <col min="8713" max="8713" width="13.85546875" style="62" customWidth="1"/>
    <col min="8714" max="8714" width="25.28515625" style="62" customWidth="1"/>
    <col min="8715" max="8715" width="16.28515625" style="62" customWidth="1"/>
    <col min="8716" max="8960" width="9.28515625" style="62"/>
    <col min="8961" max="8961" width="15" style="62" customWidth="1"/>
    <col min="8962" max="8962" width="12.7109375" style="62" customWidth="1"/>
    <col min="8963" max="8963" width="11.7109375" style="62" customWidth="1"/>
    <col min="8964" max="8964" width="44.85546875" style="62" customWidth="1"/>
    <col min="8965" max="8965" width="54.7109375" style="62" customWidth="1"/>
    <col min="8966" max="8966" width="15.28515625" style="62" customWidth="1"/>
    <col min="8967" max="8968" width="19.28515625" style="62" customWidth="1"/>
    <col min="8969" max="8969" width="13.85546875" style="62" customWidth="1"/>
    <col min="8970" max="8970" width="25.28515625" style="62" customWidth="1"/>
    <col min="8971" max="8971" width="16.28515625" style="62" customWidth="1"/>
    <col min="8972" max="9216" width="9.28515625" style="62"/>
    <col min="9217" max="9217" width="15" style="62" customWidth="1"/>
    <col min="9218" max="9218" width="12.7109375" style="62" customWidth="1"/>
    <col min="9219" max="9219" width="11.7109375" style="62" customWidth="1"/>
    <col min="9220" max="9220" width="44.85546875" style="62" customWidth="1"/>
    <col min="9221" max="9221" width="54.7109375" style="62" customWidth="1"/>
    <col min="9222" max="9222" width="15.28515625" style="62" customWidth="1"/>
    <col min="9223" max="9224" width="19.28515625" style="62" customWidth="1"/>
    <col min="9225" max="9225" width="13.85546875" style="62" customWidth="1"/>
    <col min="9226" max="9226" width="25.28515625" style="62" customWidth="1"/>
    <col min="9227" max="9227" width="16.28515625" style="62" customWidth="1"/>
    <col min="9228" max="9472" width="9.28515625" style="62"/>
    <col min="9473" max="9473" width="15" style="62" customWidth="1"/>
    <col min="9474" max="9474" width="12.7109375" style="62" customWidth="1"/>
    <col min="9475" max="9475" width="11.7109375" style="62" customWidth="1"/>
    <col min="9476" max="9476" width="44.85546875" style="62" customWidth="1"/>
    <col min="9477" max="9477" width="54.7109375" style="62" customWidth="1"/>
    <col min="9478" max="9478" width="15.28515625" style="62" customWidth="1"/>
    <col min="9479" max="9480" width="19.28515625" style="62" customWidth="1"/>
    <col min="9481" max="9481" width="13.85546875" style="62" customWidth="1"/>
    <col min="9482" max="9482" width="25.28515625" style="62" customWidth="1"/>
    <col min="9483" max="9483" width="16.28515625" style="62" customWidth="1"/>
    <col min="9484" max="9728" width="9.28515625" style="62"/>
    <col min="9729" max="9729" width="15" style="62" customWidth="1"/>
    <col min="9730" max="9730" width="12.7109375" style="62" customWidth="1"/>
    <col min="9731" max="9731" width="11.7109375" style="62" customWidth="1"/>
    <col min="9732" max="9732" width="44.85546875" style="62" customWidth="1"/>
    <col min="9733" max="9733" width="54.7109375" style="62" customWidth="1"/>
    <col min="9734" max="9734" width="15.28515625" style="62" customWidth="1"/>
    <col min="9735" max="9736" width="19.28515625" style="62" customWidth="1"/>
    <col min="9737" max="9737" width="13.85546875" style="62" customWidth="1"/>
    <col min="9738" max="9738" width="25.28515625" style="62" customWidth="1"/>
    <col min="9739" max="9739" width="16.28515625" style="62" customWidth="1"/>
    <col min="9740" max="9984" width="9.28515625" style="62"/>
    <col min="9985" max="9985" width="15" style="62" customWidth="1"/>
    <col min="9986" max="9986" width="12.7109375" style="62" customWidth="1"/>
    <col min="9987" max="9987" width="11.7109375" style="62" customWidth="1"/>
    <col min="9988" max="9988" width="44.85546875" style="62" customWidth="1"/>
    <col min="9989" max="9989" width="54.7109375" style="62" customWidth="1"/>
    <col min="9990" max="9990" width="15.28515625" style="62" customWidth="1"/>
    <col min="9991" max="9992" width="19.28515625" style="62" customWidth="1"/>
    <col min="9993" max="9993" width="13.85546875" style="62" customWidth="1"/>
    <col min="9994" max="9994" width="25.28515625" style="62" customWidth="1"/>
    <col min="9995" max="9995" width="16.28515625" style="62" customWidth="1"/>
    <col min="9996" max="10240" width="9.28515625" style="62"/>
    <col min="10241" max="10241" width="15" style="62" customWidth="1"/>
    <col min="10242" max="10242" width="12.7109375" style="62" customWidth="1"/>
    <col min="10243" max="10243" width="11.7109375" style="62" customWidth="1"/>
    <col min="10244" max="10244" width="44.85546875" style="62" customWidth="1"/>
    <col min="10245" max="10245" width="54.7109375" style="62" customWidth="1"/>
    <col min="10246" max="10246" width="15.28515625" style="62" customWidth="1"/>
    <col min="10247" max="10248" width="19.28515625" style="62" customWidth="1"/>
    <col min="10249" max="10249" width="13.85546875" style="62" customWidth="1"/>
    <col min="10250" max="10250" width="25.28515625" style="62" customWidth="1"/>
    <col min="10251" max="10251" width="16.28515625" style="62" customWidth="1"/>
    <col min="10252" max="10496" width="9.28515625" style="62"/>
    <col min="10497" max="10497" width="15" style="62" customWidth="1"/>
    <col min="10498" max="10498" width="12.7109375" style="62" customWidth="1"/>
    <col min="10499" max="10499" width="11.7109375" style="62" customWidth="1"/>
    <col min="10500" max="10500" width="44.85546875" style="62" customWidth="1"/>
    <col min="10501" max="10501" width="54.7109375" style="62" customWidth="1"/>
    <col min="10502" max="10502" width="15.28515625" style="62" customWidth="1"/>
    <col min="10503" max="10504" width="19.28515625" style="62" customWidth="1"/>
    <col min="10505" max="10505" width="13.85546875" style="62" customWidth="1"/>
    <col min="10506" max="10506" width="25.28515625" style="62" customWidth="1"/>
    <col min="10507" max="10507" width="16.28515625" style="62" customWidth="1"/>
    <col min="10508" max="10752" width="9.28515625" style="62"/>
    <col min="10753" max="10753" width="15" style="62" customWidth="1"/>
    <col min="10754" max="10754" width="12.7109375" style="62" customWidth="1"/>
    <col min="10755" max="10755" width="11.7109375" style="62" customWidth="1"/>
    <col min="10756" max="10756" width="44.85546875" style="62" customWidth="1"/>
    <col min="10757" max="10757" width="54.7109375" style="62" customWidth="1"/>
    <col min="10758" max="10758" width="15.28515625" style="62" customWidth="1"/>
    <col min="10759" max="10760" width="19.28515625" style="62" customWidth="1"/>
    <col min="10761" max="10761" width="13.85546875" style="62" customWidth="1"/>
    <col min="10762" max="10762" width="25.28515625" style="62" customWidth="1"/>
    <col min="10763" max="10763" width="16.28515625" style="62" customWidth="1"/>
    <col min="10764" max="11008" width="9.28515625" style="62"/>
    <col min="11009" max="11009" width="15" style="62" customWidth="1"/>
    <col min="11010" max="11010" width="12.7109375" style="62" customWidth="1"/>
    <col min="11011" max="11011" width="11.7109375" style="62" customWidth="1"/>
    <col min="11012" max="11012" width="44.85546875" style="62" customWidth="1"/>
    <col min="11013" max="11013" width="54.7109375" style="62" customWidth="1"/>
    <col min="11014" max="11014" width="15.28515625" style="62" customWidth="1"/>
    <col min="11015" max="11016" width="19.28515625" style="62" customWidth="1"/>
    <col min="11017" max="11017" width="13.85546875" style="62" customWidth="1"/>
    <col min="11018" max="11018" width="25.28515625" style="62" customWidth="1"/>
    <col min="11019" max="11019" width="16.28515625" style="62" customWidth="1"/>
    <col min="11020" max="11264" width="9.28515625" style="62"/>
    <col min="11265" max="11265" width="15" style="62" customWidth="1"/>
    <col min="11266" max="11266" width="12.7109375" style="62" customWidth="1"/>
    <col min="11267" max="11267" width="11.7109375" style="62" customWidth="1"/>
    <col min="11268" max="11268" width="44.85546875" style="62" customWidth="1"/>
    <col min="11269" max="11269" width="54.7109375" style="62" customWidth="1"/>
    <col min="11270" max="11270" width="15.28515625" style="62" customWidth="1"/>
    <col min="11271" max="11272" width="19.28515625" style="62" customWidth="1"/>
    <col min="11273" max="11273" width="13.85546875" style="62" customWidth="1"/>
    <col min="11274" max="11274" width="25.28515625" style="62" customWidth="1"/>
    <col min="11275" max="11275" width="16.28515625" style="62" customWidth="1"/>
    <col min="11276" max="11520" width="9.28515625" style="62"/>
    <col min="11521" max="11521" width="15" style="62" customWidth="1"/>
    <col min="11522" max="11522" width="12.7109375" style="62" customWidth="1"/>
    <col min="11523" max="11523" width="11.7109375" style="62" customWidth="1"/>
    <col min="11524" max="11524" width="44.85546875" style="62" customWidth="1"/>
    <col min="11525" max="11525" width="54.7109375" style="62" customWidth="1"/>
    <col min="11526" max="11526" width="15.28515625" style="62" customWidth="1"/>
    <col min="11527" max="11528" width="19.28515625" style="62" customWidth="1"/>
    <col min="11529" max="11529" width="13.85546875" style="62" customWidth="1"/>
    <col min="11530" max="11530" width="25.28515625" style="62" customWidth="1"/>
    <col min="11531" max="11531" width="16.28515625" style="62" customWidth="1"/>
    <col min="11532" max="11776" width="9.28515625" style="62"/>
    <col min="11777" max="11777" width="15" style="62" customWidth="1"/>
    <col min="11778" max="11778" width="12.7109375" style="62" customWidth="1"/>
    <col min="11779" max="11779" width="11.7109375" style="62" customWidth="1"/>
    <col min="11780" max="11780" width="44.85546875" style="62" customWidth="1"/>
    <col min="11781" max="11781" width="54.7109375" style="62" customWidth="1"/>
    <col min="11782" max="11782" width="15.28515625" style="62" customWidth="1"/>
    <col min="11783" max="11784" width="19.28515625" style="62" customWidth="1"/>
    <col min="11785" max="11785" width="13.85546875" style="62" customWidth="1"/>
    <col min="11786" max="11786" width="25.28515625" style="62" customWidth="1"/>
    <col min="11787" max="11787" width="16.28515625" style="62" customWidth="1"/>
    <col min="11788" max="12032" width="9.28515625" style="62"/>
    <col min="12033" max="12033" width="15" style="62" customWidth="1"/>
    <col min="12034" max="12034" width="12.7109375" style="62" customWidth="1"/>
    <col min="12035" max="12035" width="11.7109375" style="62" customWidth="1"/>
    <col min="12036" max="12036" width="44.85546875" style="62" customWidth="1"/>
    <col min="12037" max="12037" width="54.7109375" style="62" customWidth="1"/>
    <col min="12038" max="12038" width="15.28515625" style="62" customWidth="1"/>
    <col min="12039" max="12040" width="19.28515625" style="62" customWidth="1"/>
    <col min="12041" max="12041" width="13.85546875" style="62" customWidth="1"/>
    <col min="12042" max="12042" width="25.28515625" style="62" customWidth="1"/>
    <col min="12043" max="12043" width="16.28515625" style="62" customWidth="1"/>
    <col min="12044" max="12288" width="9.28515625" style="62"/>
    <col min="12289" max="12289" width="15" style="62" customWidth="1"/>
    <col min="12290" max="12290" width="12.7109375" style="62" customWidth="1"/>
    <col min="12291" max="12291" width="11.7109375" style="62" customWidth="1"/>
    <col min="12292" max="12292" width="44.85546875" style="62" customWidth="1"/>
    <col min="12293" max="12293" width="54.7109375" style="62" customWidth="1"/>
    <col min="12294" max="12294" width="15.28515625" style="62" customWidth="1"/>
    <col min="12295" max="12296" width="19.28515625" style="62" customWidth="1"/>
    <col min="12297" max="12297" width="13.85546875" style="62" customWidth="1"/>
    <col min="12298" max="12298" width="25.28515625" style="62" customWidth="1"/>
    <col min="12299" max="12299" width="16.28515625" style="62" customWidth="1"/>
    <col min="12300" max="12544" width="9.28515625" style="62"/>
    <col min="12545" max="12545" width="15" style="62" customWidth="1"/>
    <col min="12546" max="12546" width="12.7109375" style="62" customWidth="1"/>
    <col min="12547" max="12547" width="11.7109375" style="62" customWidth="1"/>
    <col min="12548" max="12548" width="44.85546875" style="62" customWidth="1"/>
    <col min="12549" max="12549" width="54.7109375" style="62" customWidth="1"/>
    <col min="12550" max="12550" width="15.28515625" style="62" customWidth="1"/>
    <col min="12551" max="12552" width="19.28515625" style="62" customWidth="1"/>
    <col min="12553" max="12553" width="13.85546875" style="62" customWidth="1"/>
    <col min="12554" max="12554" width="25.28515625" style="62" customWidth="1"/>
    <col min="12555" max="12555" width="16.28515625" style="62" customWidth="1"/>
    <col min="12556" max="12800" width="9.28515625" style="62"/>
    <col min="12801" max="12801" width="15" style="62" customWidth="1"/>
    <col min="12802" max="12802" width="12.7109375" style="62" customWidth="1"/>
    <col min="12803" max="12803" width="11.7109375" style="62" customWidth="1"/>
    <col min="12804" max="12804" width="44.85546875" style="62" customWidth="1"/>
    <col min="12805" max="12805" width="54.7109375" style="62" customWidth="1"/>
    <col min="12806" max="12806" width="15.28515625" style="62" customWidth="1"/>
    <col min="12807" max="12808" width="19.28515625" style="62" customWidth="1"/>
    <col min="12809" max="12809" width="13.85546875" style="62" customWidth="1"/>
    <col min="12810" max="12810" width="25.28515625" style="62" customWidth="1"/>
    <col min="12811" max="12811" width="16.28515625" style="62" customWidth="1"/>
    <col min="12812" max="13056" width="9.28515625" style="62"/>
    <col min="13057" max="13057" width="15" style="62" customWidth="1"/>
    <col min="13058" max="13058" width="12.7109375" style="62" customWidth="1"/>
    <col min="13059" max="13059" width="11.7109375" style="62" customWidth="1"/>
    <col min="13060" max="13060" width="44.85546875" style="62" customWidth="1"/>
    <col min="13061" max="13061" width="54.7109375" style="62" customWidth="1"/>
    <col min="13062" max="13062" width="15.28515625" style="62" customWidth="1"/>
    <col min="13063" max="13064" width="19.28515625" style="62" customWidth="1"/>
    <col min="13065" max="13065" width="13.85546875" style="62" customWidth="1"/>
    <col min="13066" max="13066" width="25.28515625" style="62" customWidth="1"/>
    <col min="13067" max="13067" width="16.28515625" style="62" customWidth="1"/>
    <col min="13068" max="13312" width="9.28515625" style="62"/>
    <col min="13313" max="13313" width="15" style="62" customWidth="1"/>
    <col min="13314" max="13314" width="12.7109375" style="62" customWidth="1"/>
    <col min="13315" max="13315" width="11.7109375" style="62" customWidth="1"/>
    <col min="13316" max="13316" width="44.85546875" style="62" customWidth="1"/>
    <col min="13317" max="13317" width="54.7109375" style="62" customWidth="1"/>
    <col min="13318" max="13318" width="15.28515625" style="62" customWidth="1"/>
    <col min="13319" max="13320" width="19.28515625" style="62" customWidth="1"/>
    <col min="13321" max="13321" width="13.85546875" style="62" customWidth="1"/>
    <col min="13322" max="13322" width="25.28515625" style="62" customWidth="1"/>
    <col min="13323" max="13323" width="16.28515625" style="62" customWidth="1"/>
    <col min="13324" max="13568" width="9.28515625" style="62"/>
    <col min="13569" max="13569" width="15" style="62" customWidth="1"/>
    <col min="13570" max="13570" width="12.7109375" style="62" customWidth="1"/>
    <col min="13571" max="13571" width="11.7109375" style="62" customWidth="1"/>
    <col min="13572" max="13572" width="44.85546875" style="62" customWidth="1"/>
    <col min="13573" max="13573" width="54.7109375" style="62" customWidth="1"/>
    <col min="13574" max="13574" width="15.28515625" style="62" customWidth="1"/>
    <col min="13575" max="13576" width="19.28515625" style="62" customWidth="1"/>
    <col min="13577" max="13577" width="13.85546875" style="62" customWidth="1"/>
    <col min="13578" max="13578" width="25.28515625" style="62" customWidth="1"/>
    <col min="13579" max="13579" width="16.28515625" style="62" customWidth="1"/>
    <col min="13580" max="13824" width="9.28515625" style="62"/>
    <col min="13825" max="13825" width="15" style="62" customWidth="1"/>
    <col min="13826" max="13826" width="12.7109375" style="62" customWidth="1"/>
    <col min="13827" max="13827" width="11.7109375" style="62" customWidth="1"/>
    <col min="13828" max="13828" width="44.85546875" style="62" customWidth="1"/>
    <col min="13829" max="13829" width="54.7109375" style="62" customWidth="1"/>
    <col min="13830" max="13830" width="15.28515625" style="62" customWidth="1"/>
    <col min="13831" max="13832" width="19.28515625" style="62" customWidth="1"/>
    <col min="13833" max="13833" width="13.85546875" style="62" customWidth="1"/>
    <col min="13834" max="13834" width="25.28515625" style="62" customWidth="1"/>
    <col min="13835" max="13835" width="16.28515625" style="62" customWidth="1"/>
    <col min="13836" max="14080" width="9.28515625" style="62"/>
    <col min="14081" max="14081" width="15" style="62" customWidth="1"/>
    <col min="14082" max="14082" width="12.7109375" style="62" customWidth="1"/>
    <col min="14083" max="14083" width="11.7109375" style="62" customWidth="1"/>
    <col min="14084" max="14084" width="44.85546875" style="62" customWidth="1"/>
    <col min="14085" max="14085" width="54.7109375" style="62" customWidth="1"/>
    <col min="14086" max="14086" width="15.28515625" style="62" customWidth="1"/>
    <col min="14087" max="14088" width="19.28515625" style="62" customWidth="1"/>
    <col min="14089" max="14089" width="13.85546875" style="62" customWidth="1"/>
    <col min="14090" max="14090" width="25.28515625" style="62" customWidth="1"/>
    <col min="14091" max="14091" width="16.28515625" style="62" customWidth="1"/>
    <col min="14092" max="14336" width="9.28515625" style="62"/>
    <col min="14337" max="14337" width="15" style="62" customWidth="1"/>
    <col min="14338" max="14338" width="12.7109375" style="62" customWidth="1"/>
    <col min="14339" max="14339" width="11.7109375" style="62" customWidth="1"/>
    <col min="14340" max="14340" width="44.85546875" style="62" customWidth="1"/>
    <col min="14341" max="14341" width="54.7109375" style="62" customWidth="1"/>
    <col min="14342" max="14342" width="15.28515625" style="62" customWidth="1"/>
    <col min="14343" max="14344" width="19.28515625" style="62" customWidth="1"/>
    <col min="14345" max="14345" width="13.85546875" style="62" customWidth="1"/>
    <col min="14346" max="14346" width="25.28515625" style="62" customWidth="1"/>
    <col min="14347" max="14347" width="16.28515625" style="62" customWidth="1"/>
    <col min="14348" max="14592" width="9.28515625" style="62"/>
    <col min="14593" max="14593" width="15" style="62" customWidth="1"/>
    <col min="14594" max="14594" width="12.7109375" style="62" customWidth="1"/>
    <col min="14595" max="14595" width="11.7109375" style="62" customWidth="1"/>
    <col min="14596" max="14596" width="44.85546875" style="62" customWidth="1"/>
    <col min="14597" max="14597" width="54.7109375" style="62" customWidth="1"/>
    <col min="14598" max="14598" width="15.28515625" style="62" customWidth="1"/>
    <col min="14599" max="14600" width="19.28515625" style="62" customWidth="1"/>
    <col min="14601" max="14601" width="13.85546875" style="62" customWidth="1"/>
    <col min="14602" max="14602" width="25.28515625" style="62" customWidth="1"/>
    <col min="14603" max="14603" width="16.28515625" style="62" customWidth="1"/>
    <col min="14604" max="14848" width="9.28515625" style="62"/>
    <col min="14849" max="14849" width="15" style="62" customWidth="1"/>
    <col min="14850" max="14850" width="12.7109375" style="62" customWidth="1"/>
    <col min="14851" max="14851" width="11.7109375" style="62" customWidth="1"/>
    <col min="14852" max="14852" width="44.85546875" style="62" customWidth="1"/>
    <col min="14853" max="14853" width="54.7109375" style="62" customWidth="1"/>
    <col min="14854" max="14854" width="15.28515625" style="62" customWidth="1"/>
    <col min="14855" max="14856" width="19.28515625" style="62" customWidth="1"/>
    <col min="14857" max="14857" width="13.85546875" style="62" customWidth="1"/>
    <col min="14858" max="14858" width="25.28515625" style="62" customWidth="1"/>
    <col min="14859" max="14859" width="16.28515625" style="62" customWidth="1"/>
    <col min="14860" max="15104" width="9.28515625" style="62"/>
    <col min="15105" max="15105" width="15" style="62" customWidth="1"/>
    <col min="15106" max="15106" width="12.7109375" style="62" customWidth="1"/>
    <col min="15107" max="15107" width="11.7109375" style="62" customWidth="1"/>
    <col min="15108" max="15108" width="44.85546875" style="62" customWidth="1"/>
    <col min="15109" max="15109" width="54.7109375" style="62" customWidth="1"/>
    <col min="15110" max="15110" width="15.28515625" style="62" customWidth="1"/>
    <col min="15111" max="15112" width="19.28515625" style="62" customWidth="1"/>
    <col min="15113" max="15113" width="13.85546875" style="62" customWidth="1"/>
    <col min="15114" max="15114" width="25.28515625" style="62" customWidth="1"/>
    <col min="15115" max="15115" width="16.28515625" style="62" customWidth="1"/>
    <col min="15116" max="15360" width="9.28515625" style="62"/>
    <col min="15361" max="15361" width="15" style="62" customWidth="1"/>
    <col min="15362" max="15362" width="12.7109375" style="62" customWidth="1"/>
    <col min="15363" max="15363" width="11.7109375" style="62" customWidth="1"/>
    <col min="15364" max="15364" width="44.85546875" style="62" customWidth="1"/>
    <col min="15365" max="15365" width="54.7109375" style="62" customWidth="1"/>
    <col min="15366" max="15366" width="15.28515625" style="62" customWidth="1"/>
    <col min="15367" max="15368" width="19.28515625" style="62" customWidth="1"/>
    <col min="15369" max="15369" width="13.85546875" style="62" customWidth="1"/>
    <col min="15370" max="15370" width="25.28515625" style="62" customWidth="1"/>
    <col min="15371" max="15371" width="16.28515625" style="62" customWidth="1"/>
    <col min="15372" max="15616" width="9.28515625" style="62"/>
    <col min="15617" max="15617" width="15" style="62" customWidth="1"/>
    <col min="15618" max="15618" width="12.7109375" style="62" customWidth="1"/>
    <col min="15619" max="15619" width="11.7109375" style="62" customWidth="1"/>
    <col min="15620" max="15620" width="44.85546875" style="62" customWidth="1"/>
    <col min="15621" max="15621" width="54.7109375" style="62" customWidth="1"/>
    <col min="15622" max="15622" width="15.28515625" style="62" customWidth="1"/>
    <col min="15623" max="15624" width="19.28515625" style="62" customWidth="1"/>
    <col min="15625" max="15625" width="13.85546875" style="62" customWidth="1"/>
    <col min="15626" max="15626" width="25.28515625" style="62" customWidth="1"/>
    <col min="15627" max="15627" width="16.28515625" style="62" customWidth="1"/>
    <col min="15628" max="15872" width="9.28515625" style="62"/>
    <col min="15873" max="15873" width="15" style="62" customWidth="1"/>
    <col min="15874" max="15874" width="12.7109375" style="62" customWidth="1"/>
    <col min="15875" max="15875" width="11.7109375" style="62" customWidth="1"/>
    <col min="15876" max="15876" width="44.85546875" style="62" customWidth="1"/>
    <col min="15877" max="15877" width="54.7109375" style="62" customWidth="1"/>
    <col min="15878" max="15878" width="15.28515625" style="62" customWidth="1"/>
    <col min="15879" max="15880" width="19.28515625" style="62" customWidth="1"/>
    <col min="15881" max="15881" width="13.85546875" style="62" customWidth="1"/>
    <col min="15882" max="15882" width="25.28515625" style="62" customWidth="1"/>
    <col min="15883" max="15883" width="16.28515625" style="62" customWidth="1"/>
    <col min="15884" max="16128" width="9.28515625" style="62"/>
    <col min="16129" max="16129" width="15" style="62" customWidth="1"/>
    <col min="16130" max="16130" width="12.7109375" style="62" customWidth="1"/>
    <col min="16131" max="16131" width="11.7109375" style="62" customWidth="1"/>
    <col min="16132" max="16132" width="44.85546875" style="62" customWidth="1"/>
    <col min="16133" max="16133" width="54.7109375" style="62" customWidth="1"/>
    <col min="16134" max="16134" width="15.28515625" style="62" customWidth="1"/>
    <col min="16135" max="16136" width="19.28515625" style="62" customWidth="1"/>
    <col min="16137" max="16137" width="13.85546875" style="62" customWidth="1"/>
    <col min="16138" max="16138" width="25.28515625" style="62" customWidth="1"/>
    <col min="16139" max="16139" width="16.28515625" style="62" customWidth="1"/>
    <col min="16140" max="16384" width="9.28515625" style="62"/>
  </cols>
  <sheetData>
    <row r="2" spans="1:11" ht="15.75" x14ac:dyDescent="0.25">
      <c r="I2" s="447" t="s">
        <v>415</v>
      </c>
      <c r="J2" s="447"/>
      <c r="K2" s="4"/>
    </row>
    <row r="3" spans="1:11" ht="15.75" x14ac:dyDescent="0.25">
      <c r="I3" s="447" t="s">
        <v>590</v>
      </c>
      <c r="J3" s="447"/>
      <c r="K3" s="4"/>
    </row>
    <row r="4" spans="1:11" ht="15.75" x14ac:dyDescent="0.25">
      <c r="I4" s="1186" t="s">
        <v>619</v>
      </c>
      <c r="J4" s="1186"/>
      <c r="K4" s="1186"/>
    </row>
    <row r="5" spans="1:11" ht="15.75" x14ac:dyDescent="0.25">
      <c r="I5" s="236" t="s">
        <v>751</v>
      </c>
      <c r="J5" s="236"/>
      <c r="K5" s="236"/>
    </row>
    <row r="6" spans="1:11" ht="15.75" x14ac:dyDescent="0.25">
      <c r="I6" s="1314" t="s">
        <v>752</v>
      </c>
      <c r="J6" s="1314"/>
      <c r="K6" s="451"/>
    </row>
    <row r="7" spans="1:11" ht="15.75" x14ac:dyDescent="0.25">
      <c r="I7" s="452"/>
      <c r="J7" s="452"/>
      <c r="K7" s="453"/>
    </row>
    <row r="8" spans="1:11" ht="15.75" x14ac:dyDescent="0.25">
      <c r="I8" s="454"/>
      <c r="J8" s="454"/>
      <c r="K8" s="453"/>
    </row>
    <row r="9" spans="1:11" ht="15.75" x14ac:dyDescent="0.25">
      <c r="I9" s="1315"/>
      <c r="J9" s="1315"/>
      <c r="K9" s="1315"/>
    </row>
    <row r="10" spans="1:11" ht="14.1" customHeight="1" x14ac:dyDescent="0.25">
      <c r="G10" s="66"/>
      <c r="H10" s="66"/>
      <c r="I10" s="67"/>
      <c r="J10" s="67"/>
    </row>
    <row r="11" spans="1:11" ht="20.25" customHeight="1" x14ac:dyDescent="0.25">
      <c r="G11" s="66"/>
      <c r="H11" s="66"/>
      <c r="I11" s="67"/>
      <c r="J11" s="67"/>
    </row>
    <row r="12" spans="1:11" ht="15.75" x14ac:dyDescent="0.25">
      <c r="G12" s="66"/>
      <c r="H12" s="66"/>
      <c r="I12" s="108"/>
      <c r="J12" s="108"/>
    </row>
    <row r="13" spans="1:11" s="67" customFormat="1" ht="15.75" x14ac:dyDescent="0.25">
      <c r="A13" s="62"/>
      <c r="B13" s="63"/>
      <c r="C13" s="64"/>
      <c r="D13" s="65"/>
      <c r="E13" s="66"/>
      <c r="F13" s="64"/>
      <c r="G13" s="66"/>
      <c r="H13" s="66"/>
      <c r="I13" s="66"/>
      <c r="J13" s="66"/>
    </row>
    <row r="14" spans="1:11" ht="27" customHeight="1" x14ac:dyDescent="0.25">
      <c r="A14" s="1316" t="s">
        <v>540</v>
      </c>
      <c r="B14" s="1316"/>
      <c r="C14" s="1316"/>
      <c r="D14" s="1316"/>
      <c r="E14" s="1316"/>
      <c r="F14" s="1316"/>
      <c r="G14" s="1316"/>
      <c r="H14" s="1316"/>
      <c r="I14" s="1316"/>
      <c r="J14" s="1316"/>
      <c r="K14" s="1316"/>
    </row>
    <row r="15" spans="1:11" ht="28.35" customHeight="1" x14ac:dyDescent="0.25">
      <c r="A15" s="1317">
        <v>1559100000</v>
      </c>
      <c r="B15" s="1317"/>
      <c r="C15" s="1317"/>
      <c r="D15" s="1318"/>
      <c r="E15" s="1318"/>
      <c r="F15" s="1318"/>
      <c r="G15" s="1318"/>
      <c r="H15" s="1318"/>
      <c r="I15" s="1318"/>
      <c r="J15" s="1318"/>
      <c r="K15" s="1318"/>
    </row>
    <row r="16" spans="1:11" ht="22.15" customHeight="1" thickBot="1" x14ac:dyDescent="0.3">
      <c r="A16" s="1305" t="s">
        <v>0</v>
      </c>
      <c r="B16" s="1305"/>
      <c r="C16" s="1305"/>
      <c r="D16" s="449"/>
      <c r="E16" s="449"/>
      <c r="F16" s="70"/>
      <c r="G16" s="449"/>
      <c r="H16" s="449"/>
      <c r="I16" s="449"/>
      <c r="J16" s="449"/>
      <c r="K16" s="449"/>
    </row>
    <row r="17" spans="1:21" s="67" customFormat="1" ht="77.25" customHeight="1" x14ac:dyDescent="0.25">
      <c r="A17" s="1306" t="s">
        <v>8</v>
      </c>
      <c r="B17" s="1303" t="s">
        <v>9</v>
      </c>
      <c r="C17" s="1308" t="s">
        <v>236</v>
      </c>
      <c r="D17" s="1303" t="s">
        <v>237</v>
      </c>
      <c r="E17" s="1308" t="s">
        <v>541</v>
      </c>
      <c r="F17" s="1303" t="s">
        <v>542</v>
      </c>
      <c r="G17" s="1308" t="s">
        <v>543</v>
      </c>
      <c r="H17" s="1310" t="s">
        <v>544</v>
      </c>
      <c r="I17" s="1303" t="s">
        <v>545</v>
      </c>
      <c r="J17" s="1303" t="s">
        <v>698</v>
      </c>
      <c r="K17" s="1312" t="s">
        <v>546</v>
      </c>
      <c r="U17" s="717"/>
    </row>
    <row r="18" spans="1:21" s="67" customFormat="1" ht="157.9" customHeight="1" thickBot="1" x14ac:dyDescent="0.3">
      <c r="A18" s="1307"/>
      <c r="B18" s="1304"/>
      <c r="C18" s="1309"/>
      <c r="D18" s="1304"/>
      <c r="E18" s="1309"/>
      <c r="F18" s="1304"/>
      <c r="G18" s="1309"/>
      <c r="H18" s="1311"/>
      <c r="I18" s="1304"/>
      <c r="J18" s="1304"/>
      <c r="K18" s="1313"/>
    </row>
    <row r="19" spans="1:21" s="73" customFormat="1" ht="24" customHeight="1" thickBot="1" x14ac:dyDescent="0.3">
      <c r="A19" s="372" t="s">
        <v>243</v>
      </c>
      <c r="B19" s="72" t="s">
        <v>244</v>
      </c>
      <c r="C19" s="373" t="s">
        <v>245</v>
      </c>
      <c r="D19" s="72" t="s">
        <v>400</v>
      </c>
      <c r="E19" s="72" t="s">
        <v>246</v>
      </c>
      <c r="F19" s="72" t="s">
        <v>247</v>
      </c>
      <c r="G19" s="72" t="s">
        <v>248</v>
      </c>
      <c r="H19" s="373" t="s">
        <v>249</v>
      </c>
      <c r="I19" s="373" t="s">
        <v>250</v>
      </c>
      <c r="J19" s="373" t="s">
        <v>618</v>
      </c>
      <c r="K19" s="713">
        <v>11</v>
      </c>
    </row>
    <row r="20" spans="1:21" s="73" customFormat="1" ht="21" thickBot="1" x14ac:dyDescent="0.3">
      <c r="A20" s="375"/>
      <c r="B20" s="376"/>
      <c r="C20" s="377"/>
      <c r="D20" s="229"/>
      <c r="E20" s="74"/>
      <c r="F20" s="75"/>
      <c r="G20" s="378"/>
      <c r="H20" s="379"/>
      <c r="I20" s="379"/>
      <c r="J20" s="379"/>
      <c r="K20" s="714"/>
    </row>
    <row r="21" spans="1:21" s="73" customFormat="1" ht="60" customHeight="1" thickBot="1" x14ac:dyDescent="0.3">
      <c r="A21" s="380"/>
      <c r="B21" s="381"/>
      <c r="C21" s="381"/>
      <c r="D21" s="450"/>
      <c r="E21" s="382"/>
      <c r="F21" s="383"/>
      <c r="G21" s="384"/>
      <c r="H21" s="385"/>
      <c r="I21" s="385"/>
      <c r="J21" s="385"/>
      <c r="K21" s="715"/>
    </row>
    <row r="22" spans="1:21" ht="21" thickBot="1" x14ac:dyDescent="0.3">
      <c r="A22" s="430" t="s">
        <v>255</v>
      </c>
      <c r="B22" s="75" t="s">
        <v>255</v>
      </c>
      <c r="C22" s="75" t="s">
        <v>255</v>
      </c>
      <c r="D22" s="74" t="s">
        <v>138</v>
      </c>
      <c r="E22" s="86" t="s">
        <v>255</v>
      </c>
      <c r="F22" s="87" t="s">
        <v>255</v>
      </c>
      <c r="G22" s="88" t="s">
        <v>255</v>
      </c>
      <c r="H22" s="88" t="s">
        <v>255</v>
      </c>
      <c r="I22" s="88" t="s">
        <v>255</v>
      </c>
      <c r="J22" s="88" t="s">
        <v>255</v>
      </c>
      <c r="K22" s="716" t="s">
        <v>255</v>
      </c>
      <c r="M22" s="89"/>
    </row>
    <row r="23" spans="1:21" ht="20.25" x14ac:dyDescent="0.25">
      <c r="A23" s="90"/>
      <c r="B23" s="91"/>
      <c r="C23" s="91"/>
      <c r="D23" s="92"/>
      <c r="E23" s="93"/>
      <c r="F23" s="94"/>
      <c r="G23" s="95"/>
      <c r="H23" s="95"/>
      <c r="I23" s="95"/>
      <c r="J23" s="95"/>
      <c r="K23" s="96"/>
    </row>
    <row r="24" spans="1:21" s="23" customFormat="1" ht="49.9" customHeight="1" x14ac:dyDescent="0.3">
      <c r="A24" s="1302" t="s">
        <v>547</v>
      </c>
      <c r="B24" s="1302"/>
      <c r="C24" s="1302"/>
      <c r="D24" s="1302"/>
      <c r="E24" s="1302"/>
      <c r="F24" s="1302"/>
      <c r="G24" s="1302"/>
      <c r="H24" s="1302"/>
      <c r="I24" s="1302"/>
      <c r="J24" s="1302"/>
      <c r="K24" s="1302"/>
      <c r="L24" s="20"/>
      <c r="M24" s="448"/>
      <c r="N24" s="448"/>
      <c r="O24" s="21"/>
      <c r="P24" s="22"/>
    </row>
    <row r="26" spans="1:21" s="17" customFormat="1" ht="20.25" x14ac:dyDescent="0.3">
      <c r="A26" s="98"/>
      <c r="B26" s="98"/>
      <c r="G26" s="99"/>
      <c r="K26" s="100"/>
    </row>
    <row r="27" spans="1:21" s="102" customFormat="1" ht="21" x14ac:dyDescent="0.35">
      <c r="A27" s="101"/>
      <c r="B27" s="101"/>
    </row>
    <row r="28" spans="1:21" s="103" customFormat="1" ht="20.25" x14ac:dyDescent="0.3">
      <c r="B28" s="104"/>
      <c r="C28" s="105"/>
      <c r="E28" s="106"/>
      <c r="F28" s="105"/>
      <c r="G28" s="99"/>
      <c r="H28" s="99"/>
      <c r="I28" s="99"/>
      <c r="J28" s="99"/>
      <c r="K28" s="431"/>
    </row>
    <row r="29" spans="1:21" x14ac:dyDescent="0.25">
      <c r="B29" s="62"/>
      <c r="C29" s="62"/>
      <c r="D29" s="62"/>
      <c r="E29" s="62"/>
      <c r="F29" s="62"/>
      <c r="G29" s="62"/>
      <c r="H29" s="62"/>
      <c r="I29" s="62"/>
      <c r="J29" s="62"/>
      <c r="K29" s="62"/>
    </row>
    <row r="30" spans="1:21" x14ac:dyDescent="0.25">
      <c r="B30" s="62"/>
      <c r="C30" s="62"/>
      <c r="D30" s="62"/>
      <c r="E30" s="62"/>
      <c r="F30" s="62"/>
      <c r="G30" s="62"/>
      <c r="H30" s="62"/>
      <c r="I30" s="62"/>
      <c r="J30" s="62"/>
      <c r="K30" s="62"/>
    </row>
  </sheetData>
  <mergeCells count="19">
    <mergeCell ref="I4:K4"/>
    <mergeCell ref="I6:J6"/>
    <mergeCell ref="I9:K9"/>
    <mergeCell ref="A14:K14"/>
    <mergeCell ref="A15:C15"/>
    <mergeCell ref="D15:K15"/>
    <mergeCell ref="A24:K24"/>
    <mergeCell ref="J17:J18"/>
    <mergeCell ref="A16:C16"/>
    <mergeCell ref="A17:A18"/>
    <mergeCell ref="B17:B18"/>
    <mergeCell ref="C17:C18"/>
    <mergeCell ref="D17:D18"/>
    <mergeCell ref="E17:E18"/>
    <mergeCell ref="F17:F18"/>
    <mergeCell ref="G17:G18"/>
    <mergeCell ref="H17:H18"/>
    <mergeCell ref="I17:I18"/>
    <mergeCell ref="K17:K18"/>
  </mergeCells>
  <pageMargins left="0.78740157480314965" right="0.78740157480314965" top="1.1811023622047245" bottom="0.39370078740157483"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131"/>
  <sheetViews>
    <sheetView view="pageBreakPreview" topLeftCell="A6" zoomScale="60" zoomScaleNormal="100" workbookViewId="0">
      <selection activeCell="L10" sqref="L10:O10"/>
    </sheetView>
  </sheetViews>
  <sheetFormatPr defaultColWidth="8.85546875" defaultRowHeight="15.75" x14ac:dyDescent="0.2"/>
  <cols>
    <col min="1" max="1" width="11.7109375" style="604" customWidth="1"/>
    <col min="2" max="2" width="8.140625" style="604" customWidth="1"/>
    <col min="3" max="3" width="8.42578125" style="605" customWidth="1"/>
    <col min="4" max="4" width="23.7109375" style="604" customWidth="1"/>
    <col min="5" max="5" width="27.5703125" style="604" customWidth="1"/>
    <col min="6" max="6" width="24.5703125" style="606" customWidth="1"/>
    <col min="7" max="7" width="15.7109375" style="607" customWidth="1"/>
    <col min="8" max="8" width="16.28515625" style="608" customWidth="1"/>
    <col min="9" max="9" width="16" style="608" customWidth="1"/>
    <col min="10" max="10" width="17" style="608" customWidth="1"/>
    <col min="11" max="11" width="14.85546875" style="608" customWidth="1"/>
    <col min="12" max="12" width="15" style="608" customWidth="1"/>
    <col min="13" max="13" width="15.85546875" style="608" customWidth="1"/>
    <col min="14" max="14" width="16" style="608" customWidth="1"/>
    <col min="15" max="15" width="12" style="609" customWidth="1"/>
    <col min="16" max="16" width="14.140625" style="604" customWidth="1"/>
    <col min="17" max="17" width="25.42578125" style="604" customWidth="1"/>
    <col min="18" max="256" width="8.85546875" style="604"/>
    <col min="257" max="257" width="12.5703125" style="604" customWidth="1"/>
    <col min="258" max="258" width="9.85546875" style="604" customWidth="1"/>
    <col min="259" max="259" width="9.5703125" style="604" customWidth="1"/>
    <col min="260" max="260" width="30.5703125" style="604" customWidth="1"/>
    <col min="261" max="261" width="28.85546875" style="604" customWidth="1"/>
    <col min="262" max="262" width="21.42578125" style="604" customWidth="1"/>
    <col min="263" max="263" width="18" style="604" customWidth="1"/>
    <col min="264" max="264" width="15.85546875" style="604" customWidth="1"/>
    <col min="265" max="265" width="16.5703125" style="604" customWidth="1"/>
    <col min="266" max="266" width="18.85546875" style="604" customWidth="1"/>
    <col min="267" max="267" width="16.42578125" style="604" customWidth="1"/>
    <col min="268" max="268" width="16.140625" style="604" customWidth="1"/>
    <col min="269" max="269" width="19.7109375" style="604" customWidth="1"/>
    <col min="270" max="270" width="14.85546875" style="604" customWidth="1"/>
    <col min="271" max="271" width="11.5703125" style="604" customWidth="1"/>
    <col min="272" max="512" width="8.85546875" style="604"/>
    <col min="513" max="513" width="12.5703125" style="604" customWidth="1"/>
    <col min="514" max="514" width="9.85546875" style="604" customWidth="1"/>
    <col min="515" max="515" width="9.5703125" style="604" customWidth="1"/>
    <col min="516" max="516" width="30.5703125" style="604" customWidth="1"/>
    <col min="517" max="517" width="28.85546875" style="604" customWidth="1"/>
    <col min="518" max="518" width="21.42578125" style="604" customWidth="1"/>
    <col min="519" max="519" width="18" style="604" customWidth="1"/>
    <col min="520" max="520" width="15.85546875" style="604" customWidth="1"/>
    <col min="521" max="521" width="16.5703125" style="604" customWidth="1"/>
    <col min="522" max="522" width="18.85546875" style="604" customWidth="1"/>
    <col min="523" max="523" width="16.42578125" style="604" customWidth="1"/>
    <col min="524" max="524" width="16.140625" style="604" customWidth="1"/>
    <col min="525" max="525" width="19.7109375" style="604" customWidth="1"/>
    <col min="526" max="526" width="14.85546875" style="604" customWidth="1"/>
    <col min="527" max="527" width="11.5703125" style="604" customWidth="1"/>
    <col min="528" max="768" width="8.85546875" style="604"/>
    <col min="769" max="769" width="12.5703125" style="604" customWidth="1"/>
    <col min="770" max="770" width="9.85546875" style="604" customWidth="1"/>
    <col min="771" max="771" width="9.5703125" style="604" customWidth="1"/>
    <col min="772" max="772" width="30.5703125" style="604" customWidth="1"/>
    <col min="773" max="773" width="28.85546875" style="604" customWidth="1"/>
    <col min="774" max="774" width="21.42578125" style="604" customWidth="1"/>
    <col min="775" max="775" width="18" style="604" customWidth="1"/>
    <col min="776" max="776" width="15.85546875" style="604" customWidth="1"/>
    <col min="777" max="777" width="16.5703125" style="604" customWidth="1"/>
    <col min="778" max="778" width="18.85546875" style="604" customWidth="1"/>
    <col min="779" max="779" width="16.42578125" style="604" customWidth="1"/>
    <col min="780" max="780" width="16.140625" style="604" customWidth="1"/>
    <col min="781" max="781" width="19.7109375" style="604" customWidth="1"/>
    <col min="782" max="782" width="14.85546875" style="604" customWidth="1"/>
    <col min="783" max="783" width="11.5703125" style="604" customWidth="1"/>
    <col min="784" max="1024" width="8.85546875" style="604"/>
    <col min="1025" max="1025" width="12.5703125" style="604" customWidth="1"/>
    <col min="1026" max="1026" width="9.85546875" style="604" customWidth="1"/>
    <col min="1027" max="1027" width="9.5703125" style="604" customWidth="1"/>
    <col min="1028" max="1028" width="30.5703125" style="604" customWidth="1"/>
    <col min="1029" max="1029" width="28.85546875" style="604" customWidth="1"/>
    <col min="1030" max="1030" width="21.42578125" style="604" customWidth="1"/>
    <col min="1031" max="1031" width="18" style="604" customWidth="1"/>
    <col min="1032" max="1032" width="15.85546875" style="604" customWidth="1"/>
    <col min="1033" max="1033" width="16.5703125" style="604" customWidth="1"/>
    <col min="1034" max="1034" width="18.85546875" style="604" customWidth="1"/>
    <col min="1035" max="1035" width="16.42578125" style="604" customWidth="1"/>
    <col min="1036" max="1036" width="16.140625" style="604" customWidth="1"/>
    <col min="1037" max="1037" width="19.7109375" style="604" customWidth="1"/>
    <col min="1038" max="1038" width="14.85546875" style="604" customWidth="1"/>
    <col min="1039" max="1039" width="11.5703125" style="604" customWidth="1"/>
    <col min="1040" max="1280" width="8.85546875" style="604"/>
    <col min="1281" max="1281" width="12.5703125" style="604" customWidth="1"/>
    <col min="1282" max="1282" width="9.85546875" style="604" customWidth="1"/>
    <col min="1283" max="1283" width="9.5703125" style="604" customWidth="1"/>
    <col min="1284" max="1284" width="30.5703125" style="604" customWidth="1"/>
    <col min="1285" max="1285" width="28.85546875" style="604" customWidth="1"/>
    <col min="1286" max="1286" width="21.42578125" style="604" customWidth="1"/>
    <col min="1287" max="1287" width="18" style="604" customWidth="1"/>
    <col min="1288" max="1288" width="15.85546875" style="604" customWidth="1"/>
    <col min="1289" max="1289" width="16.5703125" style="604" customWidth="1"/>
    <col min="1290" max="1290" width="18.85546875" style="604" customWidth="1"/>
    <col min="1291" max="1291" width="16.42578125" style="604" customWidth="1"/>
    <col min="1292" max="1292" width="16.140625" style="604" customWidth="1"/>
    <col min="1293" max="1293" width="19.7109375" style="604" customWidth="1"/>
    <col min="1294" max="1294" width="14.85546875" style="604" customWidth="1"/>
    <col min="1295" max="1295" width="11.5703125" style="604" customWidth="1"/>
    <col min="1296" max="1536" width="8.85546875" style="604"/>
    <col min="1537" max="1537" width="12.5703125" style="604" customWidth="1"/>
    <col min="1538" max="1538" width="9.85546875" style="604" customWidth="1"/>
    <col min="1539" max="1539" width="9.5703125" style="604" customWidth="1"/>
    <col min="1540" max="1540" width="30.5703125" style="604" customWidth="1"/>
    <col min="1541" max="1541" width="28.85546875" style="604" customWidth="1"/>
    <col min="1542" max="1542" width="21.42578125" style="604" customWidth="1"/>
    <col min="1543" max="1543" width="18" style="604" customWidth="1"/>
    <col min="1544" max="1544" width="15.85546875" style="604" customWidth="1"/>
    <col min="1545" max="1545" width="16.5703125" style="604" customWidth="1"/>
    <col min="1546" max="1546" width="18.85546875" style="604" customWidth="1"/>
    <col min="1547" max="1547" width="16.42578125" style="604" customWidth="1"/>
    <col min="1548" max="1548" width="16.140625" style="604" customWidth="1"/>
    <col min="1549" max="1549" width="19.7109375" style="604" customWidth="1"/>
    <col min="1550" max="1550" width="14.85546875" style="604" customWidth="1"/>
    <col min="1551" max="1551" width="11.5703125" style="604" customWidth="1"/>
    <col min="1552" max="1792" width="8.85546875" style="604"/>
    <col min="1793" max="1793" width="12.5703125" style="604" customWidth="1"/>
    <col min="1794" max="1794" width="9.85546875" style="604" customWidth="1"/>
    <col min="1795" max="1795" width="9.5703125" style="604" customWidth="1"/>
    <col min="1796" max="1796" width="30.5703125" style="604" customWidth="1"/>
    <col min="1797" max="1797" width="28.85546875" style="604" customWidth="1"/>
    <col min="1798" max="1798" width="21.42578125" style="604" customWidth="1"/>
    <col min="1799" max="1799" width="18" style="604" customWidth="1"/>
    <col min="1800" max="1800" width="15.85546875" style="604" customWidth="1"/>
    <col min="1801" max="1801" width="16.5703125" style="604" customWidth="1"/>
    <col min="1802" max="1802" width="18.85546875" style="604" customWidth="1"/>
    <col min="1803" max="1803" width="16.42578125" style="604" customWidth="1"/>
    <col min="1804" max="1804" width="16.140625" style="604" customWidth="1"/>
    <col min="1805" max="1805" width="19.7109375" style="604" customWidth="1"/>
    <col min="1806" max="1806" width="14.85546875" style="604" customWidth="1"/>
    <col min="1807" max="1807" width="11.5703125" style="604" customWidth="1"/>
    <col min="1808" max="2048" width="8.85546875" style="604"/>
    <col min="2049" max="2049" width="12.5703125" style="604" customWidth="1"/>
    <col min="2050" max="2050" width="9.85546875" style="604" customWidth="1"/>
    <col min="2051" max="2051" width="9.5703125" style="604" customWidth="1"/>
    <col min="2052" max="2052" width="30.5703125" style="604" customWidth="1"/>
    <col min="2053" max="2053" width="28.85546875" style="604" customWidth="1"/>
    <col min="2054" max="2054" width="21.42578125" style="604" customWidth="1"/>
    <col min="2055" max="2055" width="18" style="604" customWidth="1"/>
    <col min="2056" max="2056" width="15.85546875" style="604" customWidth="1"/>
    <col min="2057" max="2057" width="16.5703125" style="604" customWidth="1"/>
    <col min="2058" max="2058" width="18.85546875" style="604" customWidth="1"/>
    <col min="2059" max="2059" width="16.42578125" style="604" customWidth="1"/>
    <col min="2060" max="2060" width="16.140625" style="604" customWidth="1"/>
    <col min="2061" max="2061" width="19.7109375" style="604" customWidth="1"/>
    <col min="2062" max="2062" width="14.85546875" style="604" customWidth="1"/>
    <col min="2063" max="2063" width="11.5703125" style="604" customWidth="1"/>
    <col min="2064" max="2304" width="8.85546875" style="604"/>
    <col min="2305" max="2305" width="12.5703125" style="604" customWidth="1"/>
    <col min="2306" max="2306" width="9.85546875" style="604" customWidth="1"/>
    <col min="2307" max="2307" width="9.5703125" style="604" customWidth="1"/>
    <col min="2308" max="2308" width="30.5703125" style="604" customWidth="1"/>
    <col min="2309" max="2309" width="28.85546875" style="604" customWidth="1"/>
    <col min="2310" max="2310" width="21.42578125" style="604" customWidth="1"/>
    <col min="2311" max="2311" width="18" style="604" customWidth="1"/>
    <col min="2312" max="2312" width="15.85546875" style="604" customWidth="1"/>
    <col min="2313" max="2313" width="16.5703125" style="604" customWidth="1"/>
    <col min="2314" max="2314" width="18.85546875" style="604" customWidth="1"/>
    <col min="2315" max="2315" width="16.42578125" style="604" customWidth="1"/>
    <col min="2316" max="2316" width="16.140625" style="604" customWidth="1"/>
    <col min="2317" max="2317" width="19.7109375" style="604" customWidth="1"/>
    <col min="2318" max="2318" width="14.85546875" style="604" customWidth="1"/>
    <col min="2319" max="2319" width="11.5703125" style="604" customWidth="1"/>
    <col min="2320" max="2560" width="8.85546875" style="604"/>
    <col min="2561" max="2561" width="12.5703125" style="604" customWidth="1"/>
    <col min="2562" max="2562" width="9.85546875" style="604" customWidth="1"/>
    <col min="2563" max="2563" width="9.5703125" style="604" customWidth="1"/>
    <col min="2564" max="2564" width="30.5703125" style="604" customWidth="1"/>
    <col min="2565" max="2565" width="28.85546875" style="604" customWidth="1"/>
    <col min="2566" max="2566" width="21.42578125" style="604" customWidth="1"/>
    <col min="2567" max="2567" width="18" style="604" customWidth="1"/>
    <col min="2568" max="2568" width="15.85546875" style="604" customWidth="1"/>
    <col min="2569" max="2569" width="16.5703125" style="604" customWidth="1"/>
    <col min="2570" max="2570" width="18.85546875" style="604" customWidth="1"/>
    <col min="2571" max="2571" width="16.42578125" style="604" customWidth="1"/>
    <col min="2572" max="2572" width="16.140625" style="604" customWidth="1"/>
    <col min="2573" max="2573" width="19.7109375" style="604" customWidth="1"/>
    <col min="2574" max="2574" width="14.85546875" style="604" customWidth="1"/>
    <col min="2575" max="2575" width="11.5703125" style="604" customWidth="1"/>
    <col min="2576" max="2816" width="8.85546875" style="604"/>
    <col min="2817" max="2817" width="12.5703125" style="604" customWidth="1"/>
    <col min="2818" max="2818" width="9.85546875" style="604" customWidth="1"/>
    <col min="2819" max="2819" width="9.5703125" style="604" customWidth="1"/>
    <col min="2820" max="2820" width="30.5703125" style="604" customWidth="1"/>
    <col min="2821" max="2821" width="28.85546875" style="604" customWidth="1"/>
    <col min="2822" max="2822" width="21.42578125" style="604" customWidth="1"/>
    <col min="2823" max="2823" width="18" style="604" customWidth="1"/>
    <col min="2824" max="2824" width="15.85546875" style="604" customWidth="1"/>
    <col min="2825" max="2825" width="16.5703125" style="604" customWidth="1"/>
    <col min="2826" max="2826" width="18.85546875" style="604" customWidth="1"/>
    <col min="2827" max="2827" width="16.42578125" style="604" customWidth="1"/>
    <col min="2828" max="2828" width="16.140625" style="604" customWidth="1"/>
    <col min="2829" max="2829" width="19.7109375" style="604" customWidth="1"/>
    <col min="2830" max="2830" width="14.85546875" style="604" customWidth="1"/>
    <col min="2831" max="2831" width="11.5703125" style="604" customWidth="1"/>
    <col min="2832" max="3072" width="8.85546875" style="604"/>
    <col min="3073" max="3073" width="12.5703125" style="604" customWidth="1"/>
    <col min="3074" max="3074" width="9.85546875" style="604" customWidth="1"/>
    <col min="3075" max="3075" width="9.5703125" style="604" customWidth="1"/>
    <col min="3076" max="3076" width="30.5703125" style="604" customWidth="1"/>
    <col min="3077" max="3077" width="28.85546875" style="604" customWidth="1"/>
    <col min="3078" max="3078" width="21.42578125" style="604" customWidth="1"/>
    <col min="3079" max="3079" width="18" style="604" customWidth="1"/>
    <col min="3080" max="3080" width="15.85546875" style="604" customWidth="1"/>
    <col min="3081" max="3081" width="16.5703125" style="604" customWidth="1"/>
    <col min="3082" max="3082" width="18.85546875" style="604" customWidth="1"/>
    <col min="3083" max="3083" width="16.42578125" style="604" customWidth="1"/>
    <col min="3084" max="3084" width="16.140625" style="604" customWidth="1"/>
    <col min="3085" max="3085" width="19.7109375" style="604" customWidth="1"/>
    <col min="3086" max="3086" width="14.85546875" style="604" customWidth="1"/>
    <col min="3087" max="3087" width="11.5703125" style="604" customWidth="1"/>
    <col min="3088" max="3328" width="8.85546875" style="604"/>
    <col min="3329" max="3329" width="12.5703125" style="604" customWidth="1"/>
    <col min="3330" max="3330" width="9.85546875" style="604" customWidth="1"/>
    <col min="3331" max="3331" width="9.5703125" style="604" customWidth="1"/>
    <col min="3332" max="3332" width="30.5703125" style="604" customWidth="1"/>
    <col min="3333" max="3333" width="28.85546875" style="604" customWidth="1"/>
    <col min="3334" max="3334" width="21.42578125" style="604" customWidth="1"/>
    <col min="3335" max="3335" width="18" style="604" customWidth="1"/>
    <col min="3336" max="3336" width="15.85546875" style="604" customWidth="1"/>
    <col min="3337" max="3337" width="16.5703125" style="604" customWidth="1"/>
    <col min="3338" max="3338" width="18.85546875" style="604" customWidth="1"/>
    <col min="3339" max="3339" width="16.42578125" style="604" customWidth="1"/>
    <col min="3340" max="3340" width="16.140625" style="604" customWidth="1"/>
    <col min="3341" max="3341" width="19.7109375" style="604" customWidth="1"/>
    <col min="3342" max="3342" width="14.85546875" style="604" customWidth="1"/>
    <col min="3343" max="3343" width="11.5703125" style="604" customWidth="1"/>
    <col min="3344" max="3584" width="8.85546875" style="604"/>
    <col min="3585" max="3585" width="12.5703125" style="604" customWidth="1"/>
    <col min="3586" max="3586" width="9.85546875" style="604" customWidth="1"/>
    <col min="3587" max="3587" width="9.5703125" style="604" customWidth="1"/>
    <col min="3588" max="3588" width="30.5703125" style="604" customWidth="1"/>
    <col min="3589" max="3589" width="28.85546875" style="604" customWidth="1"/>
    <col min="3590" max="3590" width="21.42578125" style="604" customWidth="1"/>
    <col min="3591" max="3591" width="18" style="604" customWidth="1"/>
    <col min="3592" max="3592" width="15.85546875" style="604" customWidth="1"/>
    <col min="3593" max="3593" width="16.5703125" style="604" customWidth="1"/>
    <col min="3594" max="3594" width="18.85546875" style="604" customWidth="1"/>
    <col min="3595" max="3595" width="16.42578125" style="604" customWidth="1"/>
    <col min="3596" max="3596" width="16.140625" style="604" customWidth="1"/>
    <col min="3597" max="3597" width="19.7109375" style="604" customWidth="1"/>
    <col min="3598" max="3598" width="14.85546875" style="604" customWidth="1"/>
    <col min="3599" max="3599" width="11.5703125" style="604" customWidth="1"/>
    <col min="3600" max="3840" width="8.85546875" style="604"/>
    <col min="3841" max="3841" width="12.5703125" style="604" customWidth="1"/>
    <col min="3842" max="3842" width="9.85546875" style="604" customWidth="1"/>
    <col min="3843" max="3843" width="9.5703125" style="604" customWidth="1"/>
    <col min="3844" max="3844" width="30.5703125" style="604" customWidth="1"/>
    <col min="3845" max="3845" width="28.85546875" style="604" customWidth="1"/>
    <col min="3846" max="3846" width="21.42578125" style="604" customWidth="1"/>
    <col min="3847" max="3847" width="18" style="604" customWidth="1"/>
    <col min="3848" max="3848" width="15.85546875" style="604" customWidth="1"/>
    <col min="3849" max="3849" width="16.5703125" style="604" customWidth="1"/>
    <col min="3850" max="3850" width="18.85546875" style="604" customWidth="1"/>
    <col min="3851" max="3851" width="16.42578125" style="604" customWidth="1"/>
    <col min="3852" max="3852" width="16.140625" style="604" customWidth="1"/>
    <col min="3853" max="3853" width="19.7109375" style="604" customWidth="1"/>
    <col min="3854" max="3854" width="14.85546875" style="604" customWidth="1"/>
    <col min="3855" max="3855" width="11.5703125" style="604" customWidth="1"/>
    <col min="3856" max="4096" width="8.85546875" style="604"/>
    <col min="4097" max="4097" width="12.5703125" style="604" customWidth="1"/>
    <col min="4098" max="4098" width="9.85546875" style="604" customWidth="1"/>
    <col min="4099" max="4099" width="9.5703125" style="604" customWidth="1"/>
    <col min="4100" max="4100" width="30.5703125" style="604" customWidth="1"/>
    <col min="4101" max="4101" width="28.85546875" style="604" customWidth="1"/>
    <col min="4102" max="4102" width="21.42578125" style="604" customWidth="1"/>
    <col min="4103" max="4103" width="18" style="604" customWidth="1"/>
    <col min="4104" max="4104" width="15.85546875" style="604" customWidth="1"/>
    <col min="4105" max="4105" width="16.5703125" style="604" customWidth="1"/>
    <col min="4106" max="4106" width="18.85546875" style="604" customWidth="1"/>
    <col min="4107" max="4107" width="16.42578125" style="604" customWidth="1"/>
    <col min="4108" max="4108" width="16.140625" style="604" customWidth="1"/>
    <col min="4109" max="4109" width="19.7109375" style="604" customWidth="1"/>
    <col min="4110" max="4110" width="14.85546875" style="604" customWidth="1"/>
    <col min="4111" max="4111" width="11.5703125" style="604" customWidth="1"/>
    <col min="4112" max="4352" width="8.85546875" style="604"/>
    <col min="4353" max="4353" width="12.5703125" style="604" customWidth="1"/>
    <col min="4354" max="4354" width="9.85546875" style="604" customWidth="1"/>
    <col min="4355" max="4355" width="9.5703125" style="604" customWidth="1"/>
    <col min="4356" max="4356" width="30.5703125" style="604" customWidth="1"/>
    <col min="4357" max="4357" width="28.85546875" style="604" customWidth="1"/>
    <col min="4358" max="4358" width="21.42578125" style="604" customWidth="1"/>
    <col min="4359" max="4359" width="18" style="604" customWidth="1"/>
    <col min="4360" max="4360" width="15.85546875" style="604" customWidth="1"/>
    <col min="4361" max="4361" width="16.5703125" style="604" customWidth="1"/>
    <col min="4362" max="4362" width="18.85546875" style="604" customWidth="1"/>
    <col min="4363" max="4363" width="16.42578125" style="604" customWidth="1"/>
    <col min="4364" max="4364" width="16.140625" style="604" customWidth="1"/>
    <col min="4365" max="4365" width="19.7109375" style="604" customWidth="1"/>
    <col min="4366" max="4366" width="14.85546875" style="604" customWidth="1"/>
    <col min="4367" max="4367" width="11.5703125" style="604" customWidth="1"/>
    <col min="4368" max="4608" width="8.85546875" style="604"/>
    <col min="4609" max="4609" width="12.5703125" style="604" customWidth="1"/>
    <col min="4610" max="4610" width="9.85546875" style="604" customWidth="1"/>
    <col min="4611" max="4611" width="9.5703125" style="604" customWidth="1"/>
    <col min="4612" max="4612" width="30.5703125" style="604" customWidth="1"/>
    <col min="4613" max="4613" width="28.85546875" style="604" customWidth="1"/>
    <col min="4614" max="4614" width="21.42578125" style="604" customWidth="1"/>
    <col min="4615" max="4615" width="18" style="604" customWidth="1"/>
    <col min="4616" max="4616" width="15.85546875" style="604" customWidth="1"/>
    <col min="4617" max="4617" width="16.5703125" style="604" customWidth="1"/>
    <col min="4618" max="4618" width="18.85546875" style="604" customWidth="1"/>
    <col min="4619" max="4619" width="16.42578125" style="604" customWidth="1"/>
    <col min="4620" max="4620" width="16.140625" style="604" customWidth="1"/>
    <col min="4621" max="4621" width="19.7109375" style="604" customWidth="1"/>
    <col min="4622" max="4622" width="14.85546875" style="604" customWidth="1"/>
    <col min="4623" max="4623" width="11.5703125" style="604" customWidth="1"/>
    <col min="4624" max="4864" width="8.85546875" style="604"/>
    <col min="4865" max="4865" width="12.5703125" style="604" customWidth="1"/>
    <col min="4866" max="4866" width="9.85546875" style="604" customWidth="1"/>
    <col min="4867" max="4867" width="9.5703125" style="604" customWidth="1"/>
    <col min="4868" max="4868" width="30.5703125" style="604" customWidth="1"/>
    <col min="4869" max="4869" width="28.85546875" style="604" customWidth="1"/>
    <col min="4870" max="4870" width="21.42578125" style="604" customWidth="1"/>
    <col min="4871" max="4871" width="18" style="604" customWidth="1"/>
    <col min="4872" max="4872" width="15.85546875" style="604" customWidth="1"/>
    <col min="4873" max="4873" width="16.5703125" style="604" customWidth="1"/>
    <col min="4874" max="4874" width="18.85546875" style="604" customWidth="1"/>
    <col min="4875" max="4875" width="16.42578125" style="604" customWidth="1"/>
    <col min="4876" max="4876" width="16.140625" style="604" customWidth="1"/>
    <col min="4877" max="4877" width="19.7109375" style="604" customWidth="1"/>
    <col min="4878" max="4878" width="14.85546875" style="604" customWidth="1"/>
    <col min="4879" max="4879" width="11.5703125" style="604" customWidth="1"/>
    <col min="4880" max="5120" width="8.85546875" style="604"/>
    <col min="5121" max="5121" width="12.5703125" style="604" customWidth="1"/>
    <col min="5122" max="5122" width="9.85546875" style="604" customWidth="1"/>
    <col min="5123" max="5123" width="9.5703125" style="604" customWidth="1"/>
    <col min="5124" max="5124" width="30.5703125" style="604" customWidth="1"/>
    <col min="5125" max="5125" width="28.85546875" style="604" customWidth="1"/>
    <col min="5126" max="5126" width="21.42578125" style="604" customWidth="1"/>
    <col min="5127" max="5127" width="18" style="604" customWidth="1"/>
    <col min="5128" max="5128" width="15.85546875" style="604" customWidth="1"/>
    <col min="5129" max="5129" width="16.5703125" style="604" customWidth="1"/>
    <col min="5130" max="5130" width="18.85546875" style="604" customWidth="1"/>
    <col min="5131" max="5131" width="16.42578125" style="604" customWidth="1"/>
    <col min="5132" max="5132" width="16.140625" style="604" customWidth="1"/>
    <col min="5133" max="5133" width="19.7109375" style="604" customWidth="1"/>
    <col min="5134" max="5134" width="14.85546875" style="604" customWidth="1"/>
    <col min="5135" max="5135" width="11.5703125" style="604" customWidth="1"/>
    <col min="5136" max="5376" width="8.85546875" style="604"/>
    <col min="5377" max="5377" width="12.5703125" style="604" customWidth="1"/>
    <col min="5378" max="5378" width="9.85546875" style="604" customWidth="1"/>
    <col min="5379" max="5379" width="9.5703125" style="604" customWidth="1"/>
    <col min="5380" max="5380" width="30.5703125" style="604" customWidth="1"/>
    <col min="5381" max="5381" width="28.85546875" style="604" customWidth="1"/>
    <col min="5382" max="5382" width="21.42578125" style="604" customWidth="1"/>
    <col min="5383" max="5383" width="18" style="604" customWidth="1"/>
    <col min="5384" max="5384" width="15.85546875" style="604" customWidth="1"/>
    <col min="5385" max="5385" width="16.5703125" style="604" customWidth="1"/>
    <col min="5386" max="5386" width="18.85546875" style="604" customWidth="1"/>
    <col min="5387" max="5387" width="16.42578125" style="604" customWidth="1"/>
    <col min="5388" max="5388" width="16.140625" style="604" customWidth="1"/>
    <col min="5389" max="5389" width="19.7109375" style="604" customWidth="1"/>
    <col min="5390" max="5390" width="14.85546875" style="604" customWidth="1"/>
    <col min="5391" max="5391" width="11.5703125" style="604" customWidth="1"/>
    <col min="5392" max="5632" width="8.85546875" style="604"/>
    <col min="5633" max="5633" width="12.5703125" style="604" customWidth="1"/>
    <col min="5634" max="5634" width="9.85546875" style="604" customWidth="1"/>
    <col min="5635" max="5635" width="9.5703125" style="604" customWidth="1"/>
    <col min="5636" max="5636" width="30.5703125" style="604" customWidth="1"/>
    <col min="5637" max="5637" width="28.85546875" style="604" customWidth="1"/>
    <col min="5638" max="5638" width="21.42578125" style="604" customWidth="1"/>
    <col min="5639" max="5639" width="18" style="604" customWidth="1"/>
    <col min="5640" max="5640" width="15.85546875" style="604" customWidth="1"/>
    <col min="5641" max="5641" width="16.5703125" style="604" customWidth="1"/>
    <col min="5642" max="5642" width="18.85546875" style="604" customWidth="1"/>
    <col min="5643" max="5643" width="16.42578125" style="604" customWidth="1"/>
    <col min="5644" max="5644" width="16.140625" style="604" customWidth="1"/>
    <col min="5645" max="5645" width="19.7109375" style="604" customWidth="1"/>
    <col min="5646" max="5646" width="14.85546875" style="604" customWidth="1"/>
    <col min="5647" max="5647" width="11.5703125" style="604" customWidth="1"/>
    <col min="5648" max="5888" width="8.85546875" style="604"/>
    <col min="5889" max="5889" width="12.5703125" style="604" customWidth="1"/>
    <col min="5890" max="5890" width="9.85546875" style="604" customWidth="1"/>
    <col min="5891" max="5891" width="9.5703125" style="604" customWidth="1"/>
    <col min="5892" max="5892" width="30.5703125" style="604" customWidth="1"/>
    <col min="5893" max="5893" width="28.85546875" style="604" customWidth="1"/>
    <col min="5894" max="5894" width="21.42578125" style="604" customWidth="1"/>
    <col min="5895" max="5895" width="18" style="604" customWidth="1"/>
    <col min="5896" max="5896" width="15.85546875" style="604" customWidth="1"/>
    <col min="5897" max="5897" width="16.5703125" style="604" customWidth="1"/>
    <col min="5898" max="5898" width="18.85546875" style="604" customWidth="1"/>
    <col min="5899" max="5899" width="16.42578125" style="604" customWidth="1"/>
    <col min="5900" max="5900" width="16.140625" style="604" customWidth="1"/>
    <col min="5901" max="5901" width="19.7109375" style="604" customWidth="1"/>
    <col min="5902" max="5902" width="14.85546875" style="604" customWidth="1"/>
    <col min="5903" max="5903" width="11.5703125" style="604" customWidth="1"/>
    <col min="5904" max="6144" width="8.85546875" style="604"/>
    <col min="6145" max="6145" width="12.5703125" style="604" customWidth="1"/>
    <col min="6146" max="6146" width="9.85546875" style="604" customWidth="1"/>
    <col min="6147" max="6147" width="9.5703125" style="604" customWidth="1"/>
    <col min="6148" max="6148" width="30.5703125" style="604" customWidth="1"/>
    <col min="6149" max="6149" width="28.85546875" style="604" customWidth="1"/>
    <col min="6150" max="6150" width="21.42578125" style="604" customWidth="1"/>
    <col min="6151" max="6151" width="18" style="604" customWidth="1"/>
    <col min="6152" max="6152" width="15.85546875" style="604" customWidth="1"/>
    <col min="6153" max="6153" width="16.5703125" style="604" customWidth="1"/>
    <col min="6154" max="6154" width="18.85546875" style="604" customWidth="1"/>
    <col min="6155" max="6155" width="16.42578125" style="604" customWidth="1"/>
    <col min="6156" max="6156" width="16.140625" style="604" customWidth="1"/>
    <col min="6157" max="6157" width="19.7109375" style="604" customWidth="1"/>
    <col min="6158" max="6158" width="14.85546875" style="604" customWidth="1"/>
    <col min="6159" max="6159" width="11.5703125" style="604" customWidth="1"/>
    <col min="6160" max="6400" width="8.85546875" style="604"/>
    <col min="6401" max="6401" width="12.5703125" style="604" customWidth="1"/>
    <col min="6402" max="6402" width="9.85546875" style="604" customWidth="1"/>
    <col min="6403" max="6403" width="9.5703125" style="604" customWidth="1"/>
    <col min="6404" max="6404" width="30.5703125" style="604" customWidth="1"/>
    <col min="6405" max="6405" width="28.85546875" style="604" customWidth="1"/>
    <col min="6406" max="6406" width="21.42578125" style="604" customWidth="1"/>
    <col min="6407" max="6407" width="18" style="604" customWidth="1"/>
    <col min="6408" max="6408" width="15.85546875" style="604" customWidth="1"/>
    <col min="6409" max="6409" width="16.5703125" style="604" customWidth="1"/>
    <col min="6410" max="6410" width="18.85546875" style="604" customWidth="1"/>
    <col min="6411" max="6411" width="16.42578125" style="604" customWidth="1"/>
    <col min="6412" max="6412" width="16.140625" style="604" customWidth="1"/>
    <col min="6413" max="6413" width="19.7109375" style="604" customWidth="1"/>
    <col min="6414" max="6414" width="14.85546875" style="604" customWidth="1"/>
    <col min="6415" max="6415" width="11.5703125" style="604" customWidth="1"/>
    <col min="6416" max="6656" width="8.85546875" style="604"/>
    <col min="6657" max="6657" width="12.5703125" style="604" customWidth="1"/>
    <col min="6658" max="6658" width="9.85546875" style="604" customWidth="1"/>
    <col min="6659" max="6659" width="9.5703125" style="604" customWidth="1"/>
    <col min="6660" max="6660" width="30.5703125" style="604" customWidth="1"/>
    <col min="6661" max="6661" width="28.85546875" style="604" customWidth="1"/>
    <col min="6662" max="6662" width="21.42578125" style="604" customWidth="1"/>
    <col min="6663" max="6663" width="18" style="604" customWidth="1"/>
    <col min="6664" max="6664" width="15.85546875" style="604" customWidth="1"/>
    <col min="6665" max="6665" width="16.5703125" style="604" customWidth="1"/>
    <col min="6666" max="6666" width="18.85546875" style="604" customWidth="1"/>
    <col min="6667" max="6667" width="16.42578125" style="604" customWidth="1"/>
    <col min="6668" max="6668" width="16.140625" style="604" customWidth="1"/>
    <col min="6669" max="6669" width="19.7109375" style="604" customWidth="1"/>
    <col min="6670" max="6670" width="14.85546875" style="604" customWidth="1"/>
    <col min="6671" max="6671" width="11.5703125" style="604" customWidth="1"/>
    <col min="6672" max="6912" width="8.85546875" style="604"/>
    <col min="6913" max="6913" width="12.5703125" style="604" customWidth="1"/>
    <col min="6914" max="6914" width="9.85546875" style="604" customWidth="1"/>
    <col min="6915" max="6915" width="9.5703125" style="604" customWidth="1"/>
    <col min="6916" max="6916" width="30.5703125" style="604" customWidth="1"/>
    <col min="6917" max="6917" width="28.85546875" style="604" customWidth="1"/>
    <col min="6918" max="6918" width="21.42578125" style="604" customWidth="1"/>
    <col min="6919" max="6919" width="18" style="604" customWidth="1"/>
    <col min="6920" max="6920" width="15.85546875" style="604" customWidth="1"/>
    <col min="6921" max="6921" width="16.5703125" style="604" customWidth="1"/>
    <col min="6922" max="6922" width="18.85546875" style="604" customWidth="1"/>
    <col min="6923" max="6923" width="16.42578125" style="604" customWidth="1"/>
    <col min="6924" max="6924" width="16.140625" style="604" customWidth="1"/>
    <col min="6925" max="6925" width="19.7109375" style="604" customWidth="1"/>
    <col min="6926" max="6926" width="14.85546875" style="604" customWidth="1"/>
    <col min="6927" max="6927" width="11.5703125" style="604" customWidth="1"/>
    <col min="6928" max="7168" width="8.85546875" style="604"/>
    <col min="7169" max="7169" width="12.5703125" style="604" customWidth="1"/>
    <col min="7170" max="7170" width="9.85546875" style="604" customWidth="1"/>
    <col min="7171" max="7171" width="9.5703125" style="604" customWidth="1"/>
    <col min="7172" max="7172" width="30.5703125" style="604" customWidth="1"/>
    <col min="7173" max="7173" width="28.85546875" style="604" customWidth="1"/>
    <col min="7174" max="7174" width="21.42578125" style="604" customWidth="1"/>
    <col min="7175" max="7175" width="18" style="604" customWidth="1"/>
    <col min="7176" max="7176" width="15.85546875" style="604" customWidth="1"/>
    <col min="7177" max="7177" width="16.5703125" style="604" customWidth="1"/>
    <col min="7178" max="7178" width="18.85546875" style="604" customWidth="1"/>
    <col min="7179" max="7179" width="16.42578125" style="604" customWidth="1"/>
    <col min="7180" max="7180" width="16.140625" style="604" customWidth="1"/>
    <col min="7181" max="7181" width="19.7109375" style="604" customWidth="1"/>
    <col min="7182" max="7182" width="14.85546875" style="604" customWidth="1"/>
    <col min="7183" max="7183" width="11.5703125" style="604" customWidth="1"/>
    <col min="7184" max="7424" width="8.85546875" style="604"/>
    <col min="7425" max="7425" width="12.5703125" style="604" customWidth="1"/>
    <col min="7426" max="7426" width="9.85546875" style="604" customWidth="1"/>
    <col min="7427" max="7427" width="9.5703125" style="604" customWidth="1"/>
    <col min="7428" max="7428" width="30.5703125" style="604" customWidth="1"/>
    <col min="7429" max="7429" width="28.85546875" style="604" customWidth="1"/>
    <col min="7430" max="7430" width="21.42578125" style="604" customWidth="1"/>
    <col min="7431" max="7431" width="18" style="604" customWidth="1"/>
    <col min="7432" max="7432" width="15.85546875" style="604" customWidth="1"/>
    <col min="7433" max="7433" width="16.5703125" style="604" customWidth="1"/>
    <col min="7434" max="7434" width="18.85546875" style="604" customWidth="1"/>
    <col min="7435" max="7435" width="16.42578125" style="604" customWidth="1"/>
    <col min="7436" max="7436" width="16.140625" style="604" customWidth="1"/>
    <col min="7437" max="7437" width="19.7109375" style="604" customWidth="1"/>
    <col min="7438" max="7438" width="14.85546875" style="604" customWidth="1"/>
    <col min="7439" max="7439" width="11.5703125" style="604" customWidth="1"/>
    <col min="7440" max="7680" width="8.85546875" style="604"/>
    <col min="7681" max="7681" width="12.5703125" style="604" customWidth="1"/>
    <col min="7682" max="7682" width="9.85546875" style="604" customWidth="1"/>
    <col min="7683" max="7683" width="9.5703125" style="604" customWidth="1"/>
    <col min="7684" max="7684" width="30.5703125" style="604" customWidth="1"/>
    <col min="7685" max="7685" width="28.85546875" style="604" customWidth="1"/>
    <col min="7686" max="7686" width="21.42578125" style="604" customWidth="1"/>
    <col min="7687" max="7687" width="18" style="604" customWidth="1"/>
    <col min="7688" max="7688" width="15.85546875" style="604" customWidth="1"/>
    <col min="7689" max="7689" width="16.5703125" style="604" customWidth="1"/>
    <col min="7690" max="7690" width="18.85546875" style="604" customWidth="1"/>
    <col min="7691" max="7691" width="16.42578125" style="604" customWidth="1"/>
    <col min="7692" max="7692" width="16.140625" style="604" customWidth="1"/>
    <col min="7693" max="7693" width="19.7109375" style="604" customWidth="1"/>
    <col min="7694" max="7694" width="14.85546875" style="604" customWidth="1"/>
    <col min="7695" max="7695" width="11.5703125" style="604" customWidth="1"/>
    <col min="7696" max="7936" width="8.85546875" style="604"/>
    <col min="7937" max="7937" width="12.5703125" style="604" customWidth="1"/>
    <col min="7938" max="7938" width="9.85546875" style="604" customWidth="1"/>
    <col min="7939" max="7939" width="9.5703125" style="604" customWidth="1"/>
    <col min="7940" max="7940" width="30.5703125" style="604" customWidth="1"/>
    <col min="7941" max="7941" width="28.85546875" style="604" customWidth="1"/>
    <col min="7942" max="7942" width="21.42578125" style="604" customWidth="1"/>
    <col min="7943" max="7943" width="18" style="604" customWidth="1"/>
    <col min="7944" max="7944" width="15.85546875" style="604" customWidth="1"/>
    <col min="7945" max="7945" width="16.5703125" style="604" customWidth="1"/>
    <col min="7946" max="7946" width="18.85546875" style="604" customWidth="1"/>
    <col min="7947" max="7947" width="16.42578125" style="604" customWidth="1"/>
    <col min="7948" max="7948" width="16.140625" style="604" customWidth="1"/>
    <col min="7949" max="7949" width="19.7109375" style="604" customWidth="1"/>
    <col min="7950" max="7950" width="14.85546875" style="604" customWidth="1"/>
    <col min="7951" max="7951" width="11.5703125" style="604" customWidth="1"/>
    <col min="7952" max="8192" width="8.85546875" style="604"/>
    <col min="8193" max="8193" width="12.5703125" style="604" customWidth="1"/>
    <col min="8194" max="8194" width="9.85546875" style="604" customWidth="1"/>
    <col min="8195" max="8195" width="9.5703125" style="604" customWidth="1"/>
    <col min="8196" max="8196" width="30.5703125" style="604" customWidth="1"/>
    <col min="8197" max="8197" width="28.85546875" style="604" customWidth="1"/>
    <col min="8198" max="8198" width="21.42578125" style="604" customWidth="1"/>
    <col min="8199" max="8199" width="18" style="604" customWidth="1"/>
    <col min="8200" max="8200" width="15.85546875" style="604" customWidth="1"/>
    <col min="8201" max="8201" width="16.5703125" style="604" customWidth="1"/>
    <col min="8202" max="8202" width="18.85546875" style="604" customWidth="1"/>
    <col min="8203" max="8203" width="16.42578125" style="604" customWidth="1"/>
    <col min="8204" max="8204" width="16.140625" style="604" customWidth="1"/>
    <col min="8205" max="8205" width="19.7109375" style="604" customWidth="1"/>
    <col min="8206" max="8206" width="14.85546875" style="604" customWidth="1"/>
    <col min="8207" max="8207" width="11.5703125" style="604" customWidth="1"/>
    <col min="8208" max="8448" width="8.85546875" style="604"/>
    <col min="8449" max="8449" width="12.5703125" style="604" customWidth="1"/>
    <col min="8450" max="8450" width="9.85546875" style="604" customWidth="1"/>
    <col min="8451" max="8451" width="9.5703125" style="604" customWidth="1"/>
    <col min="8452" max="8452" width="30.5703125" style="604" customWidth="1"/>
    <col min="8453" max="8453" width="28.85546875" style="604" customWidth="1"/>
    <col min="8454" max="8454" width="21.42578125" style="604" customWidth="1"/>
    <col min="8455" max="8455" width="18" style="604" customWidth="1"/>
    <col min="8456" max="8456" width="15.85546875" style="604" customWidth="1"/>
    <col min="8457" max="8457" width="16.5703125" style="604" customWidth="1"/>
    <col min="8458" max="8458" width="18.85546875" style="604" customWidth="1"/>
    <col min="8459" max="8459" width="16.42578125" style="604" customWidth="1"/>
    <col min="8460" max="8460" width="16.140625" style="604" customWidth="1"/>
    <col min="8461" max="8461" width="19.7109375" style="604" customWidth="1"/>
    <col min="8462" max="8462" width="14.85546875" style="604" customWidth="1"/>
    <col min="8463" max="8463" width="11.5703125" style="604" customWidth="1"/>
    <col min="8464" max="8704" width="8.85546875" style="604"/>
    <col min="8705" max="8705" width="12.5703125" style="604" customWidth="1"/>
    <col min="8706" max="8706" width="9.85546875" style="604" customWidth="1"/>
    <col min="8707" max="8707" width="9.5703125" style="604" customWidth="1"/>
    <col min="8708" max="8708" width="30.5703125" style="604" customWidth="1"/>
    <col min="8709" max="8709" width="28.85546875" style="604" customWidth="1"/>
    <col min="8710" max="8710" width="21.42578125" style="604" customWidth="1"/>
    <col min="8711" max="8711" width="18" style="604" customWidth="1"/>
    <col min="8712" max="8712" width="15.85546875" style="604" customWidth="1"/>
    <col min="8713" max="8713" width="16.5703125" style="604" customWidth="1"/>
    <col min="8714" max="8714" width="18.85546875" style="604" customWidth="1"/>
    <col min="8715" max="8715" width="16.42578125" style="604" customWidth="1"/>
    <col min="8716" max="8716" width="16.140625" style="604" customWidth="1"/>
    <col min="8717" max="8717" width="19.7109375" style="604" customWidth="1"/>
    <col min="8718" max="8718" width="14.85546875" style="604" customWidth="1"/>
    <col min="8719" max="8719" width="11.5703125" style="604" customWidth="1"/>
    <col min="8720" max="8960" width="8.85546875" style="604"/>
    <col min="8961" max="8961" width="12.5703125" style="604" customWidth="1"/>
    <col min="8962" max="8962" width="9.85546875" style="604" customWidth="1"/>
    <col min="8963" max="8963" width="9.5703125" style="604" customWidth="1"/>
    <col min="8964" max="8964" width="30.5703125" style="604" customWidth="1"/>
    <col min="8965" max="8965" width="28.85546875" style="604" customWidth="1"/>
    <col min="8966" max="8966" width="21.42578125" style="604" customWidth="1"/>
    <col min="8967" max="8967" width="18" style="604" customWidth="1"/>
    <col min="8968" max="8968" width="15.85546875" style="604" customWidth="1"/>
    <col min="8969" max="8969" width="16.5703125" style="604" customWidth="1"/>
    <col min="8970" max="8970" width="18.85546875" style="604" customWidth="1"/>
    <col min="8971" max="8971" width="16.42578125" style="604" customWidth="1"/>
    <col min="8972" max="8972" width="16.140625" style="604" customWidth="1"/>
    <col min="8973" max="8973" width="19.7109375" style="604" customWidth="1"/>
    <col min="8974" max="8974" width="14.85546875" style="604" customWidth="1"/>
    <col min="8975" max="8975" width="11.5703125" style="604" customWidth="1"/>
    <col min="8976" max="9216" width="8.85546875" style="604"/>
    <col min="9217" max="9217" width="12.5703125" style="604" customWidth="1"/>
    <col min="9218" max="9218" width="9.85546875" style="604" customWidth="1"/>
    <col min="9219" max="9219" width="9.5703125" style="604" customWidth="1"/>
    <col min="9220" max="9220" width="30.5703125" style="604" customWidth="1"/>
    <col min="9221" max="9221" width="28.85546875" style="604" customWidth="1"/>
    <col min="9222" max="9222" width="21.42578125" style="604" customWidth="1"/>
    <col min="9223" max="9223" width="18" style="604" customWidth="1"/>
    <col min="9224" max="9224" width="15.85546875" style="604" customWidth="1"/>
    <col min="9225" max="9225" width="16.5703125" style="604" customWidth="1"/>
    <col min="9226" max="9226" width="18.85546875" style="604" customWidth="1"/>
    <col min="9227" max="9227" width="16.42578125" style="604" customWidth="1"/>
    <col min="9228" max="9228" width="16.140625" style="604" customWidth="1"/>
    <col min="9229" max="9229" width="19.7109375" style="604" customWidth="1"/>
    <col min="9230" max="9230" width="14.85546875" style="604" customWidth="1"/>
    <col min="9231" max="9231" width="11.5703125" style="604" customWidth="1"/>
    <col min="9232" max="9472" width="8.85546875" style="604"/>
    <col min="9473" max="9473" width="12.5703125" style="604" customWidth="1"/>
    <col min="9474" max="9474" width="9.85546875" style="604" customWidth="1"/>
    <col min="9475" max="9475" width="9.5703125" style="604" customWidth="1"/>
    <col min="9476" max="9476" width="30.5703125" style="604" customWidth="1"/>
    <col min="9477" max="9477" width="28.85546875" style="604" customWidth="1"/>
    <col min="9478" max="9478" width="21.42578125" style="604" customWidth="1"/>
    <col min="9479" max="9479" width="18" style="604" customWidth="1"/>
    <col min="9480" max="9480" width="15.85546875" style="604" customWidth="1"/>
    <col min="9481" max="9481" width="16.5703125" style="604" customWidth="1"/>
    <col min="9482" max="9482" width="18.85546875" style="604" customWidth="1"/>
    <col min="9483" max="9483" width="16.42578125" style="604" customWidth="1"/>
    <col min="9484" max="9484" width="16.140625" style="604" customWidth="1"/>
    <col min="9485" max="9485" width="19.7109375" style="604" customWidth="1"/>
    <col min="9486" max="9486" width="14.85546875" style="604" customWidth="1"/>
    <col min="9487" max="9487" width="11.5703125" style="604" customWidth="1"/>
    <col min="9488" max="9728" width="8.85546875" style="604"/>
    <col min="9729" max="9729" width="12.5703125" style="604" customWidth="1"/>
    <col min="9730" max="9730" width="9.85546875" style="604" customWidth="1"/>
    <col min="9731" max="9731" width="9.5703125" style="604" customWidth="1"/>
    <col min="9732" max="9732" width="30.5703125" style="604" customWidth="1"/>
    <col min="9733" max="9733" width="28.85546875" style="604" customWidth="1"/>
    <col min="9734" max="9734" width="21.42578125" style="604" customWidth="1"/>
    <col min="9735" max="9735" width="18" style="604" customWidth="1"/>
    <col min="9736" max="9736" width="15.85546875" style="604" customWidth="1"/>
    <col min="9737" max="9737" width="16.5703125" style="604" customWidth="1"/>
    <col min="9738" max="9738" width="18.85546875" style="604" customWidth="1"/>
    <col min="9739" max="9739" width="16.42578125" style="604" customWidth="1"/>
    <col min="9740" max="9740" width="16.140625" style="604" customWidth="1"/>
    <col min="9741" max="9741" width="19.7109375" style="604" customWidth="1"/>
    <col min="9742" max="9742" width="14.85546875" style="604" customWidth="1"/>
    <col min="9743" max="9743" width="11.5703125" style="604" customWidth="1"/>
    <col min="9744" max="9984" width="8.85546875" style="604"/>
    <col min="9985" max="9985" width="12.5703125" style="604" customWidth="1"/>
    <col min="9986" max="9986" width="9.85546875" style="604" customWidth="1"/>
    <col min="9987" max="9987" width="9.5703125" style="604" customWidth="1"/>
    <col min="9988" max="9988" width="30.5703125" style="604" customWidth="1"/>
    <col min="9989" max="9989" width="28.85546875" style="604" customWidth="1"/>
    <col min="9990" max="9990" width="21.42578125" style="604" customWidth="1"/>
    <col min="9991" max="9991" width="18" style="604" customWidth="1"/>
    <col min="9992" max="9992" width="15.85546875" style="604" customWidth="1"/>
    <col min="9993" max="9993" width="16.5703125" style="604" customWidth="1"/>
    <col min="9994" max="9994" width="18.85546875" style="604" customWidth="1"/>
    <col min="9995" max="9995" width="16.42578125" style="604" customWidth="1"/>
    <col min="9996" max="9996" width="16.140625" style="604" customWidth="1"/>
    <col min="9997" max="9997" width="19.7109375" style="604" customWidth="1"/>
    <col min="9998" max="9998" width="14.85546875" style="604" customWidth="1"/>
    <col min="9999" max="9999" width="11.5703125" style="604" customWidth="1"/>
    <col min="10000" max="10240" width="8.85546875" style="604"/>
    <col min="10241" max="10241" width="12.5703125" style="604" customWidth="1"/>
    <col min="10242" max="10242" width="9.85546875" style="604" customWidth="1"/>
    <col min="10243" max="10243" width="9.5703125" style="604" customWidth="1"/>
    <col min="10244" max="10244" width="30.5703125" style="604" customWidth="1"/>
    <col min="10245" max="10245" width="28.85546875" style="604" customWidth="1"/>
    <col min="10246" max="10246" width="21.42578125" style="604" customWidth="1"/>
    <col min="10247" max="10247" width="18" style="604" customWidth="1"/>
    <col min="10248" max="10248" width="15.85546875" style="604" customWidth="1"/>
    <col min="10249" max="10249" width="16.5703125" style="604" customWidth="1"/>
    <col min="10250" max="10250" width="18.85546875" style="604" customWidth="1"/>
    <col min="10251" max="10251" width="16.42578125" style="604" customWidth="1"/>
    <col min="10252" max="10252" width="16.140625" style="604" customWidth="1"/>
    <col min="10253" max="10253" width="19.7109375" style="604" customWidth="1"/>
    <col min="10254" max="10254" width="14.85546875" style="604" customWidth="1"/>
    <col min="10255" max="10255" width="11.5703125" style="604" customWidth="1"/>
    <col min="10256" max="10496" width="8.85546875" style="604"/>
    <col min="10497" max="10497" width="12.5703125" style="604" customWidth="1"/>
    <col min="10498" max="10498" width="9.85546875" style="604" customWidth="1"/>
    <col min="10499" max="10499" width="9.5703125" style="604" customWidth="1"/>
    <col min="10500" max="10500" width="30.5703125" style="604" customWidth="1"/>
    <col min="10501" max="10501" width="28.85546875" style="604" customWidth="1"/>
    <col min="10502" max="10502" width="21.42578125" style="604" customWidth="1"/>
    <col min="10503" max="10503" width="18" style="604" customWidth="1"/>
    <col min="10504" max="10504" width="15.85546875" style="604" customWidth="1"/>
    <col min="10505" max="10505" width="16.5703125" style="604" customWidth="1"/>
    <col min="10506" max="10506" width="18.85546875" style="604" customWidth="1"/>
    <col min="10507" max="10507" width="16.42578125" style="604" customWidth="1"/>
    <col min="10508" max="10508" width="16.140625" style="604" customWidth="1"/>
    <col min="10509" max="10509" width="19.7109375" style="604" customWidth="1"/>
    <col min="10510" max="10510" width="14.85546875" style="604" customWidth="1"/>
    <col min="10511" max="10511" width="11.5703125" style="604" customWidth="1"/>
    <col min="10512" max="10752" width="8.85546875" style="604"/>
    <col min="10753" max="10753" width="12.5703125" style="604" customWidth="1"/>
    <col min="10754" max="10754" width="9.85546875" style="604" customWidth="1"/>
    <col min="10755" max="10755" width="9.5703125" style="604" customWidth="1"/>
    <col min="10756" max="10756" width="30.5703125" style="604" customWidth="1"/>
    <col min="10757" max="10757" width="28.85546875" style="604" customWidth="1"/>
    <col min="10758" max="10758" width="21.42578125" style="604" customWidth="1"/>
    <col min="10759" max="10759" width="18" style="604" customWidth="1"/>
    <col min="10760" max="10760" width="15.85546875" style="604" customWidth="1"/>
    <col min="10761" max="10761" width="16.5703125" style="604" customWidth="1"/>
    <col min="10762" max="10762" width="18.85546875" style="604" customWidth="1"/>
    <col min="10763" max="10763" width="16.42578125" style="604" customWidth="1"/>
    <col min="10764" max="10764" width="16.140625" style="604" customWidth="1"/>
    <col min="10765" max="10765" width="19.7109375" style="604" customWidth="1"/>
    <col min="10766" max="10766" width="14.85546875" style="604" customWidth="1"/>
    <col min="10767" max="10767" width="11.5703125" style="604" customWidth="1"/>
    <col min="10768" max="11008" width="8.85546875" style="604"/>
    <col min="11009" max="11009" width="12.5703125" style="604" customWidth="1"/>
    <col min="11010" max="11010" width="9.85546875" style="604" customWidth="1"/>
    <col min="11011" max="11011" width="9.5703125" style="604" customWidth="1"/>
    <col min="11012" max="11012" width="30.5703125" style="604" customWidth="1"/>
    <col min="11013" max="11013" width="28.85546875" style="604" customWidth="1"/>
    <col min="11014" max="11014" width="21.42578125" style="604" customWidth="1"/>
    <col min="11015" max="11015" width="18" style="604" customWidth="1"/>
    <col min="11016" max="11016" width="15.85546875" style="604" customWidth="1"/>
    <col min="11017" max="11017" width="16.5703125" style="604" customWidth="1"/>
    <col min="11018" max="11018" width="18.85546875" style="604" customWidth="1"/>
    <col min="11019" max="11019" width="16.42578125" style="604" customWidth="1"/>
    <col min="11020" max="11020" width="16.140625" style="604" customWidth="1"/>
    <col min="11021" max="11021" width="19.7109375" style="604" customWidth="1"/>
    <col min="11022" max="11022" width="14.85546875" style="604" customWidth="1"/>
    <col min="11023" max="11023" width="11.5703125" style="604" customWidth="1"/>
    <col min="11024" max="11264" width="8.85546875" style="604"/>
    <col min="11265" max="11265" width="12.5703125" style="604" customWidth="1"/>
    <col min="11266" max="11266" width="9.85546875" style="604" customWidth="1"/>
    <col min="11267" max="11267" width="9.5703125" style="604" customWidth="1"/>
    <col min="11268" max="11268" width="30.5703125" style="604" customWidth="1"/>
    <col min="11269" max="11269" width="28.85546875" style="604" customWidth="1"/>
    <col min="11270" max="11270" width="21.42578125" style="604" customWidth="1"/>
    <col min="11271" max="11271" width="18" style="604" customWidth="1"/>
    <col min="11272" max="11272" width="15.85546875" style="604" customWidth="1"/>
    <col min="11273" max="11273" width="16.5703125" style="604" customWidth="1"/>
    <col min="11274" max="11274" width="18.85546875" style="604" customWidth="1"/>
    <col min="11275" max="11275" width="16.42578125" style="604" customWidth="1"/>
    <col min="11276" max="11276" width="16.140625" style="604" customWidth="1"/>
    <col min="11277" max="11277" width="19.7109375" style="604" customWidth="1"/>
    <col min="11278" max="11278" width="14.85546875" style="604" customWidth="1"/>
    <col min="11279" max="11279" width="11.5703125" style="604" customWidth="1"/>
    <col min="11280" max="11520" width="8.85546875" style="604"/>
    <col min="11521" max="11521" width="12.5703125" style="604" customWidth="1"/>
    <col min="11522" max="11522" width="9.85546875" style="604" customWidth="1"/>
    <col min="11523" max="11523" width="9.5703125" style="604" customWidth="1"/>
    <col min="11524" max="11524" width="30.5703125" style="604" customWidth="1"/>
    <col min="11525" max="11525" width="28.85546875" style="604" customWidth="1"/>
    <col min="11526" max="11526" width="21.42578125" style="604" customWidth="1"/>
    <col min="11527" max="11527" width="18" style="604" customWidth="1"/>
    <col min="11528" max="11528" width="15.85546875" style="604" customWidth="1"/>
    <col min="11529" max="11529" width="16.5703125" style="604" customWidth="1"/>
    <col min="11530" max="11530" width="18.85546875" style="604" customWidth="1"/>
    <col min="11531" max="11531" width="16.42578125" style="604" customWidth="1"/>
    <col min="11532" max="11532" width="16.140625" style="604" customWidth="1"/>
    <col min="11533" max="11533" width="19.7109375" style="604" customWidth="1"/>
    <col min="11534" max="11534" width="14.85546875" style="604" customWidth="1"/>
    <col min="11535" max="11535" width="11.5703125" style="604" customWidth="1"/>
    <col min="11536" max="11776" width="8.85546875" style="604"/>
    <col min="11777" max="11777" width="12.5703125" style="604" customWidth="1"/>
    <col min="11778" max="11778" width="9.85546875" style="604" customWidth="1"/>
    <col min="11779" max="11779" width="9.5703125" style="604" customWidth="1"/>
    <col min="11780" max="11780" width="30.5703125" style="604" customWidth="1"/>
    <col min="11781" max="11781" width="28.85546875" style="604" customWidth="1"/>
    <col min="11782" max="11782" width="21.42578125" style="604" customWidth="1"/>
    <col min="11783" max="11783" width="18" style="604" customWidth="1"/>
    <col min="11784" max="11784" width="15.85546875" style="604" customWidth="1"/>
    <col min="11785" max="11785" width="16.5703125" style="604" customWidth="1"/>
    <col min="11786" max="11786" width="18.85546875" style="604" customWidth="1"/>
    <col min="11787" max="11787" width="16.42578125" style="604" customWidth="1"/>
    <col min="11788" max="11788" width="16.140625" style="604" customWidth="1"/>
    <col min="11789" max="11789" width="19.7109375" style="604" customWidth="1"/>
    <col min="11790" max="11790" width="14.85546875" style="604" customWidth="1"/>
    <col min="11791" max="11791" width="11.5703125" style="604" customWidth="1"/>
    <col min="11792" max="12032" width="8.85546875" style="604"/>
    <col min="12033" max="12033" width="12.5703125" style="604" customWidth="1"/>
    <col min="12034" max="12034" width="9.85546875" style="604" customWidth="1"/>
    <col min="12035" max="12035" width="9.5703125" style="604" customWidth="1"/>
    <col min="12036" max="12036" width="30.5703125" style="604" customWidth="1"/>
    <col min="12037" max="12037" width="28.85546875" style="604" customWidth="1"/>
    <col min="12038" max="12038" width="21.42578125" style="604" customWidth="1"/>
    <col min="12039" max="12039" width="18" style="604" customWidth="1"/>
    <col min="12040" max="12040" width="15.85546875" style="604" customWidth="1"/>
    <col min="12041" max="12041" width="16.5703125" style="604" customWidth="1"/>
    <col min="12042" max="12042" width="18.85546875" style="604" customWidth="1"/>
    <col min="12043" max="12043" width="16.42578125" style="604" customWidth="1"/>
    <col min="12044" max="12044" width="16.140625" style="604" customWidth="1"/>
    <col min="12045" max="12045" width="19.7109375" style="604" customWidth="1"/>
    <col min="12046" max="12046" width="14.85546875" style="604" customWidth="1"/>
    <col min="12047" max="12047" width="11.5703125" style="604" customWidth="1"/>
    <col min="12048" max="12288" width="8.85546875" style="604"/>
    <col min="12289" max="12289" width="12.5703125" style="604" customWidth="1"/>
    <col min="12290" max="12290" width="9.85546875" style="604" customWidth="1"/>
    <col min="12291" max="12291" width="9.5703125" style="604" customWidth="1"/>
    <col min="12292" max="12292" width="30.5703125" style="604" customWidth="1"/>
    <col min="12293" max="12293" width="28.85546875" style="604" customWidth="1"/>
    <col min="12294" max="12294" width="21.42578125" style="604" customWidth="1"/>
    <col min="12295" max="12295" width="18" style="604" customWidth="1"/>
    <col min="12296" max="12296" width="15.85546875" style="604" customWidth="1"/>
    <col min="12297" max="12297" width="16.5703125" style="604" customWidth="1"/>
    <col min="12298" max="12298" width="18.85546875" style="604" customWidth="1"/>
    <col min="12299" max="12299" width="16.42578125" style="604" customWidth="1"/>
    <col min="12300" max="12300" width="16.140625" style="604" customWidth="1"/>
    <col min="12301" max="12301" width="19.7109375" style="604" customWidth="1"/>
    <col min="12302" max="12302" width="14.85546875" style="604" customWidth="1"/>
    <col min="12303" max="12303" width="11.5703125" style="604" customWidth="1"/>
    <col min="12304" max="12544" width="8.85546875" style="604"/>
    <col min="12545" max="12545" width="12.5703125" style="604" customWidth="1"/>
    <col min="12546" max="12546" width="9.85546875" style="604" customWidth="1"/>
    <col min="12547" max="12547" width="9.5703125" style="604" customWidth="1"/>
    <col min="12548" max="12548" width="30.5703125" style="604" customWidth="1"/>
    <col min="12549" max="12549" width="28.85546875" style="604" customWidth="1"/>
    <col min="12550" max="12550" width="21.42578125" style="604" customWidth="1"/>
    <col min="12551" max="12551" width="18" style="604" customWidth="1"/>
    <col min="12552" max="12552" width="15.85546875" style="604" customWidth="1"/>
    <col min="12553" max="12553" width="16.5703125" style="604" customWidth="1"/>
    <col min="12554" max="12554" width="18.85546875" style="604" customWidth="1"/>
    <col min="12555" max="12555" width="16.42578125" style="604" customWidth="1"/>
    <col min="12556" max="12556" width="16.140625" style="604" customWidth="1"/>
    <col min="12557" max="12557" width="19.7109375" style="604" customWidth="1"/>
    <col min="12558" max="12558" width="14.85546875" style="604" customWidth="1"/>
    <col min="12559" max="12559" width="11.5703125" style="604" customWidth="1"/>
    <col min="12560" max="12800" width="8.85546875" style="604"/>
    <col min="12801" max="12801" width="12.5703125" style="604" customWidth="1"/>
    <col min="12802" max="12802" width="9.85546875" style="604" customWidth="1"/>
    <col min="12803" max="12803" width="9.5703125" style="604" customWidth="1"/>
    <col min="12804" max="12804" width="30.5703125" style="604" customWidth="1"/>
    <col min="12805" max="12805" width="28.85546875" style="604" customWidth="1"/>
    <col min="12806" max="12806" width="21.42578125" style="604" customWidth="1"/>
    <col min="12807" max="12807" width="18" style="604" customWidth="1"/>
    <col min="12808" max="12808" width="15.85546875" style="604" customWidth="1"/>
    <col min="12809" max="12809" width="16.5703125" style="604" customWidth="1"/>
    <col min="12810" max="12810" width="18.85546875" style="604" customWidth="1"/>
    <col min="12811" max="12811" width="16.42578125" style="604" customWidth="1"/>
    <col min="12812" max="12812" width="16.140625" style="604" customWidth="1"/>
    <col min="12813" max="12813" width="19.7109375" style="604" customWidth="1"/>
    <col min="12814" max="12814" width="14.85546875" style="604" customWidth="1"/>
    <col min="12815" max="12815" width="11.5703125" style="604" customWidth="1"/>
    <col min="12816" max="13056" width="8.85546875" style="604"/>
    <col min="13057" max="13057" width="12.5703125" style="604" customWidth="1"/>
    <col min="13058" max="13058" width="9.85546875" style="604" customWidth="1"/>
    <col min="13059" max="13059" width="9.5703125" style="604" customWidth="1"/>
    <col min="13060" max="13060" width="30.5703125" style="604" customWidth="1"/>
    <col min="13061" max="13061" width="28.85546875" style="604" customWidth="1"/>
    <col min="13062" max="13062" width="21.42578125" style="604" customWidth="1"/>
    <col min="13063" max="13063" width="18" style="604" customWidth="1"/>
    <col min="13064" max="13064" width="15.85546875" style="604" customWidth="1"/>
    <col min="13065" max="13065" width="16.5703125" style="604" customWidth="1"/>
    <col min="13066" max="13066" width="18.85546875" style="604" customWidth="1"/>
    <col min="13067" max="13067" width="16.42578125" style="604" customWidth="1"/>
    <col min="13068" max="13068" width="16.140625" style="604" customWidth="1"/>
    <col min="13069" max="13069" width="19.7109375" style="604" customWidth="1"/>
    <col min="13070" max="13070" width="14.85546875" style="604" customWidth="1"/>
    <col min="13071" max="13071" width="11.5703125" style="604" customWidth="1"/>
    <col min="13072" max="13312" width="8.85546875" style="604"/>
    <col min="13313" max="13313" width="12.5703125" style="604" customWidth="1"/>
    <col min="13314" max="13314" width="9.85546875" style="604" customWidth="1"/>
    <col min="13315" max="13315" width="9.5703125" style="604" customWidth="1"/>
    <col min="13316" max="13316" width="30.5703125" style="604" customWidth="1"/>
    <col min="13317" max="13317" width="28.85546875" style="604" customWidth="1"/>
    <col min="13318" max="13318" width="21.42578125" style="604" customWidth="1"/>
    <col min="13319" max="13319" width="18" style="604" customWidth="1"/>
    <col min="13320" max="13320" width="15.85546875" style="604" customWidth="1"/>
    <col min="13321" max="13321" width="16.5703125" style="604" customWidth="1"/>
    <col min="13322" max="13322" width="18.85546875" style="604" customWidth="1"/>
    <col min="13323" max="13323" width="16.42578125" style="604" customWidth="1"/>
    <col min="13324" max="13324" width="16.140625" style="604" customWidth="1"/>
    <col min="13325" max="13325" width="19.7109375" style="604" customWidth="1"/>
    <col min="13326" max="13326" width="14.85546875" style="604" customWidth="1"/>
    <col min="13327" max="13327" width="11.5703125" style="604" customWidth="1"/>
    <col min="13328" max="13568" width="8.85546875" style="604"/>
    <col min="13569" max="13569" width="12.5703125" style="604" customWidth="1"/>
    <col min="13570" max="13570" width="9.85546875" style="604" customWidth="1"/>
    <col min="13571" max="13571" width="9.5703125" style="604" customWidth="1"/>
    <col min="13572" max="13572" width="30.5703125" style="604" customWidth="1"/>
    <col min="13573" max="13573" width="28.85546875" style="604" customWidth="1"/>
    <col min="13574" max="13574" width="21.42578125" style="604" customWidth="1"/>
    <col min="13575" max="13575" width="18" style="604" customWidth="1"/>
    <col min="13576" max="13576" width="15.85546875" style="604" customWidth="1"/>
    <col min="13577" max="13577" width="16.5703125" style="604" customWidth="1"/>
    <col min="13578" max="13578" width="18.85546875" style="604" customWidth="1"/>
    <col min="13579" max="13579" width="16.42578125" style="604" customWidth="1"/>
    <col min="13580" max="13580" width="16.140625" style="604" customWidth="1"/>
    <col min="13581" max="13581" width="19.7109375" style="604" customWidth="1"/>
    <col min="13582" max="13582" width="14.85546875" style="604" customWidth="1"/>
    <col min="13583" max="13583" width="11.5703125" style="604" customWidth="1"/>
    <col min="13584" max="13824" width="8.85546875" style="604"/>
    <col min="13825" max="13825" width="12.5703125" style="604" customWidth="1"/>
    <col min="13826" max="13826" width="9.85546875" style="604" customWidth="1"/>
    <col min="13827" max="13827" width="9.5703125" style="604" customWidth="1"/>
    <col min="13828" max="13828" width="30.5703125" style="604" customWidth="1"/>
    <col min="13829" max="13829" width="28.85546875" style="604" customWidth="1"/>
    <col min="13830" max="13830" width="21.42578125" style="604" customWidth="1"/>
    <col min="13831" max="13831" width="18" style="604" customWidth="1"/>
    <col min="13832" max="13832" width="15.85546875" style="604" customWidth="1"/>
    <col min="13833" max="13833" width="16.5703125" style="604" customWidth="1"/>
    <col min="13834" max="13834" width="18.85546875" style="604" customWidth="1"/>
    <col min="13835" max="13835" width="16.42578125" style="604" customWidth="1"/>
    <col min="13836" max="13836" width="16.140625" style="604" customWidth="1"/>
    <col min="13837" max="13837" width="19.7109375" style="604" customWidth="1"/>
    <col min="13838" max="13838" width="14.85546875" style="604" customWidth="1"/>
    <col min="13839" max="13839" width="11.5703125" style="604" customWidth="1"/>
    <col min="13840" max="14080" width="8.85546875" style="604"/>
    <col min="14081" max="14081" width="12.5703125" style="604" customWidth="1"/>
    <col min="14082" max="14082" width="9.85546875" style="604" customWidth="1"/>
    <col min="14083" max="14083" width="9.5703125" style="604" customWidth="1"/>
    <col min="14084" max="14084" width="30.5703125" style="604" customWidth="1"/>
    <col min="14085" max="14085" width="28.85546875" style="604" customWidth="1"/>
    <col min="14086" max="14086" width="21.42578125" style="604" customWidth="1"/>
    <col min="14087" max="14087" width="18" style="604" customWidth="1"/>
    <col min="14088" max="14088" width="15.85546875" style="604" customWidth="1"/>
    <col min="14089" max="14089" width="16.5703125" style="604" customWidth="1"/>
    <col min="14090" max="14090" width="18.85546875" style="604" customWidth="1"/>
    <col min="14091" max="14091" width="16.42578125" style="604" customWidth="1"/>
    <col min="14092" max="14092" width="16.140625" style="604" customWidth="1"/>
    <col min="14093" max="14093" width="19.7109375" style="604" customWidth="1"/>
    <col min="14094" max="14094" width="14.85546875" style="604" customWidth="1"/>
    <col min="14095" max="14095" width="11.5703125" style="604" customWidth="1"/>
    <col min="14096" max="14336" width="8.85546875" style="604"/>
    <col min="14337" max="14337" width="12.5703125" style="604" customWidth="1"/>
    <col min="14338" max="14338" width="9.85546875" style="604" customWidth="1"/>
    <col min="14339" max="14339" width="9.5703125" style="604" customWidth="1"/>
    <col min="14340" max="14340" width="30.5703125" style="604" customWidth="1"/>
    <col min="14341" max="14341" width="28.85546875" style="604" customWidth="1"/>
    <col min="14342" max="14342" width="21.42578125" style="604" customWidth="1"/>
    <col min="14343" max="14343" width="18" style="604" customWidth="1"/>
    <col min="14344" max="14344" width="15.85546875" style="604" customWidth="1"/>
    <col min="14345" max="14345" width="16.5703125" style="604" customWidth="1"/>
    <col min="14346" max="14346" width="18.85546875" style="604" customWidth="1"/>
    <col min="14347" max="14347" width="16.42578125" style="604" customWidth="1"/>
    <col min="14348" max="14348" width="16.140625" style="604" customWidth="1"/>
    <col min="14349" max="14349" width="19.7109375" style="604" customWidth="1"/>
    <col min="14350" max="14350" width="14.85546875" style="604" customWidth="1"/>
    <col min="14351" max="14351" width="11.5703125" style="604" customWidth="1"/>
    <col min="14352" max="14592" width="8.85546875" style="604"/>
    <col min="14593" max="14593" width="12.5703125" style="604" customWidth="1"/>
    <col min="14594" max="14594" width="9.85546875" style="604" customWidth="1"/>
    <col min="14595" max="14595" width="9.5703125" style="604" customWidth="1"/>
    <col min="14596" max="14596" width="30.5703125" style="604" customWidth="1"/>
    <col min="14597" max="14597" width="28.85546875" style="604" customWidth="1"/>
    <col min="14598" max="14598" width="21.42578125" style="604" customWidth="1"/>
    <col min="14599" max="14599" width="18" style="604" customWidth="1"/>
    <col min="14600" max="14600" width="15.85546875" style="604" customWidth="1"/>
    <col min="14601" max="14601" width="16.5703125" style="604" customWidth="1"/>
    <col min="14602" max="14602" width="18.85546875" style="604" customWidth="1"/>
    <col min="14603" max="14603" width="16.42578125" style="604" customWidth="1"/>
    <col min="14604" max="14604" width="16.140625" style="604" customWidth="1"/>
    <col min="14605" max="14605" width="19.7109375" style="604" customWidth="1"/>
    <col min="14606" max="14606" width="14.85546875" style="604" customWidth="1"/>
    <col min="14607" max="14607" width="11.5703125" style="604" customWidth="1"/>
    <col min="14608" max="14848" width="8.85546875" style="604"/>
    <col min="14849" max="14849" width="12.5703125" style="604" customWidth="1"/>
    <col min="14850" max="14850" width="9.85546875" style="604" customWidth="1"/>
    <col min="14851" max="14851" width="9.5703125" style="604" customWidth="1"/>
    <col min="14852" max="14852" width="30.5703125" style="604" customWidth="1"/>
    <col min="14853" max="14853" width="28.85546875" style="604" customWidth="1"/>
    <col min="14854" max="14854" width="21.42578125" style="604" customWidth="1"/>
    <col min="14855" max="14855" width="18" style="604" customWidth="1"/>
    <col min="14856" max="14856" width="15.85546875" style="604" customWidth="1"/>
    <col min="14857" max="14857" width="16.5703125" style="604" customWidth="1"/>
    <col min="14858" max="14858" width="18.85546875" style="604" customWidth="1"/>
    <col min="14859" max="14859" width="16.42578125" style="604" customWidth="1"/>
    <col min="14860" max="14860" width="16.140625" style="604" customWidth="1"/>
    <col min="14861" max="14861" width="19.7109375" style="604" customWidth="1"/>
    <col min="14862" max="14862" width="14.85546875" style="604" customWidth="1"/>
    <col min="14863" max="14863" width="11.5703125" style="604" customWidth="1"/>
    <col min="14864" max="15104" width="8.85546875" style="604"/>
    <col min="15105" max="15105" width="12.5703125" style="604" customWidth="1"/>
    <col min="15106" max="15106" width="9.85546875" style="604" customWidth="1"/>
    <col min="15107" max="15107" width="9.5703125" style="604" customWidth="1"/>
    <col min="15108" max="15108" width="30.5703125" style="604" customWidth="1"/>
    <col min="15109" max="15109" width="28.85546875" style="604" customWidth="1"/>
    <col min="15110" max="15110" width="21.42578125" style="604" customWidth="1"/>
    <col min="15111" max="15111" width="18" style="604" customWidth="1"/>
    <col min="15112" max="15112" width="15.85546875" style="604" customWidth="1"/>
    <col min="15113" max="15113" width="16.5703125" style="604" customWidth="1"/>
    <col min="15114" max="15114" width="18.85546875" style="604" customWidth="1"/>
    <col min="15115" max="15115" width="16.42578125" style="604" customWidth="1"/>
    <col min="15116" max="15116" width="16.140625" style="604" customWidth="1"/>
    <col min="15117" max="15117" width="19.7109375" style="604" customWidth="1"/>
    <col min="15118" max="15118" width="14.85546875" style="604" customWidth="1"/>
    <col min="15119" max="15119" width="11.5703125" style="604" customWidth="1"/>
    <col min="15120" max="15360" width="8.85546875" style="604"/>
    <col min="15361" max="15361" width="12.5703125" style="604" customWidth="1"/>
    <col min="15362" max="15362" width="9.85546875" style="604" customWidth="1"/>
    <col min="15363" max="15363" width="9.5703125" style="604" customWidth="1"/>
    <col min="15364" max="15364" width="30.5703125" style="604" customWidth="1"/>
    <col min="15365" max="15365" width="28.85546875" style="604" customWidth="1"/>
    <col min="15366" max="15366" width="21.42578125" style="604" customWidth="1"/>
    <col min="15367" max="15367" width="18" style="604" customWidth="1"/>
    <col min="15368" max="15368" width="15.85546875" style="604" customWidth="1"/>
    <col min="15369" max="15369" width="16.5703125" style="604" customWidth="1"/>
    <col min="15370" max="15370" width="18.85546875" style="604" customWidth="1"/>
    <col min="15371" max="15371" width="16.42578125" style="604" customWidth="1"/>
    <col min="15372" max="15372" width="16.140625" style="604" customWidth="1"/>
    <col min="15373" max="15373" width="19.7109375" style="604" customWidth="1"/>
    <col min="15374" max="15374" width="14.85546875" style="604" customWidth="1"/>
    <col min="15375" max="15375" width="11.5703125" style="604" customWidth="1"/>
    <col min="15376" max="15616" width="8.85546875" style="604"/>
    <col min="15617" max="15617" width="12.5703125" style="604" customWidth="1"/>
    <col min="15618" max="15618" width="9.85546875" style="604" customWidth="1"/>
    <col min="15619" max="15619" width="9.5703125" style="604" customWidth="1"/>
    <col min="15620" max="15620" width="30.5703125" style="604" customWidth="1"/>
    <col min="15621" max="15621" width="28.85546875" style="604" customWidth="1"/>
    <col min="15622" max="15622" width="21.42578125" style="604" customWidth="1"/>
    <col min="15623" max="15623" width="18" style="604" customWidth="1"/>
    <col min="15624" max="15624" width="15.85546875" style="604" customWidth="1"/>
    <col min="15625" max="15625" width="16.5703125" style="604" customWidth="1"/>
    <col min="15626" max="15626" width="18.85546875" style="604" customWidth="1"/>
    <col min="15627" max="15627" width="16.42578125" style="604" customWidth="1"/>
    <col min="15628" max="15628" width="16.140625" style="604" customWidth="1"/>
    <col min="15629" max="15629" width="19.7109375" style="604" customWidth="1"/>
    <col min="15630" max="15630" width="14.85546875" style="604" customWidth="1"/>
    <col min="15631" max="15631" width="11.5703125" style="604" customWidth="1"/>
    <col min="15632" max="15872" width="8.85546875" style="604"/>
    <col min="15873" max="15873" width="12.5703125" style="604" customWidth="1"/>
    <col min="15874" max="15874" width="9.85546875" style="604" customWidth="1"/>
    <col min="15875" max="15875" width="9.5703125" style="604" customWidth="1"/>
    <col min="15876" max="15876" width="30.5703125" style="604" customWidth="1"/>
    <col min="15877" max="15877" width="28.85546875" style="604" customWidth="1"/>
    <col min="15878" max="15878" width="21.42578125" style="604" customWidth="1"/>
    <col min="15879" max="15879" width="18" style="604" customWidth="1"/>
    <col min="15880" max="15880" width="15.85546875" style="604" customWidth="1"/>
    <col min="15881" max="15881" width="16.5703125" style="604" customWidth="1"/>
    <col min="15882" max="15882" width="18.85546875" style="604" customWidth="1"/>
    <col min="15883" max="15883" width="16.42578125" style="604" customWidth="1"/>
    <col min="15884" max="15884" width="16.140625" style="604" customWidth="1"/>
    <col min="15885" max="15885" width="19.7109375" style="604" customWidth="1"/>
    <col min="15886" max="15886" width="14.85546875" style="604" customWidth="1"/>
    <col min="15887" max="15887" width="11.5703125" style="604" customWidth="1"/>
    <col min="15888" max="16128" width="8.85546875" style="604"/>
    <col min="16129" max="16129" width="12.5703125" style="604" customWidth="1"/>
    <col min="16130" max="16130" width="9.85546875" style="604" customWidth="1"/>
    <col min="16131" max="16131" width="9.5703125" style="604" customWidth="1"/>
    <col min="16132" max="16132" width="30.5703125" style="604" customWidth="1"/>
    <col min="16133" max="16133" width="28.85546875" style="604" customWidth="1"/>
    <col min="16134" max="16134" width="21.42578125" style="604" customWidth="1"/>
    <col min="16135" max="16135" width="18" style="604" customWidth="1"/>
    <col min="16136" max="16136" width="15.85546875" style="604" customWidth="1"/>
    <col min="16137" max="16137" width="16.5703125" style="604" customWidth="1"/>
    <col min="16138" max="16138" width="18.85546875" style="604" customWidth="1"/>
    <col min="16139" max="16139" width="16.42578125" style="604" customWidth="1"/>
    <col min="16140" max="16140" width="16.140625" style="604" customWidth="1"/>
    <col min="16141" max="16141" width="19.7109375" style="604" customWidth="1"/>
    <col min="16142" max="16142" width="14.85546875" style="604" customWidth="1"/>
    <col min="16143" max="16143" width="11.5703125" style="604" customWidth="1"/>
    <col min="16144" max="16384" width="8.85546875" style="604"/>
  </cols>
  <sheetData>
    <row r="1" spans="1:15" ht="15.75" hidden="1" customHeight="1" x14ac:dyDescent="0.2">
      <c r="I1" s="607" t="s">
        <v>411</v>
      </c>
      <c r="J1" s="607"/>
      <c r="L1" s="1322" t="s">
        <v>548</v>
      </c>
      <c r="M1" s="1322"/>
    </row>
    <row r="2" spans="1:15" ht="15.75" hidden="1" customHeight="1" x14ac:dyDescent="0.2">
      <c r="I2" s="607" t="s">
        <v>412</v>
      </c>
      <c r="J2" s="607"/>
      <c r="L2" s="1322"/>
      <c r="M2" s="1322"/>
    </row>
    <row r="3" spans="1:15" ht="15.75" hidden="1" customHeight="1" x14ac:dyDescent="0.2">
      <c r="I3" s="610" t="s">
        <v>413</v>
      </c>
      <c r="J3" s="610"/>
      <c r="L3" s="1322"/>
      <c r="M3" s="1322"/>
    </row>
    <row r="4" spans="1:15" ht="15.75" hidden="1" customHeight="1" x14ac:dyDescent="0.2">
      <c r="I4" s="611" t="s">
        <v>414</v>
      </c>
      <c r="J4" s="611"/>
      <c r="L4" s="1322"/>
      <c r="M4" s="1322"/>
    </row>
    <row r="5" spans="1:15" ht="15.75" hidden="1" customHeight="1" x14ac:dyDescent="0.2">
      <c r="L5" s="1322"/>
      <c r="M5" s="1322"/>
    </row>
    <row r="6" spans="1:15" x14ac:dyDescent="0.25">
      <c r="L6" s="1322"/>
      <c r="M6" s="1322"/>
      <c r="N6" s="743"/>
    </row>
    <row r="7" spans="1:15" x14ac:dyDescent="0.25">
      <c r="L7" s="1322" t="s">
        <v>453</v>
      </c>
      <c r="M7" s="1322"/>
      <c r="N7" s="1322"/>
      <c r="O7" s="1322"/>
    </row>
    <row r="8" spans="1:15" x14ac:dyDescent="0.25">
      <c r="L8" s="1322" t="s">
        <v>619</v>
      </c>
      <c r="M8" s="1322"/>
      <c r="N8" s="1322"/>
      <c r="O8" s="741"/>
    </row>
    <row r="9" spans="1:15" x14ac:dyDescent="0.25">
      <c r="L9" s="1322" t="s">
        <v>747</v>
      </c>
      <c r="M9" s="1322"/>
      <c r="N9" s="1322"/>
      <c r="O9" s="1322"/>
    </row>
    <row r="10" spans="1:15" x14ac:dyDescent="0.25">
      <c r="L10" s="1322" t="s">
        <v>748</v>
      </c>
      <c r="M10" s="1322"/>
      <c r="N10" s="1322"/>
      <c r="O10" s="1322"/>
    </row>
    <row r="11" spans="1:15" ht="15.75" customHeight="1" x14ac:dyDescent="0.25">
      <c r="G11" s="1325"/>
      <c r="H11" s="1325"/>
      <c r="I11" s="1325"/>
    </row>
    <row r="12" spans="1:15" ht="8.25" customHeight="1" x14ac:dyDescent="0.2"/>
    <row r="13" spans="1:15" s="612" customFormat="1" ht="25.5" customHeight="1" x14ac:dyDescent="0.2">
      <c r="C13" s="613" t="s">
        <v>723</v>
      </c>
      <c r="D13" s="613"/>
      <c r="E13" s="613"/>
      <c r="F13" s="613"/>
      <c r="G13" s="614"/>
      <c r="H13" s="614"/>
      <c r="I13" s="614"/>
      <c r="J13" s="614"/>
      <c r="K13" s="614"/>
      <c r="L13" s="614"/>
      <c r="M13" s="615"/>
      <c r="N13" s="615"/>
      <c r="O13" s="616"/>
    </row>
    <row r="14" spans="1:15" s="612" customFormat="1" ht="21.75" customHeight="1" x14ac:dyDescent="0.2">
      <c r="A14" s="1326">
        <v>15591000000</v>
      </c>
      <c r="B14" s="1326"/>
      <c r="C14" s="1326"/>
      <c r="D14" s="617"/>
      <c r="E14" s="617"/>
      <c r="F14" s="617"/>
      <c r="G14" s="618"/>
      <c r="H14" s="614"/>
      <c r="I14" s="614"/>
      <c r="J14" s="614"/>
      <c r="K14" s="614"/>
      <c r="L14" s="615"/>
      <c r="M14" s="615"/>
      <c r="N14" s="615"/>
      <c r="O14" s="616"/>
    </row>
    <row r="15" spans="1:15" s="612" customFormat="1" ht="22.5" customHeight="1" thickBot="1" x14ac:dyDescent="0.25">
      <c r="A15" s="1327" t="s">
        <v>0</v>
      </c>
      <c r="B15" s="1327"/>
      <c r="C15" s="1327"/>
      <c r="D15" s="617"/>
      <c r="E15" s="617"/>
      <c r="F15" s="617"/>
      <c r="G15" s="618"/>
      <c r="H15" s="614"/>
      <c r="I15" s="614"/>
      <c r="J15" s="614"/>
      <c r="K15" s="614"/>
      <c r="L15" s="615"/>
      <c r="M15" s="615"/>
      <c r="N15" s="615" t="s">
        <v>235</v>
      </c>
      <c r="O15" s="616"/>
    </row>
    <row r="16" spans="1:15" s="612" customFormat="1" ht="15.75" customHeight="1" x14ac:dyDescent="0.2">
      <c r="A16" s="1328" t="s">
        <v>8</v>
      </c>
      <c r="B16" s="1330" t="s">
        <v>9</v>
      </c>
      <c r="C16" s="1332" t="s">
        <v>236</v>
      </c>
      <c r="D16" s="1319" t="s">
        <v>416</v>
      </c>
      <c r="E16" s="1319" t="s">
        <v>417</v>
      </c>
      <c r="F16" s="1319" t="s">
        <v>418</v>
      </c>
      <c r="G16" s="1319" t="s">
        <v>419</v>
      </c>
      <c r="H16" s="1319"/>
      <c r="I16" s="1319" t="s">
        <v>3</v>
      </c>
      <c r="J16" s="1319"/>
      <c r="K16" s="1319"/>
      <c r="L16" s="1319"/>
      <c r="M16" s="1323" t="s">
        <v>420</v>
      </c>
      <c r="N16" s="1323"/>
      <c r="O16" s="1324"/>
    </row>
    <row r="17" spans="1:15" s="612" customFormat="1" ht="174" customHeight="1" thickBot="1" x14ac:dyDescent="0.25">
      <c r="A17" s="1329"/>
      <c r="B17" s="1331"/>
      <c r="C17" s="1333"/>
      <c r="D17" s="1320"/>
      <c r="E17" s="1320"/>
      <c r="F17" s="1320"/>
      <c r="G17" s="1159" t="s">
        <v>452</v>
      </c>
      <c r="H17" s="1159" t="s">
        <v>698</v>
      </c>
      <c r="I17" s="1159" t="s">
        <v>452</v>
      </c>
      <c r="J17" s="1159" t="s">
        <v>5</v>
      </c>
      <c r="K17" s="1159" t="s">
        <v>722</v>
      </c>
      <c r="L17" s="1159" t="s">
        <v>5</v>
      </c>
      <c r="M17" s="1159" t="s">
        <v>452</v>
      </c>
      <c r="N17" s="1159" t="s">
        <v>698</v>
      </c>
      <c r="O17" s="619" t="s">
        <v>402</v>
      </c>
    </row>
    <row r="18" spans="1:15" s="612" customFormat="1" ht="13.5" customHeight="1" thickBot="1" x14ac:dyDescent="0.25">
      <c r="A18" s="620">
        <v>1</v>
      </c>
      <c r="B18" s="621">
        <v>2</v>
      </c>
      <c r="C18" s="622" t="s">
        <v>245</v>
      </c>
      <c r="D18" s="621">
        <v>4</v>
      </c>
      <c r="E18" s="621">
        <v>5</v>
      </c>
      <c r="F18" s="621">
        <v>6</v>
      </c>
      <c r="G18" s="621">
        <v>7</v>
      </c>
      <c r="H18" s="621">
        <v>8</v>
      </c>
      <c r="I18" s="621">
        <v>9</v>
      </c>
      <c r="J18" s="806">
        <v>10</v>
      </c>
      <c r="K18" s="806">
        <v>11</v>
      </c>
      <c r="L18" s="806">
        <v>12</v>
      </c>
      <c r="M18" s="806">
        <v>13</v>
      </c>
      <c r="N18" s="806">
        <v>14</v>
      </c>
      <c r="O18" s="807">
        <v>15</v>
      </c>
    </row>
    <row r="19" spans="1:15" s="612" customFormat="1" ht="101.25" customHeight="1" thickBot="1" x14ac:dyDescent="0.25">
      <c r="A19" s="624" t="s">
        <v>13</v>
      </c>
      <c r="B19" s="467"/>
      <c r="C19" s="467"/>
      <c r="D19" s="986" t="s">
        <v>444</v>
      </c>
      <c r="E19" s="978"/>
      <c r="F19" s="978"/>
      <c r="G19" s="456">
        <f t="shared" ref="G19:L19" si="0">G20</f>
        <v>94166811</v>
      </c>
      <c r="H19" s="456">
        <f t="shared" si="0"/>
        <v>92019469.170000002</v>
      </c>
      <c r="I19" s="456">
        <f t="shared" si="0"/>
        <v>23350213</v>
      </c>
      <c r="J19" s="456">
        <f t="shared" si="0"/>
        <v>23350213</v>
      </c>
      <c r="K19" s="456">
        <f t="shared" si="0"/>
        <v>23279984.02</v>
      </c>
      <c r="L19" s="456">
        <f t="shared" si="0"/>
        <v>23279984.02</v>
      </c>
      <c r="M19" s="456">
        <f>G19+I19</f>
        <v>117517024</v>
      </c>
      <c r="N19" s="456">
        <f>H19+K19</f>
        <v>115299453.19</v>
      </c>
      <c r="O19" s="457">
        <f>N19/M19</f>
        <v>0.98112979094841613</v>
      </c>
    </row>
    <row r="20" spans="1:15" s="612" customFormat="1" ht="89.25" customHeight="1" thickBot="1" x14ac:dyDescent="0.25">
      <c r="A20" s="458" t="s">
        <v>15</v>
      </c>
      <c r="B20" s="746"/>
      <c r="C20" s="746"/>
      <c r="D20" s="987" t="s">
        <v>447</v>
      </c>
      <c r="E20" s="980"/>
      <c r="F20" s="980"/>
      <c r="G20" s="625">
        <f>SUM(G21:G40)</f>
        <v>94166811</v>
      </c>
      <c r="H20" s="625">
        <f t="shared" ref="H20:M20" si="1">SUM(H21:H40)</f>
        <v>92019469.170000002</v>
      </c>
      <c r="I20" s="625">
        <f t="shared" si="1"/>
        <v>23350213</v>
      </c>
      <c r="J20" s="625">
        <f t="shared" si="1"/>
        <v>23350213</v>
      </c>
      <c r="K20" s="625">
        <f t="shared" si="1"/>
        <v>23279984.02</v>
      </c>
      <c r="L20" s="625">
        <f t="shared" si="1"/>
        <v>23279984.02</v>
      </c>
      <c r="M20" s="625">
        <f t="shared" si="1"/>
        <v>117517024</v>
      </c>
      <c r="N20" s="625">
        <f>H20+K20</f>
        <v>115299453.19</v>
      </c>
      <c r="O20" s="626">
        <f>N20/M20</f>
        <v>0.98112979094841613</v>
      </c>
    </row>
    <row r="21" spans="1:15" s="612" customFormat="1" ht="180" customHeight="1" thickBot="1" x14ac:dyDescent="0.25">
      <c r="A21" s="1029" t="s">
        <v>147</v>
      </c>
      <c r="B21" s="1030" t="s">
        <v>148</v>
      </c>
      <c r="C21" s="1030" t="s">
        <v>16</v>
      </c>
      <c r="D21" s="1018" t="s">
        <v>149</v>
      </c>
      <c r="E21" s="1018" t="s">
        <v>221</v>
      </c>
      <c r="F21" s="1031" t="s">
        <v>570</v>
      </c>
      <c r="G21" s="1022">
        <v>234240</v>
      </c>
      <c r="H21" s="1022">
        <v>234240</v>
      </c>
      <c r="I21" s="1022">
        <v>0</v>
      </c>
      <c r="J21" s="1022">
        <v>0</v>
      </c>
      <c r="K21" s="1022">
        <v>0</v>
      </c>
      <c r="L21" s="1032">
        <v>0</v>
      </c>
      <c r="M21" s="1022">
        <f>G21+I21</f>
        <v>234240</v>
      </c>
      <c r="N21" s="1022">
        <f>H21+K21</f>
        <v>234240</v>
      </c>
      <c r="O21" s="1033">
        <f>N21/M21</f>
        <v>1</v>
      </c>
    </row>
    <row r="22" spans="1:15" s="612" customFormat="1" ht="234.75" customHeight="1" x14ac:dyDescent="0.2">
      <c r="A22" s="996" t="s">
        <v>403</v>
      </c>
      <c r="B22" s="997" t="s">
        <v>197</v>
      </c>
      <c r="C22" s="997" t="s">
        <v>195</v>
      </c>
      <c r="D22" s="998" t="s">
        <v>198</v>
      </c>
      <c r="E22" s="999" t="s">
        <v>550</v>
      </c>
      <c r="F22" s="1000" t="s">
        <v>648</v>
      </c>
      <c r="G22" s="1001">
        <v>89400</v>
      </c>
      <c r="H22" s="1001">
        <v>88800</v>
      </c>
      <c r="I22" s="1001">
        <v>0</v>
      </c>
      <c r="J22" s="1001">
        <v>0</v>
      </c>
      <c r="K22" s="1001">
        <v>0</v>
      </c>
      <c r="L22" s="1002">
        <v>0</v>
      </c>
      <c r="M22" s="1001">
        <f t="shared" ref="M22:M102" si="2">G22+I22</f>
        <v>89400</v>
      </c>
      <c r="N22" s="1001">
        <f t="shared" ref="N22:N102" si="3">H22+K22</f>
        <v>88800</v>
      </c>
      <c r="O22" s="1003">
        <f>N22/M22</f>
        <v>0.99328859060402686</v>
      </c>
    </row>
    <row r="23" spans="1:15" s="612" customFormat="1" ht="280.5" customHeight="1" x14ac:dyDescent="0.2">
      <c r="A23" s="748" t="s">
        <v>403</v>
      </c>
      <c r="B23" s="459" t="s">
        <v>197</v>
      </c>
      <c r="C23" s="459" t="s">
        <v>195</v>
      </c>
      <c r="D23" s="989" t="s">
        <v>198</v>
      </c>
      <c r="E23" s="802" t="s">
        <v>551</v>
      </c>
      <c r="F23" s="813" t="s">
        <v>604</v>
      </c>
      <c r="G23" s="629">
        <v>76500</v>
      </c>
      <c r="H23" s="629">
        <v>76500</v>
      </c>
      <c r="I23" s="629">
        <v>0</v>
      </c>
      <c r="J23" s="629">
        <v>0</v>
      </c>
      <c r="K23" s="629">
        <v>0</v>
      </c>
      <c r="L23" s="749">
        <v>0</v>
      </c>
      <c r="M23" s="629">
        <f t="shared" si="2"/>
        <v>76500</v>
      </c>
      <c r="N23" s="629">
        <f t="shared" si="3"/>
        <v>76500</v>
      </c>
      <c r="O23" s="630">
        <f>N23/M23</f>
        <v>1</v>
      </c>
    </row>
    <row r="24" spans="1:15" s="606" customFormat="1" ht="131.25" customHeight="1" x14ac:dyDescent="0.2">
      <c r="A24" s="463" t="s">
        <v>17</v>
      </c>
      <c r="B24" s="462" t="s">
        <v>18</v>
      </c>
      <c r="C24" s="462" t="s">
        <v>19</v>
      </c>
      <c r="D24" s="802" t="s">
        <v>20</v>
      </c>
      <c r="E24" s="802" t="s">
        <v>141</v>
      </c>
      <c r="F24" s="813" t="s">
        <v>605</v>
      </c>
      <c r="G24" s="629">
        <v>10429723</v>
      </c>
      <c r="H24" s="629">
        <v>9754953.0999999996</v>
      </c>
      <c r="I24" s="750">
        <v>0</v>
      </c>
      <c r="J24" s="750">
        <v>0</v>
      </c>
      <c r="K24" s="629">
        <v>0</v>
      </c>
      <c r="L24" s="629">
        <v>0</v>
      </c>
      <c r="M24" s="629">
        <f t="shared" si="2"/>
        <v>10429723</v>
      </c>
      <c r="N24" s="629">
        <f t="shared" si="3"/>
        <v>9754953.0999999996</v>
      </c>
      <c r="O24" s="630">
        <f t="shared" ref="O24:O124" si="4">N24/M24</f>
        <v>0.93530318111037081</v>
      </c>
    </row>
    <row r="25" spans="1:15" s="631" customFormat="1" ht="135.75" customHeight="1" x14ac:dyDescent="0.2">
      <c r="A25" s="755" t="s">
        <v>17</v>
      </c>
      <c r="B25" s="751" t="s">
        <v>18</v>
      </c>
      <c r="C25" s="751" t="s">
        <v>19</v>
      </c>
      <c r="D25" s="812" t="s">
        <v>20</v>
      </c>
      <c r="E25" s="812" t="s">
        <v>606</v>
      </c>
      <c r="F25" s="812" t="s">
        <v>571</v>
      </c>
      <c r="G25" s="647">
        <v>14362702</v>
      </c>
      <c r="H25" s="647">
        <v>14362702</v>
      </c>
      <c r="I25" s="647">
        <v>0</v>
      </c>
      <c r="J25" s="647">
        <v>0</v>
      </c>
      <c r="K25" s="647">
        <v>0</v>
      </c>
      <c r="L25" s="754">
        <v>0</v>
      </c>
      <c r="M25" s="647">
        <f t="shared" si="2"/>
        <v>14362702</v>
      </c>
      <c r="N25" s="647">
        <f t="shared" si="3"/>
        <v>14362702</v>
      </c>
      <c r="O25" s="740">
        <f t="shared" si="4"/>
        <v>1</v>
      </c>
    </row>
    <row r="26" spans="1:15" s="631" customFormat="1" ht="114" customHeight="1" x14ac:dyDescent="0.2">
      <c r="A26" s="462" t="s">
        <v>17</v>
      </c>
      <c r="B26" s="462" t="s">
        <v>18</v>
      </c>
      <c r="C26" s="462" t="s">
        <v>19</v>
      </c>
      <c r="D26" s="802" t="s">
        <v>20</v>
      </c>
      <c r="E26" s="802" t="s">
        <v>563</v>
      </c>
      <c r="F26" s="802" t="s">
        <v>669</v>
      </c>
      <c r="G26" s="629">
        <v>0</v>
      </c>
      <c r="H26" s="629">
        <v>0</v>
      </c>
      <c r="I26" s="629">
        <v>79894</v>
      </c>
      <c r="J26" s="629">
        <f>I26</f>
        <v>79894</v>
      </c>
      <c r="K26" s="629">
        <v>79893.919999999998</v>
      </c>
      <c r="L26" s="629">
        <f>K26</f>
        <v>79893.919999999998</v>
      </c>
      <c r="M26" s="629">
        <f t="shared" si="2"/>
        <v>79894</v>
      </c>
      <c r="N26" s="629">
        <f>H26+K26</f>
        <v>79893.919999999998</v>
      </c>
      <c r="O26" s="1161">
        <f t="shared" si="4"/>
        <v>0.99999899867324205</v>
      </c>
    </row>
    <row r="27" spans="1:15" s="631" customFormat="1" ht="130.5" customHeight="1" x14ac:dyDescent="0.2">
      <c r="A27" s="463" t="s">
        <v>21</v>
      </c>
      <c r="B27" s="462" t="s">
        <v>22</v>
      </c>
      <c r="C27" s="462" t="s">
        <v>23</v>
      </c>
      <c r="D27" s="802" t="s">
        <v>24</v>
      </c>
      <c r="E27" s="802" t="s">
        <v>200</v>
      </c>
      <c r="F27" s="802" t="s">
        <v>670</v>
      </c>
      <c r="G27" s="629">
        <v>880094</v>
      </c>
      <c r="H27" s="629">
        <v>764360.98</v>
      </c>
      <c r="I27" s="750">
        <v>259898</v>
      </c>
      <c r="J27" s="629">
        <f>I27</f>
        <v>259898</v>
      </c>
      <c r="K27" s="629">
        <v>230802</v>
      </c>
      <c r="L27" s="629">
        <f>K27</f>
        <v>230802</v>
      </c>
      <c r="M27" s="629">
        <f t="shared" si="2"/>
        <v>1139992</v>
      </c>
      <c r="N27" s="629">
        <f t="shared" si="3"/>
        <v>995162.98</v>
      </c>
      <c r="O27" s="630">
        <f t="shared" si="4"/>
        <v>0.87295610846391902</v>
      </c>
    </row>
    <row r="28" spans="1:15" s="631" customFormat="1" ht="131.25" customHeight="1" x14ac:dyDescent="0.2">
      <c r="A28" s="748" t="s">
        <v>203</v>
      </c>
      <c r="B28" s="462">
        <v>2152</v>
      </c>
      <c r="C28" s="459" t="s">
        <v>204</v>
      </c>
      <c r="D28" s="802" t="s">
        <v>24</v>
      </c>
      <c r="E28" s="802" t="s">
        <v>201</v>
      </c>
      <c r="F28" s="812" t="s">
        <v>671</v>
      </c>
      <c r="G28" s="629">
        <v>3047512</v>
      </c>
      <c r="H28" s="629">
        <v>2779039.63</v>
      </c>
      <c r="I28" s="750">
        <v>0</v>
      </c>
      <c r="J28" s="629">
        <f>I28</f>
        <v>0</v>
      </c>
      <c r="K28" s="629">
        <v>0</v>
      </c>
      <c r="L28" s="629">
        <f>K28</f>
        <v>0</v>
      </c>
      <c r="M28" s="629">
        <f t="shared" si="2"/>
        <v>3047512</v>
      </c>
      <c r="N28" s="629">
        <f t="shared" si="3"/>
        <v>2779039.63</v>
      </c>
      <c r="O28" s="630">
        <f t="shared" si="4"/>
        <v>0.91190440923612437</v>
      </c>
    </row>
    <row r="29" spans="1:15" s="631" customFormat="1" ht="133.5" customHeight="1" x14ac:dyDescent="0.2">
      <c r="A29" s="463" t="s">
        <v>28</v>
      </c>
      <c r="B29" s="462" t="s">
        <v>29</v>
      </c>
      <c r="C29" s="462" t="s">
        <v>30</v>
      </c>
      <c r="D29" s="802" t="s">
        <v>31</v>
      </c>
      <c r="E29" s="802" t="s">
        <v>607</v>
      </c>
      <c r="F29" s="802" t="s">
        <v>672</v>
      </c>
      <c r="G29" s="629">
        <v>177516</v>
      </c>
      <c r="H29" s="629">
        <v>177508.56</v>
      </c>
      <c r="I29" s="750">
        <v>683798</v>
      </c>
      <c r="J29" s="629">
        <f>I29</f>
        <v>683798</v>
      </c>
      <c r="K29" s="629">
        <v>683797.5</v>
      </c>
      <c r="L29" s="629">
        <f>K29</f>
        <v>683797.5</v>
      </c>
      <c r="M29" s="629">
        <f t="shared" si="2"/>
        <v>861314</v>
      </c>
      <c r="N29" s="629">
        <f>H29+K29</f>
        <v>861306.06</v>
      </c>
      <c r="O29" s="630">
        <f t="shared" si="4"/>
        <v>0.99999078152682996</v>
      </c>
    </row>
    <row r="30" spans="1:15" s="631" customFormat="1" ht="146.25" customHeight="1" x14ac:dyDescent="0.2">
      <c r="A30" s="748" t="s">
        <v>629</v>
      </c>
      <c r="B30" s="462">
        <v>8110</v>
      </c>
      <c r="C30" s="459" t="s">
        <v>206</v>
      </c>
      <c r="D30" s="802" t="s">
        <v>207</v>
      </c>
      <c r="E30" s="802" t="s">
        <v>562</v>
      </c>
      <c r="F30" s="802" t="s">
        <v>673</v>
      </c>
      <c r="G30" s="629">
        <v>714150</v>
      </c>
      <c r="H30" s="629">
        <v>711600</v>
      </c>
      <c r="I30" s="750">
        <v>0</v>
      </c>
      <c r="J30" s="629">
        <v>0</v>
      </c>
      <c r="K30" s="629">
        <v>0</v>
      </c>
      <c r="L30" s="629">
        <v>0</v>
      </c>
      <c r="M30" s="629">
        <f t="shared" si="2"/>
        <v>714150</v>
      </c>
      <c r="N30" s="629">
        <f>H30+K30</f>
        <v>711600</v>
      </c>
      <c r="O30" s="630">
        <f t="shared" si="4"/>
        <v>0.99642932157109854</v>
      </c>
    </row>
    <row r="31" spans="1:15" s="631" customFormat="1" ht="112.5" customHeight="1" x14ac:dyDescent="0.2">
      <c r="A31" s="480" t="s">
        <v>32</v>
      </c>
      <c r="B31" s="751" t="s">
        <v>33</v>
      </c>
      <c r="C31" s="751" t="s">
        <v>34</v>
      </c>
      <c r="D31" s="812" t="s">
        <v>35</v>
      </c>
      <c r="E31" s="812" t="s">
        <v>608</v>
      </c>
      <c r="F31" s="812" t="s">
        <v>572</v>
      </c>
      <c r="G31" s="647">
        <v>9500</v>
      </c>
      <c r="H31" s="647">
        <v>0</v>
      </c>
      <c r="I31" s="1160">
        <v>0</v>
      </c>
      <c r="J31" s="647">
        <v>0</v>
      </c>
      <c r="K31" s="647">
        <v>0</v>
      </c>
      <c r="L31" s="647">
        <v>0</v>
      </c>
      <c r="M31" s="647">
        <f t="shared" si="2"/>
        <v>9500</v>
      </c>
      <c r="N31" s="647">
        <f t="shared" si="3"/>
        <v>0</v>
      </c>
      <c r="O31" s="740">
        <f t="shared" si="4"/>
        <v>0</v>
      </c>
    </row>
    <row r="32" spans="1:15" s="606" customFormat="1" ht="132" customHeight="1" x14ac:dyDescent="0.2">
      <c r="A32" s="460" t="s">
        <v>139</v>
      </c>
      <c r="B32" s="462">
        <v>8230</v>
      </c>
      <c r="C32" s="462" t="s">
        <v>34</v>
      </c>
      <c r="D32" s="802" t="s">
        <v>140</v>
      </c>
      <c r="E32" s="802" t="s">
        <v>609</v>
      </c>
      <c r="F32" s="802" t="s">
        <v>674</v>
      </c>
      <c r="G32" s="629">
        <v>18043353</v>
      </c>
      <c r="H32" s="629">
        <v>17006282.949999999</v>
      </c>
      <c r="I32" s="629">
        <v>0</v>
      </c>
      <c r="J32" s="629">
        <v>0</v>
      </c>
      <c r="K32" s="629">
        <v>0</v>
      </c>
      <c r="L32" s="749">
        <v>0</v>
      </c>
      <c r="M32" s="629">
        <f t="shared" si="2"/>
        <v>18043353</v>
      </c>
      <c r="N32" s="629">
        <f t="shared" si="3"/>
        <v>17006282.949999999</v>
      </c>
      <c r="O32" s="630">
        <f>N32/M32</f>
        <v>0.94252342954216983</v>
      </c>
    </row>
    <row r="33" spans="1:17" s="606" customFormat="1" ht="197.25" customHeight="1" x14ac:dyDescent="0.2">
      <c r="A33" s="460" t="s">
        <v>457</v>
      </c>
      <c r="B33" s="462">
        <v>8240</v>
      </c>
      <c r="C33" s="462" t="s">
        <v>34</v>
      </c>
      <c r="D33" s="802" t="s">
        <v>459</v>
      </c>
      <c r="E33" s="802" t="s">
        <v>552</v>
      </c>
      <c r="F33" s="802" t="s">
        <v>675</v>
      </c>
      <c r="G33" s="629">
        <v>241072</v>
      </c>
      <c r="H33" s="629">
        <v>240831.14</v>
      </c>
      <c r="I33" s="629">
        <v>183598</v>
      </c>
      <c r="J33" s="629">
        <v>183598</v>
      </c>
      <c r="K33" s="629">
        <v>183597.6</v>
      </c>
      <c r="L33" s="629">
        <v>183597.6</v>
      </c>
      <c r="M33" s="629">
        <f t="shared" si="2"/>
        <v>424670</v>
      </c>
      <c r="N33" s="629">
        <f t="shared" si="3"/>
        <v>424428.74</v>
      </c>
      <c r="O33" s="630">
        <f>N33/M33</f>
        <v>0.99943188828973084</v>
      </c>
    </row>
    <row r="34" spans="1:17" s="606" customFormat="1" ht="189.75" customHeight="1" x14ac:dyDescent="0.2">
      <c r="A34" s="463" t="s">
        <v>36</v>
      </c>
      <c r="B34" s="462" t="s">
        <v>37</v>
      </c>
      <c r="C34" s="462" t="s">
        <v>38</v>
      </c>
      <c r="D34" s="802" t="s">
        <v>610</v>
      </c>
      <c r="E34" s="802" t="s">
        <v>611</v>
      </c>
      <c r="F34" s="802" t="s">
        <v>650</v>
      </c>
      <c r="G34" s="629">
        <v>3644210</v>
      </c>
      <c r="H34" s="629">
        <v>3607197.35</v>
      </c>
      <c r="I34" s="629">
        <v>0</v>
      </c>
      <c r="J34" s="629">
        <v>0</v>
      </c>
      <c r="K34" s="629">
        <v>0</v>
      </c>
      <c r="L34" s="749">
        <v>0</v>
      </c>
      <c r="M34" s="629">
        <f t="shared" si="2"/>
        <v>3644210</v>
      </c>
      <c r="N34" s="629">
        <f t="shared" si="3"/>
        <v>3607197.35</v>
      </c>
      <c r="O34" s="630">
        <f t="shared" si="4"/>
        <v>0.98984343657473095</v>
      </c>
    </row>
    <row r="35" spans="1:17" s="606" customFormat="1" ht="207" customHeight="1" x14ac:dyDescent="0.2">
      <c r="A35" s="480" t="s">
        <v>508</v>
      </c>
      <c r="B35" s="751">
        <v>9770</v>
      </c>
      <c r="C35" s="479" t="s">
        <v>197</v>
      </c>
      <c r="D35" s="812" t="s">
        <v>492</v>
      </c>
      <c r="E35" s="812" t="s">
        <v>552</v>
      </c>
      <c r="F35" s="812" t="s">
        <v>675</v>
      </c>
      <c r="G35" s="647">
        <v>30000000</v>
      </c>
      <c r="H35" s="647">
        <v>30000000</v>
      </c>
      <c r="I35" s="647">
        <v>0</v>
      </c>
      <c r="J35" s="647">
        <v>0</v>
      </c>
      <c r="K35" s="647">
        <v>0</v>
      </c>
      <c r="L35" s="754">
        <v>0</v>
      </c>
      <c r="M35" s="647">
        <f t="shared" si="2"/>
        <v>30000000</v>
      </c>
      <c r="N35" s="647">
        <f t="shared" si="3"/>
        <v>30000000</v>
      </c>
      <c r="O35" s="740">
        <f t="shared" si="4"/>
        <v>1</v>
      </c>
    </row>
    <row r="36" spans="1:17" s="606" customFormat="1" ht="201.75" customHeight="1" x14ac:dyDescent="0.2">
      <c r="A36" s="748" t="s">
        <v>599</v>
      </c>
      <c r="B36" s="462">
        <v>9800</v>
      </c>
      <c r="C36" s="459" t="s">
        <v>197</v>
      </c>
      <c r="D36" s="802" t="s">
        <v>592</v>
      </c>
      <c r="E36" s="802" t="s">
        <v>552</v>
      </c>
      <c r="F36" s="802" t="s">
        <v>675</v>
      </c>
      <c r="G36" s="629">
        <v>4000000</v>
      </c>
      <c r="H36" s="629">
        <v>4000000</v>
      </c>
      <c r="I36" s="629">
        <v>15197025</v>
      </c>
      <c r="J36" s="629">
        <f>I36</f>
        <v>15197025</v>
      </c>
      <c r="K36" s="629">
        <v>15184125</v>
      </c>
      <c r="L36" s="629">
        <f>K36</f>
        <v>15184125</v>
      </c>
      <c r="M36" s="629">
        <f t="shared" si="2"/>
        <v>19197025</v>
      </c>
      <c r="N36" s="629">
        <f t="shared" si="3"/>
        <v>19184125</v>
      </c>
      <c r="O36" s="630">
        <f t="shared" si="4"/>
        <v>0.99932802087823502</v>
      </c>
    </row>
    <row r="37" spans="1:17" s="606" customFormat="1" ht="159.75" customHeight="1" x14ac:dyDescent="0.2">
      <c r="A37" s="748" t="s">
        <v>599</v>
      </c>
      <c r="B37" s="462">
        <v>9800</v>
      </c>
      <c r="C37" s="459" t="s">
        <v>197</v>
      </c>
      <c r="D37" s="802" t="s">
        <v>592</v>
      </c>
      <c r="E37" s="802" t="s">
        <v>643</v>
      </c>
      <c r="F37" s="802" t="s">
        <v>676</v>
      </c>
      <c r="G37" s="629">
        <v>5449000</v>
      </c>
      <c r="H37" s="629">
        <v>5449000</v>
      </c>
      <c r="I37" s="629">
        <v>4750000</v>
      </c>
      <c r="J37" s="629">
        <f>I37</f>
        <v>4750000</v>
      </c>
      <c r="K37" s="629">
        <v>4750000</v>
      </c>
      <c r="L37" s="629">
        <f>K37</f>
        <v>4750000</v>
      </c>
      <c r="M37" s="629">
        <f t="shared" si="2"/>
        <v>10199000</v>
      </c>
      <c r="N37" s="629">
        <f t="shared" si="3"/>
        <v>10199000</v>
      </c>
      <c r="O37" s="630">
        <f t="shared" si="4"/>
        <v>1</v>
      </c>
    </row>
    <row r="38" spans="1:17" s="606" customFormat="1" ht="131.25" customHeight="1" x14ac:dyDescent="0.2">
      <c r="A38" s="748" t="s">
        <v>599</v>
      </c>
      <c r="B38" s="462">
        <v>9800</v>
      </c>
      <c r="C38" s="459" t="s">
        <v>197</v>
      </c>
      <c r="D38" s="802" t="s">
        <v>592</v>
      </c>
      <c r="E38" s="802" t="s">
        <v>644</v>
      </c>
      <c r="F38" s="802" t="s">
        <v>677</v>
      </c>
      <c r="G38" s="629">
        <v>2332000</v>
      </c>
      <c r="H38" s="629">
        <v>2332000</v>
      </c>
      <c r="I38" s="629">
        <v>668000</v>
      </c>
      <c r="J38" s="629">
        <f>I38</f>
        <v>668000</v>
      </c>
      <c r="K38" s="629">
        <v>668000</v>
      </c>
      <c r="L38" s="629">
        <f>K38</f>
        <v>668000</v>
      </c>
      <c r="M38" s="629">
        <f t="shared" si="2"/>
        <v>3000000</v>
      </c>
      <c r="N38" s="629">
        <f t="shared" si="3"/>
        <v>3000000</v>
      </c>
      <c r="O38" s="630">
        <f t="shared" si="4"/>
        <v>1</v>
      </c>
    </row>
    <row r="39" spans="1:17" s="606" customFormat="1" ht="137.25" customHeight="1" x14ac:dyDescent="0.2">
      <c r="A39" s="748" t="s">
        <v>599</v>
      </c>
      <c r="B39" s="462">
        <v>9800</v>
      </c>
      <c r="C39" s="459" t="s">
        <v>197</v>
      </c>
      <c r="D39" s="802" t="s">
        <v>592</v>
      </c>
      <c r="E39" s="802" t="s">
        <v>645</v>
      </c>
      <c r="F39" s="802" t="s">
        <v>646</v>
      </c>
      <c r="G39" s="629">
        <v>318739</v>
      </c>
      <c r="H39" s="629">
        <v>317382.69</v>
      </c>
      <c r="I39" s="629">
        <v>182400</v>
      </c>
      <c r="J39" s="629">
        <f t="shared" ref="J39:J40" si="5">I39</f>
        <v>182400</v>
      </c>
      <c r="K39" s="629">
        <v>182400</v>
      </c>
      <c r="L39" s="629">
        <f t="shared" ref="L39:L40" si="6">K39</f>
        <v>182400</v>
      </c>
      <c r="M39" s="629">
        <f t="shared" si="2"/>
        <v>501139</v>
      </c>
      <c r="N39" s="629">
        <f t="shared" si="3"/>
        <v>499782.69</v>
      </c>
      <c r="O39" s="630">
        <f t="shared" si="4"/>
        <v>0.99729354530379799</v>
      </c>
    </row>
    <row r="40" spans="1:17" s="606" customFormat="1" ht="124.5" customHeight="1" thickBot="1" x14ac:dyDescent="0.25">
      <c r="A40" s="1010" t="s">
        <v>599</v>
      </c>
      <c r="B40" s="1004">
        <v>9800</v>
      </c>
      <c r="C40" s="1012" t="s">
        <v>197</v>
      </c>
      <c r="D40" s="1005" t="s">
        <v>592</v>
      </c>
      <c r="E40" s="1005" t="s">
        <v>647</v>
      </c>
      <c r="F40" s="1005" t="s">
        <v>649</v>
      </c>
      <c r="G40" s="1006">
        <v>117100</v>
      </c>
      <c r="H40" s="1006">
        <v>117070.77</v>
      </c>
      <c r="I40" s="1006">
        <v>1345600</v>
      </c>
      <c r="J40" s="1006">
        <f t="shared" si="5"/>
        <v>1345600</v>
      </c>
      <c r="K40" s="1006">
        <v>1317368</v>
      </c>
      <c r="L40" s="1006">
        <f t="shared" si="6"/>
        <v>1317368</v>
      </c>
      <c r="M40" s="1006">
        <f t="shared" si="2"/>
        <v>1462700</v>
      </c>
      <c r="N40" s="1006">
        <f t="shared" si="3"/>
        <v>1434438.77</v>
      </c>
      <c r="O40" s="1007">
        <f t="shared" si="4"/>
        <v>0.98067872427702196</v>
      </c>
    </row>
    <row r="41" spans="1:17" s="606" customFormat="1" ht="84" customHeight="1" thickBot="1" x14ac:dyDescent="0.25">
      <c r="A41" s="466" t="s">
        <v>40</v>
      </c>
      <c r="B41" s="467"/>
      <c r="C41" s="468"/>
      <c r="D41" s="986" t="s">
        <v>445</v>
      </c>
      <c r="E41" s="978"/>
      <c r="F41" s="978"/>
      <c r="G41" s="456">
        <f>G42</f>
        <v>17218984</v>
      </c>
      <c r="H41" s="456">
        <f t="shared" ref="H41:L41" si="7">H42</f>
        <v>12046859.08</v>
      </c>
      <c r="I41" s="456">
        <f t="shared" si="7"/>
        <v>11325243</v>
      </c>
      <c r="J41" s="456">
        <f t="shared" si="7"/>
        <v>3932143</v>
      </c>
      <c r="K41" s="456">
        <f t="shared" si="7"/>
        <v>10870840.23</v>
      </c>
      <c r="L41" s="456">
        <f t="shared" si="7"/>
        <v>3692188</v>
      </c>
      <c r="M41" s="456">
        <f t="shared" si="2"/>
        <v>28544227</v>
      </c>
      <c r="N41" s="456">
        <f t="shared" si="3"/>
        <v>22917699.310000002</v>
      </c>
      <c r="O41" s="457">
        <f t="shared" si="4"/>
        <v>0.80288386544851964</v>
      </c>
    </row>
    <row r="42" spans="1:17" s="606" customFormat="1" ht="85.5" customHeight="1" thickBot="1" x14ac:dyDescent="0.25">
      <c r="A42" s="469" t="s">
        <v>41</v>
      </c>
      <c r="B42" s="470"/>
      <c r="C42" s="470"/>
      <c r="D42" s="987" t="s">
        <v>445</v>
      </c>
      <c r="E42" s="979"/>
      <c r="F42" s="979"/>
      <c r="G42" s="625">
        <f>G43+G44+G45+G46+G47+G48+G49+G50+G51+G54+G55+G56+G57+G58+G59+G52+G53</f>
        <v>17218984</v>
      </c>
      <c r="H42" s="625">
        <f t="shared" ref="H42:N42" si="8">H43+H44+H45+H46+H47+H48+H49+H50+H51+H54+H55+H56+H57+H58+H59+H52+H53</f>
        <v>12046859.08</v>
      </c>
      <c r="I42" s="625">
        <f t="shared" si="8"/>
        <v>11325243</v>
      </c>
      <c r="J42" s="625">
        <f t="shared" si="8"/>
        <v>3932143</v>
      </c>
      <c r="K42" s="625">
        <f t="shared" si="8"/>
        <v>10870840.23</v>
      </c>
      <c r="L42" s="625">
        <f t="shared" si="8"/>
        <v>3692188</v>
      </c>
      <c r="M42" s="625">
        <f t="shared" si="8"/>
        <v>28544227</v>
      </c>
      <c r="N42" s="625">
        <f t="shared" si="8"/>
        <v>22917699.310000002</v>
      </c>
      <c r="O42" s="626">
        <f t="shared" si="4"/>
        <v>0.80288386544851964</v>
      </c>
      <c r="Q42" s="744"/>
    </row>
    <row r="43" spans="1:17" s="606" customFormat="1" ht="138" customHeight="1" x14ac:dyDescent="0.2">
      <c r="A43" s="464" t="s">
        <v>43</v>
      </c>
      <c r="B43" s="465">
        <v>1010</v>
      </c>
      <c r="C43" s="465" t="s">
        <v>45</v>
      </c>
      <c r="D43" s="811" t="s">
        <v>46</v>
      </c>
      <c r="E43" s="811" t="s">
        <v>553</v>
      </c>
      <c r="F43" s="802" t="s">
        <v>678</v>
      </c>
      <c r="G43" s="627">
        <v>810638</v>
      </c>
      <c r="H43" s="627">
        <v>723594.76</v>
      </c>
      <c r="I43" s="627">
        <v>0</v>
      </c>
      <c r="J43" s="627">
        <v>0</v>
      </c>
      <c r="K43" s="627">
        <v>0</v>
      </c>
      <c r="L43" s="747">
        <v>0</v>
      </c>
      <c r="M43" s="627">
        <f t="shared" si="2"/>
        <v>810638</v>
      </c>
      <c r="N43" s="627">
        <f t="shared" si="3"/>
        <v>723594.76</v>
      </c>
      <c r="O43" s="634">
        <f t="shared" si="4"/>
        <v>0.89262378521608909</v>
      </c>
    </row>
    <row r="44" spans="1:17" s="636" customFormat="1" ht="139.5" customHeight="1" x14ac:dyDescent="0.2">
      <c r="A44" s="463" t="s">
        <v>47</v>
      </c>
      <c r="B44" s="462" t="s">
        <v>48</v>
      </c>
      <c r="C44" s="462" t="s">
        <v>49</v>
      </c>
      <c r="D44" s="802" t="s">
        <v>50</v>
      </c>
      <c r="E44" s="802" t="s">
        <v>553</v>
      </c>
      <c r="F44" s="802" t="s">
        <v>678</v>
      </c>
      <c r="G44" s="629">
        <v>4439601</v>
      </c>
      <c r="H44" s="635">
        <v>4391026.9000000004</v>
      </c>
      <c r="I44" s="629">
        <v>0</v>
      </c>
      <c r="J44" s="629">
        <v>0</v>
      </c>
      <c r="K44" s="629">
        <v>0</v>
      </c>
      <c r="L44" s="752">
        <v>0</v>
      </c>
      <c r="M44" s="629">
        <f t="shared" si="2"/>
        <v>4439601</v>
      </c>
      <c r="N44" s="629">
        <f t="shared" si="3"/>
        <v>4391026.9000000004</v>
      </c>
      <c r="O44" s="630">
        <f t="shared" si="4"/>
        <v>0.98905890416728903</v>
      </c>
    </row>
    <row r="45" spans="1:17" s="638" customFormat="1" ht="133.5" customHeight="1" x14ac:dyDescent="0.2">
      <c r="A45" s="463" t="s">
        <v>51</v>
      </c>
      <c r="B45" s="462" t="s">
        <v>52</v>
      </c>
      <c r="C45" s="462" t="s">
        <v>53</v>
      </c>
      <c r="D45" s="802" t="s">
        <v>54</v>
      </c>
      <c r="E45" s="802" t="s">
        <v>553</v>
      </c>
      <c r="F45" s="802" t="s">
        <v>678</v>
      </c>
      <c r="G45" s="629">
        <v>18526</v>
      </c>
      <c r="H45" s="629">
        <v>18524.91</v>
      </c>
      <c r="I45" s="629">
        <v>0</v>
      </c>
      <c r="J45" s="629">
        <v>0</v>
      </c>
      <c r="K45" s="629">
        <v>0</v>
      </c>
      <c r="L45" s="749">
        <v>0</v>
      </c>
      <c r="M45" s="629">
        <f t="shared" si="2"/>
        <v>18526</v>
      </c>
      <c r="N45" s="629">
        <f t="shared" si="3"/>
        <v>18524.91</v>
      </c>
      <c r="O45" s="637">
        <f t="shared" si="4"/>
        <v>0.99994116376983699</v>
      </c>
    </row>
    <row r="46" spans="1:17" s="606" customFormat="1" ht="138" customHeight="1" x14ac:dyDescent="0.2">
      <c r="A46" s="755" t="s">
        <v>56</v>
      </c>
      <c r="B46" s="751" t="s">
        <v>57</v>
      </c>
      <c r="C46" s="751" t="s">
        <v>55</v>
      </c>
      <c r="D46" s="812" t="s">
        <v>58</v>
      </c>
      <c r="E46" s="812" t="s">
        <v>553</v>
      </c>
      <c r="F46" s="812" t="s">
        <v>678</v>
      </c>
      <c r="G46" s="647">
        <v>99030</v>
      </c>
      <c r="H46" s="647">
        <v>99030</v>
      </c>
      <c r="I46" s="754">
        <v>0</v>
      </c>
      <c r="J46" s="647">
        <v>0</v>
      </c>
      <c r="K46" s="647">
        <v>0</v>
      </c>
      <c r="L46" s="754">
        <v>0</v>
      </c>
      <c r="M46" s="647">
        <f t="shared" si="2"/>
        <v>99030</v>
      </c>
      <c r="N46" s="647">
        <f t="shared" si="3"/>
        <v>99030</v>
      </c>
      <c r="O46" s="740">
        <f t="shared" si="4"/>
        <v>1</v>
      </c>
    </row>
    <row r="47" spans="1:17" s="606" customFormat="1" ht="129.75" customHeight="1" x14ac:dyDescent="0.2">
      <c r="A47" s="463" t="s">
        <v>59</v>
      </c>
      <c r="B47" s="462" t="s">
        <v>60</v>
      </c>
      <c r="C47" s="462" t="s">
        <v>55</v>
      </c>
      <c r="D47" s="802" t="s">
        <v>61</v>
      </c>
      <c r="E47" s="802" t="s">
        <v>553</v>
      </c>
      <c r="F47" s="802" t="s">
        <v>678</v>
      </c>
      <c r="G47" s="629">
        <v>3279</v>
      </c>
      <c r="H47" s="629">
        <v>3278.49</v>
      </c>
      <c r="I47" s="749">
        <v>0</v>
      </c>
      <c r="J47" s="629">
        <v>0</v>
      </c>
      <c r="K47" s="629">
        <v>0</v>
      </c>
      <c r="L47" s="749">
        <v>0</v>
      </c>
      <c r="M47" s="629">
        <f t="shared" si="2"/>
        <v>3279</v>
      </c>
      <c r="N47" s="629">
        <f t="shared" si="3"/>
        <v>3278.49</v>
      </c>
      <c r="O47" s="637">
        <f t="shared" si="4"/>
        <v>0.99984446477584621</v>
      </c>
    </row>
    <row r="48" spans="1:17" s="606" customFormat="1" ht="144.75" customHeight="1" x14ac:dyDescent="0.2">
      <c r="A48" s="463" t="s">
        <v>62</v>
      </c>
      <c r="B48" s="462" t="s">
        <v>63</v>
      </c>
      <c r="C48" s="462" t="s">
        <v>55</v>
      </c>
      <c r="D48" s="802" t="s">
        <v>64</v>
      </c>
      <c r="E48" s="802" t="s">
        <v>553</v>
      </c>
      <c r="F48" s="802" t="s">
        <v>678</v>
      </c>
      <c r="G48" s="629">
        <v>5919</v>
      </c>
      <c r="H48" s="629">
        <v>1237</v>
      </c>
      <c r="I48" s="749">
        <v>0</v>
      </c>
      <c r="J48" s="629">
        <v>0</v>
      </c>
      <c r="K48" s="629">
        <v>0</v>
      </c>
      <c r="L48" s="749">
        <v>0</v>
      </c>
      <c r="M48" s="629">
        <f t="shared" si="2"/>
        <v>5919</v>
      </c>
      <c r="N48" s="629">
        <f t="shared" si="3"/>
        <v>1237</v>
      </c>
      <c r="O48" s="637">
        <f t="shared" si="4"/>
        <v>0.20898800473052881</v>
      </c>
    </row>
    <row r="49" spans="1:15" s="606" customFormat="1" ht="112.5" customHeight="1" x14ac:dyDescent="0.2">
      <c r="A49" s="463" t="s">
        <v>62</v>
      </c>
      <c r="B49" s="462" t="s">
        <v>63</v>
      </c>
      <c r="C49" s="462" t="s">
        <v>55</v>
      </c>
      <c r="D49" s="802" t="s">
        <v>64</v>
      </c>
      <c r="E49" s="802" t="s">
        <v>554</v>
      </c>
      <c r="F49" s="802" t="s">
        <v>233</v>
      </c>
      <c r="G49" s="629">
        <v>33491</v>
      </c>
      <c r="H49" s="629">
        <v>33491</v>
      </c>
      <c r="I49" s="749">
        <v>0</v>
      </c>
      <c r="J49" s="629">
        <v>0</v>
      </c>
      <c r="K49" s="629">
        <v>0</v>
      </c>
      <c r="L49" s="749">
        <v>0</v>
      </c>
      <c r="M49" s="629">
        <f t="shared" si="2"/>
        <v>33491</v>
      </c>
      <c r="N49" s="629">
        <f t="shared" si="3"/>
        <v>33491</v>
      </c>
      <c r="O49" s="637">
        <f t="shared" si="4"/>
        <v>1</v>
      </c>
    </row>
    <row r="50" spans="1:15" s="606" customFormat="1" ht="265.5" customHeight="1" x14ac:dyDescent="0.2">
      <c r="A50" s="480" t="s">
        <v>461</v>
      </c>
      <c r="B50" s="751">
        <v>1183</v>
      </c>
      <c r="C50" s="751" t="s">
        <v>55</v>
      </c>
      <c r="D50" s="812" t="s">
        <v>463</v>
      </c>
      <c r="E50" s="812" t="s">
        <v>553</v>
      </c>
      <c r="F50" s="812" t="s">
        <v>678</v>
      </c>
      <c r="G50" s="647">
        <v>0</v>
      </c>
      <c r="H50" s="647">
        <v>0</v>
      </c>
      <c r="I50" s="647">
        <v>579643</v>
      </c>
      <c r="J50" s="647">
        <v>579643</v>
      </c>
      <c r="K50" s="647">
        <v>507656.4</v>
      </c>
      <c r="L50" s="647">
        <f>K50</f>
        <v>507656.4</v>
      </c>
      <c r="M50" s="647">
        <f t="shared" si="2"/>
        <v>579643</v>
      </c>
      <c r="N50" s="647">
        <f t="shared" si="3"/>
        <v>507656.4</v>
      </c>
      <c r="O50" s="648">
        <f t="shared" si="4"/>
        <v>0.87580873054621555</v>
      </c>
    </row>
    <row r="51" spans="1:15" s="606" customFormat="1" ht="282" customHeight="1" x14ac:dyDescent="0.2">
      <c r="A51" s="748" t="s">
        <v>464</v>
      </c>
      <c r="B51" s="462">
        <v>1184</v>
      </c>
      <c r="C51" s="462" t="s">
        <v>55</v>
      </c>
      <c r="D51" s="1162" t="s">
        <v>466</v>
      </c>
      <c r="E51" s="802" t="s">
        <v>553</v>
      </c>
      <c r="F51" s="802" t="s">
        <v>678</v>
      </c>
      <c r="G51" s="629">
        <v>0</v>
      </c>
      <c r="H51" s="629">
        <v>0</v>
      </c>
      <c r="I51" s="629">
        <v>1352500</v>
      </c>
      <c r="J51" s="629">
        <v>1352500</v>
      </c>
      <c r="K51" s="629">
        <v>1184531.6000000001</v>
      </c>
      <c r="L51" s="629">
        <f>K51</f>
        <v>1184531.6000000001</v>
      </c>
      <c r="M51" s="629">
        <f t="shared" si="2"/>
        <v>1352500</v>
      </c>
      <c r="N51" s="629">
        <f t="shared" si="3"/>
        <v>1184531.6000000001</v>
      </c>
      <c r="O51" s="637">
        <f t="shared" si="4"/>
        <v>0.87580894639556384</v>
      </c>
    </row>
    <row r="52" spans="1:15" s="606" customFormat="1" ht="369.75" customHeight="1" x14ac:dyDescent="0.2">
      <c r="A52" s="480" t="s">
        <v>630</v>
      </c>
      <c r="B52" s="751">
        <v>1231</v>
      </c>
      <c r="C52" s="751" t="s">
        <v>55</v>
      </c>
      <c r="D52" s="812" t="s">
        <v>632</v>
      </c>
      <c r="E52" s="812" t="s">
        <v>553</v>
      </c>
      <c r="F52" s="812" t="s">
        <v>678</v>
      </c>
      <c r="G52" s="647">
        <v>1250000</v>
      </c>
      <c r="H52" s="647">
        <v>0</v>
      </c>
      <c r="I52" s="647">
        <v>0</v>
      </c>
      <c r="J52" s="647">
        <v>0</v>
      </c>
      <c r="K52" s="647">
        <v>0</v>
      </c>
      <c r="L52" s="754">
        <v>0</v>
      </c>
      <c r="M52" s="647">
        <f t="shared" si="2"/>
        <v>1250000</v>
      </c>
      <c r="N52" s="647">
        <f t="shared" si="3"/>
        <v>0</v>
      </c>
      <c r="O52" s="648">
        <f t="shared" si="4"/>
        <v>0</v>
      </c>
    </row>
    <row r="53" spans="1:15" s="606" customFormat="1" ht="343.5" customHeight="1" x14ac:dyDescent="0.2">
      <c r="A53" s="748" t="s">
        <v>633</v>
      </c>
      <c r="B53" s="462">
        <v>1232</v>
      </c>
      <c r="C53" s="462" t="s">
        <v>55</v>
      </c>
      <c r="D53" s="802" t="s">
        <v>635</v>
      </c>
      <c r="E53" s="802" t="s">
        <v>553</v>
      </c>
      <c r="F53" s="813" t="s">
        <v>651</v>
      </c>
      <c r="G53" s="629">
        <v>1250000</v>
      </c>
      <c r="H53" s="629">
        <v>0</v>
      </c>
      <c r="I53" s="629">
        <v>0</v>
      </c>
      <c r="J53" s="629">
        <v>0</v>
      </c>
      <c r="K53" s="629">
        <v>0</v>
      </c>
      <c r="L53" s="749">
        <v>0</v>
      </c>
      <c r="M53" s="629">
        <f t="shared" si="2"/>
        <v>1250000</v>
      </c>
      <c r="N53" s="629">
        <f t="shared" si="3"/>
        <v>0</v>
      </c>
      <c r="O53" s="637">
        <f t="shared" si="4"/>
        <v>0</v>
      </c>
    </row>
    <row r="54" spans="1:15" s="606" customFormat="1" ht="195" customHeight="1" x14ac:dyDescent="0.2">
      <c r="A54" s="800" t="s">
        <v>637</v>
      </c>
      <c r="B54" s="801">
        <v>1279</v>
      </c>
      <c r="C54" s="801" t="s">
        <v>55</v>
      </c>
      <c r="D54" s="802" t="s">
        <v>639</v>
      </c>
      <c r="E54" s="802" t="s">
        <v>679</v>
      </c>
      <c r="F54" s="802" t="s">
        <v>678</v>
      </c>
      <c r="G54" s="629">
        <v>0</v>
      </c>
      <c r="H54" s="629">
        <v>0</v>
      </c>
      <c r="I54" s="629">
        <v>2511700</v>
      </c>
      <c r="J54" s="629">
        <v>0</v>
      </c>
      <c r="K54" s="629">
        <v>2482375.2400000002</v>
      </c>
      <c r="L54" s="749">
        <v>0</v>
      </c>
      <c r="M54" s="629">
        <f t="shared" si="2"/>
        <v>2511700</v>
      </c>
      <c r="N54" s="629">
        <f t="shared" si="3"/>
        <v>2482375.2400000002</v>
      </c>
      <c r="O54" s="637">
        <f t="shared" si="4"/>
        <v>0.98832473623442296</v>
      </c>
    </row>
    <row r="55" spans="1:15" s="606" customFormat="1" ht="132" customHeight="1" x14ac:dyDescent="0.2">
      <c r="A55" s="480" t="s">
        <v>529</v>
      </c>
      <c r="B55" s="751">
        <v>1403</v>
      </c>
      <c r="C55" s="751" t="s">
        <v>55</v>
      </c>
      <c r="D55" s="812" t="s">
        <v>533</v>
      </c>
      <c r="E55" s="812" t="s">
        <v>553</v>
      </c>
      <c r="F55" s="812" t="s">
        <v>678</v>
      </c>
      <c r="G55" s="647">
        <v>0</v>
      </c>
      <c r="H55" s="647">
        <v>0</v>
      </c>
      <c r="I55" s="647">
        <v>3500600</v>
      </c>
      <c r="J55" s="647">
        <v>0</v>
      </c>
      <c r="K55" s="647">
        <v>3500599.84</v>
      </c>
      <c r="L55" s="754">
        <v>0</v>
      </c>
      <c r="M55" s="647">
        <f t="shared" si="2"/>
        <v>3500600</v>
      </c>
      <c r="N55" s="647">
        <f t="shared" si="3"/>
        <v>3500599.84</v>
      </c>
      <c r="O55" s="648">
        <f t="shared" si="4"/>
        <v>0.9999999542935496</v>
      </c>
    </row>
    <row r="56" spans="1:15" s="606" customFormat="1" ht="185.25" customHeight="1" x14ac:dyDescent="0.2">
      <c r="A56" s="800" t="s">
        <v>640</v>
      </c>
      <c r="B56" s="801">
        <v>1700</v>
      </c>
      <c r="C56" s="801" t="s">
        <v>55</v>
      </c>
      <c r="D56" s="802" t="s">
        <v>642</v>
      </c>
      <c r="E56" s="802" t="s">
        <v>679</v>
      </c>
      <c r="F56" s="802" t="s">
        <v>678</v>
      </c>
      <c r="G56" s="629">
        <v>0</v>
      </c>
      <c r="H56" s="629">
        <v>0</v>
      </c>
      <c r="I56" s="629">
        <v>1380800</v>
      </c>
      <c r="J56" s="629">
        <v>0</v>
      </c>
      <c r="K56" s="629">
        <v>1195677.1499999999</v>
      </c>
      <c r="L56" s="749">
        <v>0</v>
      </c>
      <c r="M56" s="629">
        <f t="shared" si="2"/>
        <v>1380800</v>
      </c>
      <c r="N56" s="629">
        <f t="shared" si="3"/>
        <v>1195677.1499999999</v>
      </c>
      <c r="O56" s="637">
        <f t="shared" si="4"/>
        <v>0.86593072856315167</v>
      </c>
    </row>
    <row r="57" spans="1:15" s="606" customFormat="1" ht="147" customHeight="1" x14ac:dyDescent="0.2">
      <c r="A57" s="800" t="s">
        <v>666</v>
      </c>
      <c r="B57" s="801">
        <v>1702</v>
      </c>
      <c r="C57" s="801" t="s">
        <v>55</v>
      </c>
      <c r="D57" s="802" t="s">
        <v>668</v>
      </c>
      <c r="E57" s="802" t="s">
        <v>679</v>
      </c>
      <c r="F57" s="802" t="s">
        <v>678</v>
      </c>
      <c r="G57" s="629">
        <v>8230500</v>
      </c>
      <c r="H57" s="629">
        <v>5698856.0199999996</v>
      </c>
      <c r="I57" s="629">
        <v>0</v>
      </c>
      <c r="J57" s="629">
        <v>0</v>
      </c>
      <c r="K57" s="629">
        <v>0</v>
      </c>
      <c r="L57" s="749">
        <v>0</v>
      </c>
      <c r="M57" s="629">
        <f t="shared" si="2"/>
        <v>8230500</v>
      </c>
      <c r="N57" s="629">
        <f t="shared" si="3"/>
        <v>5698856.0199999996</v>
      </c>
      <c r="O57" s="637">
        <f t="shared" si="4"/>
        <v>0.69240702508960572</v>
      </c>
    </row>
    <row r="58" spans="1:15" s="606" customFormat="1" ht="213" customHeight="1" x14ac:dyDescent="0.2">
      <c r="A58" s="474" t="s">
        <v>517</v>
      </c>
      <c r="B58" s="475">
        <v>3140</v>
      </c>
      <c r="C58" s="475">
        <v>1040</v>
      </c>
      <c r="D58" s="813" t="s">
        <v>515</v>
      </c>
      <c r="E58" s="813" t="s">
        <v>555</v>
      </c>
      <c r="F58" s="802" t="s">
        <v>556</v>
      </c>
      <c r="G58" s="629">
        <v>1078000</v>
      </c>
      <c r="H58" s="629">
        <v>1077820</v>
      </c>
      <c r="I58" s="749">
        <v>0</v>
      </c>
      <c r="J58" s="629">
        <v>0</v>
      </c>
      <c r="K58" s="629">
        <v>0</v>
      </c>
      <c r="L58" s="749">
        <v>0</v>
      </c>
      <c r="M58" s="629">
        <f t="shared" si="2"/>
        <v>1078000</v>
      </c>
      <c r="N58" s="629">
        <f t="shared" si="3"/>
        <v>1077820</v>
      </c>
      <c r="O58" s="637">
        <f t="shared" si="4"/>
        <v>0.99983302411873842</v>
      </c>
    </row>
    <row r="59" spans="1:15" s="631" customFormat="1" ht="141.75" customHeight="1" thickBot="1" x14ac:dyDescent="0.25">
      <c r="A59" s="756" t="s">
        <v>595</v>
      </c>
      <c r="B59" s="798">
        <v>9750</v>
      </c>
      <c r="C59" s="652" t="s">
        <v>197</v>
      </c>
      <c r="D59" s="990" t="s">
        <v>596</v>
      </c>
      <c r="E59" s="812" t="s">
        <v>553</v>
      </c>
      <c r="F59" s="802" t="s">
        <v>678</v>
      </c>
      <c r="G59" s="647">
        <v>0</v>
      </c>
      <c r="H59" s="647">
        <v>0</v>
      </c>
      <c r="I59" s="647">
        <v>2000000</v>
      </c>
      <c r="J59" s="647">
        <v>2000000</v>
      </c>
      <c r="K59" s="647">
        <v>2000000</v>
      </c>
      <c r="L59" s="647">
        <v>2000000</v>
      </c>
      <c r="M59" s="647">
        <f t="shared" si="2"/>
        <v>2000000</v>
      </c>
      <c r="N59" s="647">
        <f t="shared" si="3"/>
        <v>2000000</v>
      </c>
      <c r="O59" s="648">
        <f t="shared" si="4"/>
        <v>1</v>
      </c>
    </row>
    <row r="60" spans="1:15" s="631" customFormat="1" ht="107.25" customHeight="1" thickBot="1" x14ac:dyDescent="0.25">
      <c r="A60" s="466" t="s">
        <v>66</v>
      </c>
      <c r="B60" s="472"/>
      <c r="C60" s="472"/>
      <c r="D60" s="978" t="s">
        <v>446</v>
      </c>
      <c r="E60" s="978"/>
      <c r="F60" s="978"/>
      <c r="G60" s="456">
        <f>G61</f>
        <v>35294910</v>
      </c>
      <c r="H60" s="456">
        <f>H61</f>
        <v>32702397.48</v>
      </c>
      <c r="I60" s="456">
        <f t="shared" ref="I60:K60" si="9">I61</f>
        <v>0</v>
      </c>
      <c r="J60" s="456">
        <f t="shared" si="9"/>
        <v>0</v>
      </c>
      <c r="K60" s="456">
        <f t="shared" si="9"/>
        <v>0</v>
      </c>
      <c r="L60" s="456">
        <f>L61</f>
        <v>0</v>
      </c>
      <c r="M60" s="639">
        <f t="shared" si="2"/>
        <v>35294910</v>
      </c>
      <c r="N60" s="639">
        <f t="shared" si="3"/>
        <v>32702397.48</v>
      </c>
      <c r="O60" s="457">
        <f t="shared" si="4"/>
        <v>0.92654712761698499</v>
      </c>
    </row>
    <row r="61" spans="1:15" s="631" customFormat="1" ht="115.5" customHeight="1" thickBot="1" x14ac:dyDescent="0.25">
      <c r="A61" s="469" t="s">
        <v>67</v>
      </c>
      <c r="B61" s="473"/>
      <c r="C61" s="473"/>
      <c r="D61" s="991" t="s">
        <v>448</v>
      </c>
      <c r="E61" s="980"/>
      <c r="F61" s="980"/>
      <c r="G61" s="633">
        <f>SUM(G62:G69)</f>
        <v>35294910</v>
      </c>
      <c r="H61" s="633">
        <f>SUM(H62:H69)</f>
        <v>32702397.48</v>
      </c>
      <c r="I61" s="633">
        <f t="shared" ref="I61:L61" si="10">SUM(I62:I69)</f>
        <v>0</v>
      </c>
      <c r="J61" s="633">
        <f t="shared" si="10"/>
        <v>0</v>
      </c>
      <c r="K61" s="633">
        <f t="shared" si="10"/>
        <v>0</v>
      </c>
      <c r="L61" s="633">
        <f t="shared" si="10"/>
        <v>0</v>
      </c>
      <c r="M61" s="633">
        <f t="shared" si="2"/>
        <v>35294910</v>
      </c>
      <c r="N61" s="633">
        <f t="shared" si="3"/>
        <v>32702397.48</v>
      </c>
      <c r="O61" s="626">
        <f t="shared" si="4"/>
        <v>0.92654712761698499</v>
      </c>
    </row>
    <row r="62" spans="1:15" s="631" customFormat="1" ht="164.25" customHeight="1" x14ac:dyDescent="0.2">
      <c r="A62" s="464" t="s">
        <v>69</v>
      </c>
      <c r="B62" s="465" t="s">
        <v>70</v>
      </c>
      <c r="C62" s="465" t="s">
        <v>52</v>
      </c>
      <c r="D62" s="811" t="s">
        <v>71</v>
      </c>
      <c r="E62" s="811" t="s">
        <v>573</v>
      </c>
      <c r="F62" s="811" t="s">
        <v>574</v>
      </c>
      <c r="G62" s="627">
        <v>3619</v>
      </c>
      <c r="H62" s="627">
        <v>3573.24</v>
      </c>
      <c r="I62" s="747">
        <v>0</v>
      </c>
      <c r="J62" s="627">
        <v>0</v>
      </c>
      <c r="K62" s="627">
        <v>0</v>
      </c>
      <c r="L62" s="747">
        <v>0</v>
      </c>
      <c r="M62" s="627">
        <f t="shared" si="2"/>
        <v>3619</v>
      </c>
      <c r="N62" s="627">
        <f t="shared" si="3"/>
        <v>3573.24</v>
      </c>
      <c r="O62" s="628">
        <f t="shared" si="4"/>
        <v>0.98735562310030389</v>
      </c>
    </row>
    <row r="63" spans="1:15" s="631" customFormat="1" ht="200.25" customHeight="1" x14ac:dyDescent="0.2">
      <c r="A63" s="474" t="s">
        <v>163</v>
      </c>
      <c r="B63" s="475">
        <v>3105</v>
      </c>
      <c r="C63" s="475">
        <v>1010</v>
      </c>
      <c r="D63" s="813" t="s">
        <v>165</v>
      </c>
      <c r="E63" s="813" t="s">
        <v>557</v>
      </c>
      <c r="F63" s="813" t="s">
        <v>660</v>
      </c>
      <c r="G63" s="629">
        <v>14952</v>
      </c>
      <c r="H63" s="629">
        <v>12269.24</v>
      </c>
      <c r="I63" s="749">
        <v>0</v>
      </c>
      <c r="J63" s="629">
        <v>0</v>
      </c>
      <c r="K63" s="629">
        <v>0</v>
      </c>
      <c r="L63" s="749">
        <v>0</v>
      </c>
      <c r="M63" s="629">
        <f t="shared" si="2"/>
        <v>14952</v>
      </c>
      <c r="N63" s="629">
        <f t="shared" si="3"/>
        <v>12269.24</v>
      </c>
      <c r="O63" s="630">
        <f t="shared" si="4"/>
        <v>0.82057517388978063</v>
      </c>
    </row>
    <row r="64" spans="1:15" s="631" customFormat="1" ht="114" customHeight="1" x14ac:dyDescent="0.2">
      <c r="A64" s="748" t="s">
        <v>169</v>
      </c>
      <c r="B64" s="462">
        <v>3241</v>
      </c>
      <c r="C64" s="462">
        <v>1090</v>
      </c>
      <c r="D64" s="802" t="s">
        <v>558</v>
      </c>
      <c r="E64" s="802" t="s">
        <v>559</v>
      </c>
      <c r="F64" s="802" t="s">
        <v>680</v>
      </c>
      <c r="G64" s="629">
        <v>58300</v>
      </c>
      <c r="H64" s="629">
        <v>58300</v>
      </c>
      <c r="I64" s="749">
        <v>0</v>
      </c>
      <c r="J64" s="629">
        <v>0</v>
      </c>
      <c r="K64" s="629">
        <v>0</v>
      </c>
      <c r="L64" s="749">
        <v>0</v>
      </c>
      <c r="M64" s="629">
        <f t="shared" si="2"/>
        <v>58300</v>
      </c>
      <c r="N64" s="629">
        <f t="shared" si="3"/>
        <v>58300</v>
      </c>
      <c r="O64" s="630">
        <f t="shared" si="4"/>
        <v>1</v>
      </c>
    </row>
    <row r="65" spans="1:15" s="631" customFormat="1" ht="132" customHeight="1" x14ac:dyDescent="0.2">
      <c r="A65" s="755" t="s">
        <v>73</v>
      </c>
      <c r="B65" s="751" t="s">
        <v>74</v>
      </c>
      <c r="C65" s="751" t="s">
        <v>72</v>
      </c>
      <c r="D65" s="812" t="s">
        <v>75</v>
      </c>
      <c r="E65" s="812" t="s">
        <v>652</v>
      </c>
      <c r="F65" s="812" t="s">
        <v>653</v>
      </c>
      <c r="G65" s="647">
        <v>36000</v>
      </c>
      <c r="H65" s="647">
        <v>0</v>
      </c>
      <c r="I65" s="754">
        <v>0</v>
      </c>
      <c r="J65" s="647">
        <v>0</v>
      </c>
      <c r="K65" s="647">
        <v>0</v>
      </c>
      <c r="L65" s="754">
        <v>0</v>
      </c>
      <c r="M65" s="647">
        <f t="shared" si="2"/>
        <v>36000</v>
      </c>
      <c r="N65" s="647">
        <f t="shared" si="3"/>
        <v>0</v>
      </c>
      <c r="O65" s="740">
        <f t="shared" si="4"/>
        <v>0</v>
      </c>
    </row>
    <row r="66" spans="1:15" s="631" customFormat="1" ht="182.25" customHeight="1" x14ac:dyDescent="0.2">
      <c r="A66" s="463" t="s">
        <v>73</v>
      </c>
      <c r="B66" s="462" t="s">
        <v>74</v>
      </c>
      <c r="C66" s="462" t="s">
        <v>72</v>
      </c>
      <c r="D66" s="802" t="s">
        <v>75</v>
      </c>
      <c r="E66" s="802" t="s">
        <v>560</v>
      </c>
      <c r="F66" s="802" t="s">
        <v>561</v>
      </c>
      <c r="G66" s="629">
        <v>83862</v>
      </c>
      <c r="H66" s="629">
        <v>83862</v>
      </c>
      <c r="I66" s="749">
        <v>0</v>
      </c>
      <c r="J66" s="629">
        <v>0</v>
      </c>
      <c r="K66" s="629">
        <v>0</v>
      </c>
      <c r="L66" s="749">
        <v>0</v>
      </c>
      <c r="M66" s="629">
        <f t="shared" si="2"/>
        <v>83862</v>
      </c>
      <c r="N66" s="629">
        <f t="shared" si="3"/>
        <v>83862</v>
      </c>
      <c r="O66" s="630">
        <f t="shared" si="4"/>
        <v>1</v>
      </c>
    </row>
    <row r="67" spans="1:15" s="631" customFormat="1" ht="131.25" customHeight="1" x14ac:dyDescent="0.2">
      <c r="A67" s="463" t="s">
        <v>73</v>
      </c>
      <c r="B67" s="462" t="s">
        <v>74</v>
      </c>
      <c r="C67" s="462" t="s">
        <v>72</v>
      </c>
      <c r="D67" s="802" t="s">
        <v>75</v>
      </c>
      <c r="E67" s="802" t="s">
        <v>212</v>
      </c>
      <c r="F67" s="802" t="s">
        <v>681</v>
      </c>
      <c r="G67" s="629">
        <v>31976814</v>
      </c>
      <c r="H67" s="629">
        <v>29423030</v>
      </c>
      <c r="I67" s="749">
        <v>0</v>
      </c>
      <c r="J67" s="629">
        <v>0</v>
      </c>
      <c r="K67" s="629">
        <v>0</v>
      </c>
      <c r="L67" s="749">
        <v>0</v>
      </c>
      <c r="M67" s="629">
        <f t="shared" si="2"/>
        <v>31976814</v>
      </c>
      <c r="N67" s="629">
        <f t="shared" si="3"/>
        <v>29423030</v>
      </c>
      <c r="O67" s="630">
        <f t="shared" si="4"/>
        <v>0.92013638381860052</v>
      </c>
    </row>
    <row r="68" spans="1:15" s="606" customFormat="1" ht="292.5" customHeight="1" x14ac:dyDescent="0.2">
      <c r="A68" s="463" t="s">
        <v>73</v>
      </c>
      <c r="B68" s="462" t="s">
        <v>74</v>
      </c>
      <c r="C68" s="462" t="s">
        <v>72</v>
      </c>
      <c r="D68" s="802" t="s">
        <v>75</v>
      </c>
      <c r="E68" s="802" t="s">
        <v>199</v>
      </c>
      <c r="F68" s="813" t="s">
        <v>617</v>
      </c>
      <c r="G68" s="629">
        <v>3100000</v>
      </c>
      <c r="H68" s="629">
        <v>3100000</v>
      </c>
      <c r="I68" s="749">
        <v>0</v>
      </c>
      <c r="J68" s="629">
        <v>0</v>
      </c>
      <c r="K68" s="629">
        <v>0</v>
      </c>
      <c r="L68" s="749">
        <v>0</v>
      </c>
      <c r="M68" s="629">
        <f t="shared" si="2"/>
        <v>3100000</v>
      </c>
      <c r="N68" s="629">
        <f t="shared" si="3"/>
        <v>3100000</v>
      </c>
      <c r="O68" s="630">
        <f t="shared" si="4"/>
        <v>1</v>
      </c>
    </row>
    <row r="69" spans="1:15" s="643" customFormat="1" ht="99.75" customHeight="1" thickBot="1" x14ac:dyDescent="0.25">
      <c r="A69" s="480" t="s">
        <v>612</v>
      </c>
      <c r="B69" s="751">
        <v>9770</v>
      </c>
      <c r="C69" s="479" t="s">
        <v>197</v>
      </c>
      <c r="D69" s="812" t="s">
        <v>492</v>
      </c>
      <c r="E69" s="812" t="s">
        <v>212</v>
      </c>
      <c r="F69" s="812" t="s">
        <v>681</v>
      </c>
      <c r="G69" s="647">
        <v>21363</v>
      </c>
      <c r="H69" s="647">
        <v>21363</v>
      </c>
      <c r="I69" s="754">
        <v>0</v>
      </c>
      <c r="J69" s="647">
        <v>0</v>
      </c>
      <c r="K69" s="647">
        <v>0</v>
      </c>
      <c r="L69" s="754">
        <v>0</v>
      </c>
      <c r="M69" s="647">
        <f t="shared" si="2"/>
        <v>21363</v>
      </c>
      <c r="N69" s="647">
        <f t="shared" si="3"/>
        <v>21363</v>
      </c>
      <c r="O69" s="740">
        <f t="shared" si="4"/>
        <v>1</v>
      </c>
    </row>
    <row r="70" spans="1:15" s="606" customFormat="1" ht="83.25" customHeight="1" thickBot="1" x14ac:dyDescent="0.25">
      <c r="A70" s="814" t="s">
        <v>76</v>
      </c>
      <c r="B70" s="815" t="s">
        <v>14</v>
      </c>
      <c r="C70" s="815" t="s">
        <v>14</v>
      </c>
      <c r="D70" s="981" t="s">
        <v>440</v>
      </c>
      <c r="E70" s="981" t="s">
        <v>14</v>
      </c>
      <c r="F70" s="981" t="s">
        <v>14</v>
      </c>
      <c r="G70" s="816">
        <f t="shared" ref="G70:L71" si="11">G71</f>
        <v>95000</v>
      </c>
      <c r="H70" s="816">
        <f t="shared" si="11"/>
        <v>95000</v>
      </c>
      <c r="I70" s="816">
        <f t="shared" si="11"/>
        <v>0</v>
      </c>
      <c r="J70" s="816">
        <f t="shared" si="11"/>
        <v>0</v>
      </c>
      <c r="K70" s="816">
        <f t="shared" si="11"/>
        <v>0</v>
      </c>
      <c r="L70" s="816">
        <f t="shared" si="11"/>
        <v>0</v>
      </c>
      <c r="M70" s="817">
        <f t="shared" si="2"/>
        <v>95000</v>
      </c>
      <c r="N70" s="817">
        <f t="shared" si="3"/>
        <v>95000</v>
      </c>
      <c r="O70" s="818">
        <f t="shared" si="4"/>
        <v>1</v>
      </c>
    </row>
    <row r="71" spans="1:15" s="636" customFormat="1" ht="83.25" customHeight="1" thickBot="1" x14ac:dyDescent="0.25">
      <c r="A71" s="469" t="s">
        <v>77</v>
      </c>
      <c r="B71" s="477" t="s">
        <v>14</v>
      </c>
      <c r="C71" s="477" t="s">
        <v>14</v>
      </c>
      <c r="D71" s="982" t="s">
        <v>440</v>
      </c>
      <c r="E71" s="982" t="s">
        <v>14</v>
      </c>
      <c r="F71" s="982" t="s">
        <v>14</v>
      </c>
      <c r="G71" s="633">
        <f>G72</f>
        <v>95000</v>
      </c>
      <c r="H71" s="633">
        <f t="shared" si="11"/>
        <v>95000</v>
      </c>
      <c r="I71" s="633">
        <f t="shared" si="11"/>
        <v>0</v>
      </c>
      <c r="J71" s="633">
        <f t="shared" si="11"/>
        <v>0</v>
      </c>
      <c r="K71" s="633">
        <f t="shared" si="11"/>
        <v>0</v>
      </c>
      <c r="L71" s="633">
        <f t="shared" si="11"/>
        <v>0</v>
      </c>
      <c r="M71" s="633">
        <f t="shared" si="2"/>
        <v>95000</v>
      </c>
      <c r="N71" s="633">
        <f t="shared" si="3"/>
        <v>95000</v>
      </c>
      <c r="O71" s="641">
        <f t="shared" si="4"/>
        <v>1</v>
      </c>
    </row>
    <row r="72" spans="1:15" s="636" customFormat="1" ht="133.5" customHeight="1" thickBot="1" x14ac:dyDescent="0.25">
      <c r="A72" s="803" t="s">
        <v>78</v>
      </c>
      <c r="B72" s="804" t="s">
        <v>79</v>
      </c>
      <c r="C72" s="804" t="s">
        <v>65</v>
      </c>
      <c r="D72" s="810" t="s">
        <v>80</v>
      </c>
      <c r="E72" s="810" t="s">
        <v>202</v>
      </c>
      <c r="F72" s="808" t="s">
        <v>613</v>
      </c>
      <c r="G72" s="632">
        <v>95000</v>
      </c>
      <c r="H72" s="632">
        <v>95000</v>
      </c>
      <c r="I72" s="805">
        <v>0</v>
      </c>
      <c r="J72" s="632">
        <v>0</v>
      </c>
      <c r="K72" s="632">
        <v>0</v>
      </c>
      <c r="L72" s="805">
        <v>0</v>
      </c>
      <c r="M72" s="632">
        <f t="shared" si="2"/>
        <v>95000</v>
      </c>
      <c r="N72" s="632">
        <f t="shared" si="3"/>
        <v>95000</v>
      </c>
      <c r="O72" s="642">
        <f t="shared" si="4"/>
        <v>1</v>
      </c>
    </row>
    <row r="73" spans="1:15" s="636" customFormat="1" ht="131.25" customHeight="1" thickBot="1" x14ac:dyDescent="0.25">
      <c r="A73" s="466" t="s">
        <v>81</v>
      </c>
      <c r="B73" s="476" t="s">
        <v>14</v>
      </c>
      <c r="C73" s="476" t="s">
        <v>14</v>
      </c>
      <c r="D73" s="983" t="s">
        <v>441</v>
      </c>
      <c r="E73" s="983" t="s">
        <v>14</v>
      </c>
      <c r="F73" s="983" t="s">
        <v>14</v>
      </c>
      <c r="G73" s="644">
        <f>G74</f>
        <v>40299443</v>
      </c>
      <c r="H73" s="644">
        <f t="shared" ref="H73:L73" si="12">H74</f>
        <v>35938850.939999998</v>
      </c>
      <c r="I73" s="644">
        <f t="shared" si="12"/>
        <v>470747</v>
      </c>
      <c r="J73" s="644">
        <f t="shared" si="12"/>
        <v>470747</v>
      </c>
      <c r="K73" s="644">
        <f t="shared" si="12"/>
        <v>449156</v>
      </c>
      <c r="L73" s="644">
        <f t="shared" si="12"/>
        <v>449156</v>
      </c>
      <c r="M73" s="639">
        <f t="shared" si="2"/>
        <v>40770190</v>
      </c>
      <c r="N73" s="639">
        <f t="shared" si="3"/>
        <v>36388006.939999998</v>
      </c>
      <c r="O73" s="457">
        <f t="shared" si="4"/>
        <v>0.89251501992019167</v>
      </c>
    </row>
    <row r="74" spans="1:15" s="636" customFormat="1" ht="114.75" customHeight="1" thickBot="1" x14ac:dyDescent="0.25">
      <c r="A74" s="469" t="s">
        <v>82</v>
      </c>
      <c r="B74" s="477" t="s">
        <v>14</v>
      </c>
      <c r="C74" s="477" t="s">
        <v>14</v>
      </c>
      <c r="D74" s="982" t="s">
        <v>441</v>
      </c>
      <c r="E74" s="982" t="s">
        <v>14</v>
      </c>
      <c r="F74" s="982" t="s">
        <v>14</v>
      </c>
      <c r="G74" s="625">
        <f>G75+G76+G77+G78+G79+G80+G81+G82+G83+G84+G85+G86</f>
        <v>40299443</v>
      </c>
      <c r="H74" s="625">
        <f t="shared" ref="H74:L74" si="13">H75+H76+H77+H78+H79+H80+H81+H82+H83+H84+H85+H86</f>
        <v>35938850.939999998</v>
      </c>
      <c r="I74" s="625">
        <f t="shared" si="13"/>
        <v>470747</v>
      </c>
      <c r="J74" s="625">
        <f t="shared" si="13"/>
        <v>470747</v>
      </c>
      <c r="K74" s="625">
        <f t="shared" si="13"/>
        <v>449156</v>
      </c>
      <c r="L74" s="625">
        <f t="shared" si="13"/>
        <v>449156</v>
      </c>
      <c r="M74" s="633">
        <f t="shared" si="2"/>
        <v>40770190</v>
      </c>
      <c r="N74" s="633">
        <f t="shared" si="3"/>
        <v>36388006.939999998</v>
      </c>
      <c r="O74" s="626">
        <f t="shared" si="4"/>
        <v>0.89251501992019167</v>
      </c>
    </row>
    <row r="75" spans="1:15" s="636" customFormat="1" ht="113.25" customHeight="1" x14ac:dyDescent="0.2">
      <c r="A75" s="464" t="s">
        <v>83</v>
      </c>
      <c r="B75" s="465" t="s">
        <v>84</v>
      </c>
      <c r="C75" s="465" t="s">
        <v>53</v>
      </c>
      <c r="D75" s="811" t="s">
        <v>85</v>
      </c>
      <c r="E75" s="811" t="s">
        <v>575</v>
      </c>
      <c r="F75" s="809" t="s">
        <v>658</v>
      </c>
      <c r="G75" s="645">
        <v>27060</v>
      </c>
      <c r="H75" s="645">
        <v>14106.14</v>
      </c>
      <c r="I75" s="645">
        <v>0</v>
      </c>
      <c r="J75" s="645">
        <v>0</v>
      </c>
      <c r="K75" s="645">
        <v>0</v>
      </c>
      <c r="L75" s="645">
        <v>0</v>
      </c>
      <c r="M75" s="627">
        <f t="shared" si="2"/>
        <v>27060</v>
      </c>
      <c r="N75" s="627">
        <f t="shared" si="3"/>
        <v>14106.14</v>
      </c>
      <c r="O75" s="634">
        <f t="shared" si="4"/>
        <v>0.52129120473022905</v>
      </c>
    </row>
    <row r="76" spans="1:15" s="636" customFormat="1" ht="116.25" customHeight="1" x14ac:dyDescent="0.2">
      <c r="A76" s="755" t="s">
        <v>86</v>
      </c>
      <c r="B76" s="751" t="s">
        <v>87</v>
      </c>
      <c r="C76" s="751" t="s">
        <v>65</v>
      </c>
      <c r="D76" s="812" t="s">
        <v>522</v>
      </c>
      <c r="E76" s="812" t="s">
        <v>220</v>
      </c>
      <c r="F76" s="812" t="s">
        <v>233</v>
      </c>
      <c r="G76" s="646">
        <v>41035</v>
      </c>
      <c r="H76" s="646">
        <v>34624</v>
      </c>
      <c r="I76" s="646">
        <v>0</v>
      </c>
      <c r="J76" s="646">
        <v>0</v>
      </c>
      <c r="K76" s="646">
        <v>0</v>
      </c>
      <c r="L76" s="646">
        <v>0</v>
      </c>
      <c r="M76" s="647">
        <f t="shared" si="2"/>
        <v>41035</v>
      </c>
      <c r="N76" s="647">
        <f t="shared" si="3"/>
        <v>34624</v>
      </c>
      <c r="O76" s="648">
        <f t="shared" si="4"/>
        <v>0.84376751553551843</v>
      </c>
    </row>
    <row r="77" spans="1:15" s="636" customFormat="1" ht="113.25" customHeight="1" x14ac:dyDescent="0.2">
      <c r="A77" s="463" t="s">
        <v>86</v>
      </c>
      <c r="B77" s="462" t="s">
        <v>87</v>
      </c>
      <c r="C77" s="462" t="s">
        <v>65</v>
      </c>
      <c r="D77" s="802" t="s">
        <v>88</v>
      </c>
      <c r="E77" s="802" t="s">
        <v>559</v>
      </c>
      <c r="F77" s="802" t="s">
        <v>680</v>
      </c>
      <c r="G77" s="635">
        <v>299728</v>
      </c>
      <c r="H77" s="635">
        <v>298931</v>
      </c>
      <c r="I77" s="635">
        <v>0</v>
      </c>
      <c r="J77" s="635">
        <v>0</v>
      </c>
      <c r="K77" s="635">
        <v>0</v>
      </c>
      <c r="L77" s="635">
        <v>0</v>
      </c>
      <c r="M77" s="629">
        <f t="shared" si="2"/>
        <v>299728</v>
      </c>
      <c r="N77" s="629">
        <f t="shared" si="3"/>
        <v>298931</v>
      </c>
      <c r="O77" s="637">
        <f t="shared" si="4"/>
        <v>0.99734092243634231</v>
      </c>
    </row>
    <row r="78" spans="1:15" s="636" customFormat="1" ht="123" customHeight="1" x14ac:dyDescent="0.2">
      <c r="A78" s="463" t="s">
        <v>89</v>
      </c>
      <c r="B78" s="462" t="s">
        <v>90</v>
      </c>
      <c r="C78" s="462" t="s">
        <v>91</v>
      </c>
      <c r="D78" s="802" t="s">
        <v>92</v>
      </c>
      <c r="E78" s="802" t="s">
        <v>575</v>
      </c>
      <c r="F78" s="802" t="s">
        <v>658</v>
      </c>
      <c r="G78" s="635">
        <v>5760</v>
      </c>
      <c r="H78" s="635">
        <v>4944.2299999999996</v>
      </c>
      <c r="I78" s="635">
        <v>0</v>
      </c>
      <c r="J78" s="635">
        <v>0</v>
      </c>
      <c r="K78" s="635">
        <v>0</v>
      </c>
      <c r="L78" s="635">
        <v>0</v>
      </c>
      <c r="M78" s="629">
        <f t="shared" si="2"/>
        <v>5760</v>
      </c>
      <c r="N78" s="629">
        <f t="shared" si="3"/>
        <v>4944.2299999999996</v>
      </c>
      <c r="O78" s="637">
        <f t="shared" si="4"/>
        <v>0.85837326388888879</v>
      </c>
    </row>
    <row r="79" spans="1:15" s="636" customFormat="1" ht="123.75" customHeight="1" x14ac:dyDescent="0.2">
      <c r="A79" s="463" t="s">
        <v>93</v>
      </c>
      <c r="B79" s="462" t="s">
        <v>94</v>
      </c>
      <c r="C79" s="462" t="s">
        <v>91</v>
      </c>
      <c r="D79" s="802" t="s">
        <v>95</v>
      </c>
      <c r="E79" s="802" t="s">
        <v>575</v>
      </c>
      <c r="F79" s="802" t="s">
        <v>658</v>
      </c>
      <c r="G79" s="635">
        <v>1920</v>
      </c>
      <c r="H79" s="635">
        <v>1517.25</v>
      </c>
      <c r="I79" s="635">
        <v>0</v>
      </c>
      <c r="J79" s="635">
        <v>0</v>
      </c>
      <c r="K79" s="635">
        <v>0</v>
      </c>
      <c r="L79" s="635">
        <v>0</v>
      </c>
      <c r="M79" s="629">
        <f t="shared" si="2"/>
        <v>1920</v>
      </c>
      <c r="N79" s="629">
        <f t="shared" si="3"/>
        <v>1517.25</v>
      </c>
      <c r="O79" s="637">
        <f t="shared" si="4"/>
        <v>0.79023437500000004</v>
      </c>
    </row>
    <row r="80" spans="1:15" s="636" customFormat="1" ht="123.75" customHeight="1" x14ac:dyDescent="0.2">
      <c r="A80" s="463" t="s">
        <v>96</v>
      </c>
      <c r="B80" s="462" t="s">
        <v>97</v>
      </c>
      <c r="C80" s="462" t="s">
        <v>98</v>
      </c>
      <c r="D80" s="802" t="s">
        <v>99</v>
      </c>
      <c r="E80" s="802" t="s">
        <v>575</v>
      </c>
      <c r="F80" s="802" t="s">
        <v>658</v>
      </c>
      <c r="G80" s="635">
        <v>25600</v>
      </c>
      <c r="H80" s="635">
        <v>22462.080000000002</v>
      </c>
      <c r="I80" s="635">
        <v>0</v>
      </c>
      <c r="J80" s="635">
        <v>0</v>
      </c>
      <c r="K80" s="635">
        <v>0</v>
      </c>
      <c r="L80" s="635">
        <v>0</v>
      </c>
      <c r="M80" s="629">
        <f t="shared" si="2"/>
        <v>25600</v>
      </c>
      <c r="N80" s="629">
        <f t="shared" si="3"/>
        <v>22462.080000000002</v>
      </c>
      <c r="O80" s="637">
        <f t="shared" si="4"/>
        <v>0.87742500000000012</v>
      </c>
    </row>
    <row r="81" spans="1:16" s="636" customFormat="1" ht="111" customHeight="1" x14ac:dyDescent="0.2">
      <c r="A81" s="463" t="s">
        <v>101</v>
      </c>
      <c r="B81" s="462" t="s">
        <v>102</v>
      </c>
      <c r="C81" s="462" t="s">
        <v>100</v>
      </c>
      <c r="D81" s="802" t="s">
        <v>103</v>
      </c>
      <c r="E81" s="802" t="s">
        <v>575</v>
      </c>
      <c r="F81" s="802" t="s">
        <v>658</v>
      </c>
      <c r="G81" s="635">
        <v>316106</v>
      </c>
      <c r="H81" s="635">
        <v>316106</v>
      </c>
      <c r="I81" s="635">
        <v>0</v>
      </c>
      <c r="J81" s="635">
        <v>0</v>
      </c>
      <c r="K81" s="635">
        <v>0</v>
      </c>
      <c r="L81" s="635">
        <v>0</v>
      </c>
      <c r="M81" s="629">
        <f t="shared" si="2"/>
        <v>316106</v>
      </c>
      <c r="N81" s="629">
        <f t="shared" si="3"/>
        <v>316106</v>
      </c>
      <c r="O81" s="637">
        <f t="shared" si="4"/>
        <v>1</v>
      </c>
    </row>
    <row r="82" spans="1:16" s="636" customFormat="1" ht="120" customHeight="1" x14ac:dyDescent="0.2">
      <c r="A82" s="755" t="s">
        <v>104</v>
      </c>
      <c r="B82" s="751" t="s">
        <v>105</v>
      </c>
      <c r="C82" s="751" t="s">
        <v>106</v>
      </c>
      <c r="D82" s="812" t="s">
        <v>107</v>
      </c>
      <c r="E82" s="812" t="s">
        <v>205</v>
      </c>
      <c r="F82" s="990" t="s">
        <v>659</v>
      </c>
      <c r="G82" s="646">
        <v>90000</v>
      </c>
      <c r="H82" s="646">
        <v>87750</v>
      </c>
      <c r="I82" s="646">
        <v>0</v>
      </c>
      <c r="J82" s="646">
        <v>0</v>
      </c>
      <c r="K82" s="646">
        <v>0</v>
      </c>
      <c r="L82" s="646">
        <v>0</v>
      </c>
      <c r="M82" s="647">
        <f t="shared" si="2"/>
        <v>90000</v>
      </c>
      <c r="N82" s="647">
        <f t="shared" si="3"/>
        <v>87750</v>
      </c>
      <c r="O82" s="740">
        <f t="shared" si="4"/>
        <v>0.97499999999999998</v>
      </c>
    </row>
    <row r="83" spans="1:16" s="636" customFormat="1" ht="128.25" customHeight="1" x14ac:dyDescent="0.2">
      <c r="A83" s="463" t="s">
        <v>108</v>
      </c>
      <c r="B83" s="462" t="s">
        <v>109</v>
      </c>
      <c r="C83" s="462" t="s">
        <v>106</v>
      </c>
      <c r="D83" s="802" t="s">
        <v>614</v>
      </c>
      <c r="E83" s="802" t="s">
        <v>205</v>
      </c>
      <c r="F83" s="813" t="s">
        <v>659</v>
      </c>
      <c r="G83" s="635">
        <v>3196777</v>
      </c>
      <c r="H83" s="635">
        <v>2032458.94</v>
      </c>
      <c r="I83" s="635">
        <v>0</v>
      </c>
      <c r="J83" s="635">
        <v>0</v>
      </c>
      <c r="K83" s="635">
        <v>0</v>
      </c>
      <c r="L83" s="635">
        <v>0</v>
      </c>
      <c r="M83" s="629">
        <f t="shared" si="2"/>
        <v>3196777</v>
      </c>
      <c r="N83" s="629">
        <f t="shared" si="3"/>
        <v>2032458.94</v>
      </c>
      <c r="O83" s="630">
        <f t="shared" si="4"/>
        <v>0.63578377221808091</v>
      </c>
    </row>
    <row r="84" spans="1:16" s="636" customFormat="1" ht="123" customHeight="1" x14ac:dyDescent="0.2">
      <c r="A84" s="463">
        <v>1015041</v>
      </c>
      <c r="B84" s="462">
        <v>5041</v>
      </c>
      <c r="C84" s="462" t="s">
        <v>106</v>
      </c>
      <c r="D84" s="802" t="s">
        <v>524</v>
      </c>
      <c r="E84" s="802" t="s">
        <v>205</v>
      </c>
      <c r="F84" s="813" t="s">
        <v>659</v>
      </c>
      <c r="G84" s="635">
        <v>34488249</v>
      </c>
      <c r="H84" s="635">
        <v>31573719.449999999</v>
      </c>
      <c r="I84" s="635">
        <v>470747</v>
      </c>
      <c r="J84" s="635">
        <f>I84</f>
        <v>470747</v>
      </c>
      <c r="K84" s="635">
        <v>449156</v>
      </c>
      <c r="L84" s="635">
        <f>K84</f>
        <v>449156</v>
      </c>
      <c r="M84" s="629">
        <f>G84+I84</f>
        <v>34958996</v>
      </c>
      <c r="N84" s="629">
        <f>H84+K84</f>
        <v>32022875.449999999</v>
      </c>
      <c r="O84" s="630">
        <f t="shared" si="4"/>
        <v>0.91601244641007418</v>
      </c>
    </row>
    <row r="85" spans="1:16" s="636" customFormat="1" ht="144" customHeight="1" x14ac:dyDescent="0.2">
      <c r="A85" s="463" t="s">
        <v>110</v>
      </c>
      <c r="B85" s="462" t="s">
        <v>111</v>
      </c>
      <c r="C85" s="462" t="s">
        <v>106</v>
      </c>
      <c r="D85" s="802" t="s">
        <v>112</v>
      </c>
      <c r="E85" s="802" t="s">
        <v>205</v>
      </c>
      <c r="F85" s="813" t="s">
        <v>659</v>
      </c>
      <c r="G85" s="635">
        <v>963208</v>
      </c>
      <c r="H85" s="635">
        <v>800231.85</v>
      </c>
      <c r="I85" s="635">
        <v>0</v>
      </c>
      <c r="J85" s="635">
        <v>0</v>
      </c>
      <c r="K85" s="635">
        <v>0</v>
      </c>
      <c r="L85" s="635">
        <v>0</v>
      </c>
      <c r="M85" s="629">
        <f t="shared" si="2"/>
        <v>963208</v>
      </c>
      <c r="N85" s="629">
        <f t="shared" si="3"/>
        <v>800231.85</v>
      </c>
      <c r="O85" s="630">
        <f t="shared" si="4"/>
        <v>0.83079859178910476</v>
      </c>
      <c r="P85" s="745"/>
    </row>
    <row r="86" spans="1:16" s="606" customFormat="1" ht="124.5" customHeight="1" thickBot="1" x14ac:dyDescent="0.25">
      <c r="A86" s="755" t="s">
        <v>113</v>
      </c>
      <c r="B86" s="751" t="s">
        <v>114</v>
      </c>
      <c r="C86" s="751" t="s">
        <v>106</v>
      </c>
      <c r="D86" s="812" t="s">
        <v>115</v>
      </c>
      <c r="E86" s="812" t="s">
        <v>205</v>
      </c>
      <c r="F86" s="990" t="s">
        <v>659</v>
      </c>
      <c r="G86" s="646">
        <v>844000</v>
      </c>
      <c r="H86" s="646">
        <v>752000</v>
      </c>
      <c r="I86" s="646">
        <v>0</v>
      </c>
      <c r="J86" s="646">
        <v>0</v>
      </c>
      <c r="K86" s="646">
        <v>0</v>
      </c>
      <c r="L86" s="646">
        <v>0</v>
      </c>
      <c r="M86" s="647">
        <f t="shared" si="2"/>
        <v>844000</v>
      </c>
      <c r="N86" s="647">
        <f t="shared" si="3"/>
        <v>752000</v>
      </c>
      <c r="O86" s="648">
        <f t="shared" si="4"/>
        <v>0.89099526066350709</v>
      </c>
    </row>
    <row r="87" spans="1:16" s="606" customFormat="1" ht="132" customHeight="1" thickBot="1" x14ac:dyDescent="0.25">
      <c r="A87" s="466" t="s">
        <v>116</v>
      </c>
      <c r="B87" s="476" t="s">
        <v>14</v>
      </c>
      <c r="C87" s="476" t="s">
        <v>14</v>
      </c>
      <c r="D87" s="983" t="s">
        <v>117</v>
      </c>
      <c r="E87" s="983" t="s">
        <v>14</v>
      </c>
      <c r="F87" s="983" t="s">
        <v>14</v>
      </c>
      <c r="G87" s="456">
        <f>G88</f>
        <v>69212753</v>
      </c>
      <c r="H87" s="456">
        <f t="shared" ref="H87:L87" si="14">H88</f>
        <v>68479288.939999998</v>
      </c>
      <c r="I87" s="456">
        <f t="shared" si="14"/>
        <v>2690526</v>
      </c>
      <c r="J87" s="456">
        <f t="shared" si="14"/>
        <v>2296426</v>
      </c>
      <c r="K87" s="456">
        <f t="shared" si="14"/>
        <v>1943572</v>
      </c>
      <c r="L87" s="456">
        <f t="shared" si="14"/>
        <v>1626822</v>
      </c>
      <c r="M87" s="456">
        <f t="shared" si="2"/>
        <v>71903279</v>
      </c>
      <c r="N87" s="456">
        <f t="shared" si="3"/>
        <v>70422860.939999998</v>
      </c>
      <c r="O87" s="457">
        <f t="shared" si="4"/>
        <v>0.97941097985253212</v>
      </c>
    </row>
    <row r="88" spans="1:16" s="636" customFormat="1" ht="116.25" customHeight="1" thickBot="1" x14ac:dyDescent="0.25">
      <c r="A88" s="478">
        <v>1210000</v>
      </c>
      <c r="B88" s="477" t="s">
        <v>14</v>
      </c>
      <c r="C88" s="477" t="s">
        <v>14</v>
      </c>
      <c r="D88" s="982" t="s">
        <v>117</v>
      </c>
      <c r="E88" s="982" t="s">
        <v>14</v>
      </c>
      <c r="F88" s="982" t="s">
        <v>14</v>
      </c>
      <c r="G88" s="625">
        <f>G89+G90+G91+G92+G93+G94+G95+G96+G97+G98+G99+G100</f>
        <v>69212753</v>
      </c>
      <c r="H88" s="625">
        <f t="shared" ref="H88:N88" si="15">H89+H90+H91+H92+H93+H94+H95+H96+H97+H98+H99+H100</f>
        <v>68479288.939999998</v>
      </c>
      <c r="I88" s="625">
        <f t="shared" si="15"/>
        <v>2690526</v>
      </c>
      <c r="J88" s="625">
        <f t="shared" si="15"/>
        <v>2296426</v>
      </c>
      <c r="K88" s="625">
        <f t="shared" si="15"/>
        <v>1943572</v>
      </c>
      <c r="L88" s="625">
        <f t="shared" si="15"/>
        <v>1626822</v>
      </c>
      <c r="M88" s="625">
        <f t="shared" si="15"/>
        <v>71903279</v>
      </c>
      <c r="N88" s="625">
        <f t="shared" si="15"/>
        <v>70422860.939999998</v>
      </c>
      <c r="O88" s="626">
        <f t="shared" si="4"/>
        <v>0.97941097985253212</v>
      </c>
    </row>
    <row r="89" spans="1:16" s="636" customFormat="1" ht="131.25" customHeight="1" x14ac:dyDescent="0.2">
      <c r="A89" s="1008" t="s">
        <v>120</v>
      </c>
      <c r="B89" s="1009" t="s">
        <v>121</v>
      </c>
      <c r="C89" s="1009" t="s">
        <v>122</v>
      </c>
      <c r="D89" s="999" t="s">
        <v>123</v>
      </c>
      <c r="E89" s="999" t="s">
        <v>567</v>
      </c>
      <c r="F89" s="1000" t="s">
        <v>654</v>
      </c>
      <c r="G89" s="1001">
        <v>9760</v>
      </c>
      <c r="H89" s="1001">
        <v>9582.5400000000009</v>
      </c>
      <c r="I89" s="1001">
        <v>0</v>
      </c>
      <c r="J89" s="1001">
        <f>I89</f>
        <v>0</v>
      </c>
      <c r="K89" s="1001">
        <v>0</v>
      </c>
      <c r="L89" s="1002">
        <v>0</v>
      </c>
      <c r="M89" s="1001">
        <f t="shared" si="2"/>
        <v>9760</v>
      </c>
      <c r="N89" s="1001">
        <f t="shared" si="3"/>
        <v>9582.5400000000009</v>
      </c>
      <c r="O89" s="1013">
        <f>N89/M89</f>
        <v>0.98181762295081976</v>
      </c>
    </row>
    <row r="90" spans="1:16" s="606" customFormat="1" ht="133.5" customHeight="1" x14ac:dyDescent="0.2">
      <c r="A90" s="463">
        <v>1216012</v>
      </c>
      <c r="B90" s="462">
        <v>6012</v>
      </c>
      <c r="C90" s="459" t="s">
        <v>26</v>
      </c>
      <c r="D90" s="802" t="s">
        <v>208</v>
      </c>
      <c r="E90" s="802" t="s">
        <v>567</v>
      </c>
      <c r="F90" s="802" t="s">
        <v>682</v>
      </c>
      <c r="G90" s="629">
        <v>9431609</v>
      </c>
      <c r="H90" s="629">
        <v>9431609</v>
      </c>
      <c r="I90" s="629">
        <v>0</v>
      </c>
      <c r="J90" s="629">
        <v>0</v>
      </c>
      <c r="K90" s="629">
        <v>0</v>
      </c>
      <c r="L90" s="749">
        <v>0</v>
      </c>
      <c r="M90" s="629">
        <f t="shared" si="2"/>
        <v>9431609</v>
      </c>
      <c r="N90" s="629">
        <f t="shared" si="3"/>
        <v>9431609</v>
      </c>
      <c r="O90" s="637">
        <f>N90/M90</f>
        <v>1</v>
      </c>
    </row>
    <row r="91" spans="1:16" s="606" customFormat="1" ht="129.75" customHeight="1" x14ac:dyDescent="0.2">
      <c r="A91" s="463" t="s">
        <v>124</v>
      </c>
      <c r="B91" s="462" t="s">
        <v>125</v>
      </c>
      <c r="C91" s="462" t="s">
        <v>26</v>
      </c>
      <c r="D91" s="802" t="s">
        <v>126</v>
      </c>
      <c r="E91" s="802" t="s">
        <v>567</v>
      </c>
      <c r="F91" s="802" t="s">
        <v>682</v>
      </c>
      <c r="G91" s="629">
        <v>576620</v>
      </c>
      <c r="H91" s="635">
        <v>576618.77</v>
      </c>
      <c r="I91" s="629">
        <v>0</v>
      </c>
      <c r="J91" s="629">
        <f t="shared" ref="J91:J98" si="16">I91</f>
        <v>0</v>
      </c>
      <c r="K91" s="629">
        <v>0</v>
      </c>
      <c r="L91" s="629">
        <v>0</v>
      </c>
      <c r="M91" s="629">
        <f t="shared" si="2"/>
        <v>576620</v>
      </c>
      <c r="N91" s="629">
        <f t="shared" si="3"/>
        <v>576618.77</v>
      </c>
      <c r="O91" s="630">
        <f t="shared" ref="O91:O106" si="17">N91/M91</f>
        <v>0.99999786687940073</v>
      </c>
    </row>
    <row r="92" spans="1:16" s="606" customFormat="1" ht="115.5" customHeight="1" x14ac:dyDescent="0.2">
      <c r="A92" s="463">
        <v>1216015</v>
      </c>
      <c r="B92" s="462">
        <v>6015</v>
      </c>
      <c r="C92" s="462" t="s">
        <v>26</v>
      </c>
      <c r="D92" s="802" t="s">
        <v>470</v>
      </c>
      <c r="E92" s="802" t="s">
        <v>563</v>
      </c>
      <c r="F92" s="802" t="s">
        <v>669</v>
      </c>
      <c r="G92" s="629">
        <v>0</v>
      </c>
      <c r="H92" s="635">
        <v>0</v>
      </c>
      <c r="I92" s="629">
        <v>1835036</v>
      </c>
      <c r="J92" s="629">
        <f t="shared" si="16"/>
        <v>1835036</v>
      </c>
      <c r="K92" s="629">
        <v>1176752</v>
      </c>
      <c r="L92" s="629">
        <f>K92</f>
        <v>1176752</v>
      </c>
      <c r="M92" s="629">
        <f t="shared" si="2"/>
        <v>1835036</v>
      </c>
      <c r="N92" s="629">
        <f t="shared" si="3"/>
        <v>1176752</v>
      </c>
      <c r="O92" s="630">
        <f t="shared" si="17"/>
        <v>0.64126916311178639</v>
      </c>
    </row>
    <row r="93" spans="1:16" s="606" customFormat="1" ht="132" customHeight="1" x14ac:dyDescent="0.2">
      <c r="A93" s="463" t="s">
        <v>127</v>
      </c>
      <c r="B93" s="462" t="s">
        <v>25</v>
      </c>
      <c r="C93" s="462" t="s">
        <v>26</v>
      </c>
      <c r="D93" s="802" t="s">
        <v>27</v>
      </c>
      <c r="E93" s="802" t="s">
        <v>567</v>
      </c>
      <c r="F93" s="802" t="s">
        <v>682</v>
      </c>
      <c r="G93" s="629">
        <v>45422836</v>
      </c>
      <c r="H93" s="629">
        <v>44827453.729999997</v>
      </c>
      <c r="I93" s="629">
        <v>461390</v>
      </c>
      <c r="J93" s="629">
        <f t="shared" si="16"/>
        <v>461390</v>
      </c>
      <c r="K93" s="629">
        <v>450070</v>
      </c>
      <c r="L93" s="629">
        <f>K93</f>
        <v>450070</v>
      </c>
      <c r="M93" s="629">
        <f t="shared" si="2"/>
        <v>45884226</v>
      </c>
      <c r="N93" s="629">
        <f t="shared" si="3"/>
        <v>45277523.729999997</v>
      </c>
      <c r="O93" s="630">
        <f t="shared" si="17"/>
        <v>0.986777541589129</v>
      </c>
    </row>
    <row r="94" spans="1:16" s="606" customFormat="1" ht="135" customHeight="1" x14ac:dyDescent="0.2">
      <c r="A94" s="463" t="s">
        <v>127</v>
      </c>
      <c r="B94" s="462" t="s">
        <v>25</v>
      </c>
      <c r="C94" s="462" t="s">
        <v>26</v>
      </c>
      <c r="D94" s="802" t="s">
        <v>27</v>
      </c>
      <c r="E94" s="802" t="s">
        <v>683</v>
      </c>
      <c r="F94" s="802" t="s">
        <v>684</v>
      </c>
      <c r="G94" s="629">
        <v>555000</v>
      </c>
      <c r="H94" s="629">
        <v>555000</v>
      </c>
      <c r="I94" s="629">
        <v>0</v>
      </c>
      <c r="J94" s="629">
        <f t="shared" si="16"/>
        <v>0</v>
      </c>
      <c r="K94" s="629">
        <v>0</v>
      </c>
      <c r="L94" s="629">
        <v>0</v>
      </c>
      <c r="M94" s="629">
        <f t="shared" si="2"/>
        <v>555000</v>
      </c>
      <c r="N94" s="629">
        <f t="shared" si="3"/>
        <v>555000</v>
      </c>
      <c r="O94" s="630">
        <f t="shared" si="17"/>
        <v>1</v>
      </c>
    </row>
    <row r="95" spans="1:16" s="606" customFormat="1" ht="130.5" customHeight="1" x14ac:dyDescent="0.2">
      <c r="A95" s="464" t="s">
        <v>127</v>
      </c>
      <c r="B95" s="465" t="s">
        <v>25</v>
      </c>
      <c r="C95" s="465" t="s">
        <v>26</v>
      </c>
      <c r="D95" s="811" t="s">
        <v>27</v>
      </c>
      <c r="E95" s="988" t="s">
        <v>564</v>
      </c>
      <c r="F95" s="811" t="s">
        <v>685</v>
      </c>
      <c r="G95" s="627">
        <v>175102</v>
      </c>
      <c r="H95" s="627">
        <v>172768.47</v>
      </c>
      <c r="I95" s="627">
        <v>0</v>
      </c>
      <c r="J95" s="627">
        <f t="shared" si="16"/>
        <v>0</v>
      </c>
      <c r="K95" s="627">
        <v>0</v>
      </c>
      <c r="L95" s="627">
        <v>0</v>
      </c>
      <c r="M95" s="627">
        <f t="shared" si="2"/>
        <v>175102</v>
      </c>
      <c r="N95" s="627">
        <f t="shared" si="3"/>
        <v>172768.47</v>
      </c>
      <c r="O95" s="628">
        <f t="shared" si="17"/>
        <v>0.98667331041335904</v>
      </c>
    </row>
    <row r="96" spans="1:16" s="606" customFormat="1" ht="336.75" customHeight="1" x14ac:dyDescent="0.2">
      <c r="A96" s="757">
        <v>1216071</v>
      </c>
      <c r="B96" s="475">
        <v>6071</v>
      </c>
      <c r="C96" s="753" t="s">
        <v>234</v>
      </c>
      <c r="D96" s="813" t="s">
        <v>232</v>
      </c>
      <c r="E96" s="802" t="s">
        <v>567</v>
      </c>
      <c r="F96" s="802" t="s">
        <v>682</v>
      </c>
      <c r="G96" s="629">
        <v>9531353</v>
      </c>
      <c r="H96" s="629">
        <v>9481839.25</v>
      </c>
      <c r="I96" s="629">
        <v>0</v>
      </c>
      <c r="J96" s="629">
        <f t="shared" si="16"/>
        <v>0</v>
      </c>
      <c r="K96" s="629">
        <v>0</v>
      </c>
      <c r="L96" s="629">
        <v>0</v>
      </c>
      <c r="M96" s="629">
        <f t="shared" si="2"/>
        <v>9531353</v>
      </c>
      <c r="N96" s="629">
        <f t="shared" si="3"/>
        <v>9481839.25</v>
      </c>
      <c r="O96" s="630">
        <f t="shared" si="17"/>
        <v>0.99480517089231713</v>
      </c>
    </row>
    <row r="97" spans="1:15" s="631" customFormat="1" ht="146.25" customHeight="1" x14ac:dyDescent="0.2">
      <c r="A97" s="463" t="s">
        <v>128</v>
      </c>
      <c r="B97" s="462" t="s">
        <v>129</v>
      </c>
      <c r="C97" s="462" t="s">
        <v>130</v>
      </c>
      <c r="D97" s="802" t="s">
        <v>131</v>
      </c>
      <c r="E97" s="802" t="s">
        <v>567</v>
      </c>
      <c r="F97" s="802" t="s">
        <v>682</v>
      </c>
      <c r="G97" s="629">
        <v>3080153</v>
      </c>
      <c r="H97" s="629">
        <v>3008049.98</v>
      </c>
      <c r="I97" s="749">
        <v>0</v>
      </c>
      <c r="J97" s="629">
        <f t="shared" si="16"/>
        <v>0</v>
      </c>
      <c r="K97" s="629">
        <v>0</v>
      </c>
      <c r="L97" s="749">
        <v>0</v>
      </c>
      <c r="M97" s="629">
        <f t="shared" si="2"/>
        <v>3080153</v>
      </c>
      <c r="N97" s="629">
        <f t="shared" si="3"/>
        <v>3008049.98</v>
      </c>
      <c r="O97" s="630">
        <f t="shared" si="17"/>
        <v>0.97659109141656275</v>
      </c>
    </row>
    <row r="98" spans="1:15" s="631" customFormat="1" ht="135" customHeight="1" x14ac:dyDescent="0.2">
      <c r="A98" s="755">
        <v>1218110</v>
      </c>
      <c r="B98" s="751">
        <v>8110</v>
      </c>
      <c r="C98" s="479" t="s">
        <v>206</v>
      </c>
      <c r="D98" s="812" t="s">
        <v>207</v>
      </c>
      <c r="E98" s="812" t="s">
        <v>562</v>
      </c>
      <c r="F98" s="812" t="s">
        <v>673</v>
      </c>
      <c r="G98" s="647">
        <v>364320</v>
      </c>
      <c r="H98" s="647">
        <v>350367.2</v>
      </c>
      <c r="I98" s="754">
        <v>0</v>
      </c>
      <c r="J98" s="647">
        <f t="shared" si="16"/>
        <v>0</v>
      </c>
      <c r="K98" s="647">
        <v>0</v>
      </c>
      <c r="L98" s="754">
        <v>0</v>
      </c>
      <c r="M98" s="647">
        <f t="shared" si="2"/>
        <v>364320</v>
      </c>
      <c r="N98" s="647">
        <f t="shared" si="3"/>
        <v>350367.2</v>
      </c>
      <c r="O98" s="740">
        <f t="shared" si="17"/>
        <v>0.96170180061484412</v>
      </c>
    </row>
    <row r="99" spans="1:15" s="606" customFormat="1" ht="132" customHeight="1" x14ac:dyDescent="0.2">
      <c r="A99" s="463">
        <v>1218311</v>
      </c>
      <c r="B99" s="462">
        <v>8311</v>
      </c>
      <c r="C99" s="459" t="s">
        <v>527</v>
      </c>
      <c r="D99" s="802" t="s">
        <v>526</v>
      </c>
      <c r="E99" s="802" t="s">
        <v>567</v>
      </c>
      <c r="F99" s="802" t="s">
        <v>682</v>
      </c>
      <c r="G99" s="629">
        <v>66000</v>
      </c>
      <c r="H99" s="629">
        <v>66000</v>
      </c>
      <c r="I99" s="749">
        <v>0</v>
      </c>
      <c r="J99" s="629">
        <v>0</v>
      </c>
      <c r="K99" s="629">
        <v>0</v>
      </c>
      <c r="L99" s="749">
        <v>0</v>
      </c>
      <c r="M99" s="629">
        <f t="shared" si="2"/>
        <v>66000</v>
      </c>
      <c r="N99" s="629">
        <f t="shared" si="3"/>
        <v>66000</v>
      </c>
      <c r="O99" s="630">
        <f t="shared" si="17"/>
        <v>1</v>
      </c>
    </row>
    <row r="100" spans="1:15" s="606" customFormat="1" ht="138" customHeight="1" thickBot="1" x14ac:dyDescent="0.25">
      <c r="A100" s="755" t="s">
        <v>132</v>
      </c>
      <c r="B100" s="751" t="s">
        <v>133</v>
      </c>
      <c r="C100" s="751" t="s">
        <v>134</v>
      </c>
      <c r="D100" s="812" t="s">
        <v>135</v>
      </c>
      <c r="E100" s="812" t="s">
        <v>576</v>
      </c>
      <c r="F100" s="992" t="s">
        <v>686</v>
      </c>
      <c r="G100" s="647">
        <v>0</v>
      </c>
      <c r="H100" s="647">
        <v>0</v>
      </c>
      <c r="I100" s="647">
        <v>394100</v>
      </c>
      <c r="J100" s="647">
        <v>0</v>
      </c>
      <c r="K100" s="647">
        <v>316750</v>
      </c>
      <c r="L100" s="754">
        <v>0</v>
      </c>
      <c r="M100" s="647">
        <f t="shared" si="2"/>
        <v>394100</v>
      </c>
      <c r="N100" s="647">
        <f t="shared" si="3"/>
        <v>316750</v>
      </c>
      <c r="O100" s="648">
        <f t="shared" si="17"/>
        <v>0.80373001776198938</v>
      </c>
    </row>
    <row r="101" spans="1:15" s="606" customFormat="1" ht="114.75" customHeight="1" thickBot="1" x14ac:dyDescent="0.25">
      <c r="A101" s="466" t="s">
        <v>136</v>
      </c>
      <c r="B101" s="476" t="s">
        <v>14</v>
      </c>
      <c r="C101" s="476" t="s">
        <v>14</v>
      </c>
      <c r="D101" s="983" t="s">
        <v>442</v>
      </c>
      <c r="E101" s="983" t="s">
        <v>14</v>
      </c>
      <c r="F101" s="983" t="s">
        <v>14</v>
      </c>
      <c r="G101" s="456">
        <v>0</v>
      </c>
      <c r="H101" s="456">
        <v>0</v>
      </c>
      <c r="I101" s="456">
        <f>I102</f>
        <v>64405680</v>
      </c>
      <c r="J101" s="456">
        <f>J102</f>
        <v>64405679.510000005</v>
      </c>
      <c r="K101" s="456">
        <f>K102</f>
        <v>48829591.169999994</v>
      </c>
      <c r="L101" s="456">
        <f>L102</f>
        <v>48829591.169999994</v>
      </c>
      <c r="M101" s="456">
        <f t="shared" si="2"/>
        <v>64405680</v>
      </c>
      <c r="N101" s="456">
        <f t="shared" si="3"/>
        <v>48829591.169999994</v>
      </c>
      <c r="O101" s="457">
        <f t="shared" si="17"/>
        <v>0.75815659690263337</v>
      </c>
    </row>
    <row r="102" spans="1:15" s="606" customFormat="1" ht="114" customHeight="1" thickBot="1" x14ac:dyDescent="0.25">
      <c r="A102" s="478">
        <v>1510000</v>
      </c>
      <c r="B102" s="477" t="s">
        <v>14</v>
      </c>
      <c r="C102" s="477" t="s">
        <v>14</v>
      </c>
      <c r="D102" s="982" t="s">
        <v>442</v>
      </c>
      <c r="E102" s="982" t="s">
        <v>14</v>
      </c>
      <c r="F102" s="982" t="s">
        <v>14</v>
      </c>
      <c r="G102" s="625">
        <v>0</v>
      </c>
      <c r="H102" s="633">
        <v>0</v>
      </c>
      <c r="I102" s="625">
        <f>SUM(I103:I111)</f>
        <v>64405680</v>
      </c>
      <c r="J102" s="625">
        <f t="shared" ref="J102:L102" si="18">SUM(J103:J111)</f>
        <v>64405679.510000005</v>
      </c>
      <c r="K102" s="625">
        <f t="shared" si="18"/>
        <v>48829591.169999994</v>
      </c>
      <c r="L102" s="625">
        <f t="shared" si="18"/>
        <v>48829591.169999994</v>
      </c>
      <c r="M102" s="633">
        <f t="shared" si="2"/>
        <v>64405680</v>
      </c>
      <c r="N102" s="633">
        <f t="shared" si="3"/>
        <v>48829591.169999994</v>
      </c>
      <c r="O102" s="626">
        <f t="shared" si="17"/>
        <v>0.75815659690263337</v>
      </c>
    </row>
    <row r="103" spans="1:15" s="606" customFormat="1" ht="178.5" customHeight="1" thickBot="1" x14ac:dyDescent="0.25">
      <c r="A103" s="1015">
        <v>1510150</v>
      </c>
      <c r="B103" s="1016" t="s">
        <v>148</v>
      </c>
      <c r="C103" s="1017" t="s">
        <v>16</v>
      </c>
      <c r="D103" s="1018" t="s">
        <v>149</v>
      </c>
      <c r="E103" s="1018" t="s">
        <v>565</v>
      </c>
      <c r="F103" s="1005" t="s">
        <v>687</v>
      </c>
      <c r="G103" s="1019">
        <v>0</v>
      </c>
      <c r="H103" s="1020">
        <v>0</v>
      </c>
      <c r="I103" s="1021">
        <v>599219</v>
      </c>
      <c r="J103" s="1021">
        <v>599218.51</v>
      </c>
      <c r="K103" s="1021">
        <v>599218.51</v>
      </c>
      <c r="L103" s="1021">
        <f>K103</f>
        <v>599218.51</v>
      </c>
      <c r="M103" s="1022">
        <f>G103+I103</f>
        <v>599219</v>
      </c>
      <c r="N103" s="1022">
        <f>H103+K103</f>
        <v>599218.51</v>
      </c>
      <c r="O103" s="1023">
        <f t="shared" si="17"/>
        <v>0.99999918226892004</v>
      </c>
    </row>
    <row r="104" spans="1:15" s="606" customFormat="1" ht="141.75" customHeight="1" x14ac:dyDescent="0.2">
      <c r="A104" s="1011">
        <v>1511021</v>
      </c>
      <c r="B104" s="1024">
        <v>1021</v>
      </c>
      <c r="C104" s="997" t="s">
        <v>49</v>
      </c>
      <c r="D104" s="999" t="s">
        <v>472</v>
      </c>
      <c r="E104" s="999" t="s">
        <v>565</v>
      </c>
      <c r="F104" s="999" t="s">
        <v>656</v>
      </c>
      <c r="G104" s="1014">
        <v>0</v>
      </c>
      <c r="H104" s="1001">
        <v>0</v>
      </c>
      <c r="I104" s="1014">
        <v>27623535</v>
      </c>
      <c r="J104" s="1014">
        <f t="shared" ref="J104:J111" si="19">I104</f>
        <v>27623535</v>
      </c>
      <c r="K104" s="1014">
        <v>25765040.079999998</v>
      </c>
      <c r="L104" s="1014">
        <f>K104</f>
        <v>25765040.079999998</v>
      </c>
      <c r="M104" s="1001">
        <f>G104+I104</f>
        <v>27623535</v>
      </c>
      <c r="N104" s="1001">
        <f t="shared" ref="N104:N123" si="20">H104+K104</f>
        <v>25765040.079999998</v>
      </c>
      <c r="O104" s="1003">
        <f>N104/M104</f>
        <v>0.93272059785251948</v>
      </c>
    </row>
    <row r="105" spans="1:15" s="606" customFormat="1" ht="134.25" customHeight="1" x14ac:dyDescent="0.2">
      <c r="A105" s="463">
        <v>1512010</v>
      </c>
      <c r="B105" s="462">
        <v>2010</v>
      </c>
      <c r="C105" s="459" t="s">
        <v>19</v>
      </c>
      <c r="D105" s="802" t="s">
        <v>20</v>
      </c>
      <c r="E105" s="802" t="s">
        <v>565</v>
      </c>
      <c r="F105" s="813" t="s">
        <v>661</v>
      </c>
      <c r="G105" s="635">
        <v>0</v>
      </c>
      <c r="H105" s="629">
        <v>0</v>
      </c>
      <c r="I105" s="635">
        <v>3000000</v>
      </c>
      <c r="J105" s="635">
        <f>I105</f>
        <v>3000000</v>
      </c>
      <c r="K105" s="635">
        <v>333165.09999999998</v>
      </c>
      <c r="L105" s="635">
        <f>K105</f>
        <v>333165.09999999998</v>
      </c>
      <c r="M105" s="629">
        <f>G105+I105</f>
        <v>3000000</v>
      </c>
      <c r="N105" s="629">
        <f t="shared" si="20"/>
        <v>333165.09999999998</v>
      </c>
      <c r="O105" s="630">
        <f>N105/M105</f>
        <v>0.11105503333333333</v>
      </c>
    </row>
    <row r="106" spans="1:15" s="606" customFormat="1" ht="134.25" customHeight="1" x14ac:dyDescent="0.2">
      <c r="A106" s="460" t="s">
        <v>479</v>
      </c>
      <c r="B106" s="461" t="s">
        <v>480</v>
      </c>
      <c r="C106" s="459" t="s">
        <v>204</v>
      </c>
      <c r="D106" s="802" t="s">
        <v>737</v>
      </c>
      <c r="E106" s="802" t="s">
        <v>566</v>
      </c>
      <c r="F106" s="802" t="s">
        <v>684</v>
      </c>
      <c r="G106" s="635">
        <v>0</v>
      </c>
      <c r="H106" s="629">
        <v>0</v>
      </c>
      <c r="I106" s="635">
        <v>173444</v>
      </c>
      <c r="J106" s="635">
        <f t="shared" si="19"/>
        <v>173444</v>
      </c>
      <c r="K106" s="635">
        <v>169338.45</v>
      </c>
      <c r="L106" s="635">
        <f>K106</f>
        <v>169338.45</v>
      </c>
      <c r="M106" s="629">
        <f t="shared" ref="M106:M123" si="21">G106+I106</f>
        <v>173444</v>
      </c>
      <c r="N106" s="629">
        <f t="shared" si="20"/>
        <v>169338.45</v>
      </c>
      <c r="O106" s="630">
        <f t="shared" si="17"/>
        <v>0.9763292474804548</v>
      </c>
    </row>
    <row r="107" spans="1:15" s="606" customFormat="1" ht="138" customHeight="1" x14ac:dyDescent="0.2">
      <c r="A107" s="460" t="s">
        <v>485</v>
      </c>
      <c r="B107" s="461" t="s">
        <v>486</v>
      </c>
      <c r="C107" s="461" t="s">
        <v>26</v>
      </c>
      <c r="D107" s="993" t="s">
        <v>208</v>
      </c>
      <c r="E107" s="802" t="s">
        <v>567</v>
      </c>
      <c r="F107" s="802" t="s">
        <v>682</v>
      </c>
      <c r="G107" s="651">
        <v>0</v>
      </c>
      <c r="H107" s="635">
        <v>0</v>
      </c>
      <c r="I107" s="635">
        <v>21076468</v>
      </c>
      <c r="J107" s="635">
        <f t="shared" si="19"/>
        <v>21076468</v>
      </c>
      <c r="K107" s="635">
        <v>12140973.390000001</v>
      </c>
      <c r="L107" s="635">
        <f t="shared" ref="L107:L108" si="22">K107</f>
        <v>12140973.390000001</v>
      </c>
      <c r="M107" s="629">
        <f t="shared" si="21"/>
        <v>21076468</v>
      </c>
      <c r="N107" s="629">
        <f t="shared" si="20"/>
        <v>12140973.390000001</v>
      </c>
      <c r="O107" s="637">
        <f t="shared" si="4"/>
        <v>0.57604402170230806</v>
      </c>
    </row>
    <row r="108" spans="1:15" s="606" customFormat="1" ht="138.75" customHeight="1" x14ac:dyDescent="0.2">
      <c r="A108" s="1163" t="s">
        <v>535</v>
      </c>
      <c r="B108" s="1164" t="s">
        <v>125</v>
      </c>
      <c r="C108" s="652" t="s">
        <v>26</v>
      </c>
      <c r="D108" s="990" t="s">
        <v>126</v>
      </c>
      <c r="E108" s="812" t="s">
        <v>567</v>
      </c>
      <c r="F108" s="812" t="s">
        <v>682</v>
      </c>
      <c r="G108" s="1165">
        <v>0</v>
      </c>
      <c r="H108" s="646">
        <v>0</v>
      </c>
      <c r="I108" s="646">
        <v>1239640</v>
      </c>
      <c r="J108" s="646">
        <f t="shared" si="19"/>
        <v>1239640</v>
      </c>
      <c r="K108" s="646">
        <v>192944.37</v>
      </c>
      <c r="L108" s="646">
        <f t="shared" si="22"/>
        <v>192944.37</v>
      </c>
      <c r="M108" s="647">
        <f t="shared" si="21"/>
        <v>1239640</v>
      </c>
      <c r="N108" s="647">
        <f t="shared" si="20"/>
        <v>192944.37</v>
      </c>
      <c r="O108" s="648">
        <f t="shared" si="4"/>
        <v>0.155645485786196</v>
      </c>
    </row>
    <row r="109" spans="1:15" s="606" customFormat="1" ht="138" customHeight="1" x14ac:dyDescent="0.2">
      <c r="A109" s="460" t="s">
        <v>421</v>
      </c>
      <c r="B109" s="461" t="s">
        <v>25</v>
      </c>
      <c r="C109" s="753" t="s">
        <v>26</v>
      </c>
      <c r="D109" s="813" t="s">
        <v>27</v>
      </c>
      <c r="E109" s="802" t="s">
        <v>567</v>
      </c>
      <c r="F109" s="802" t="s">
        <v>682</v>
      </c>
      <c r="G109" s="653">
        <v>0</v>
      </c>
      <c r="H109" s="635">
        <v>0</v>
      </c>
      <c r="I109" s="635">
        <v>2915370</v>
      </c>
      <c r="J109" s="635">
        <f t="shared" si="19"/>
        <v>2915370</v>
      </c>
      <c r="K109" s="635">
        <v>2672917.09</v>
      </c>
      <c r="L109" s="629">
        <f>K109</f>
        <v>2672917.09</v>
      </c>
      <c r="M109" s="629">
        <f t="shared" si="21"/>
        <v>2915370</v>
      </c>
      <c r="N109" s="629">
        <f t="shared" si="20"/>
        <v>2672917.09</v>
      </c>
      <c r="O109" s="637">
        <f t="shared" si="4"/>
        <v>0.91683631580211078</v>
      </c>
    </row>
    <row r="110" spans="1:15" s="606" customFormat="1" ht="135" customHeight="1" x14ac:dyDescent="0.2">
      <c r="A110" s="460" t="s">
        <v>421</v>
      </c>
      <c r="B110" s="461" t="s">
        <v>25</v>
      </c>
      <c r="C110" s="753" t="s">
        <v>26</v>
      </c>
      <c r="D110" s="813" t="s">
        <v>27</v>
      </c>
      <c r="E110" s="802" t="s">
        <v>565</v>
      </c>
      <c r="F110" s="802" t="s">
        <v>687</v>
      </c>
      <c r="G110" s="653">
        <v>0</v>
      </c>
      <c r="H110" s="635">
        <v>0</v>
      </c>
      <c r="I110" s="635">
        <v>251111</v>
      </c>
      <c r="J110" s="635">
        <f t="shared" si="19"/>
        <v>251111</v>
      </c>
      <c r="K110" s="635">
        <v>0</v>
      </c>
      <c r="L110" s="629">
        <v>0</v>
      </c>
      <c r="M110" s="629">
        <f t="shared" si="21"/>
        <v>251111</v>
      </c>
      <c r="N110" s="629">
        <f t="shared" si="20"/>
        <v>0</v>
      </c>
      <c r="O110" s="637">
        <f t="shared" si="4"/>
        <v>0</v>
      </c>
    </row>
    <row r="111" spans="1:15" s="606" customFormat="1" ht="137.25" customHeight="1" thickBot="1" x14ac:dyDescent="0.25">
      <c r="A111" s="667">
        <v>1517461</v>
      </c>
      <c r="B111" s="798">
        <v>7461</v>
      </c>
      <c r="C111" s="798" t="s">
        <v>130</v>
      </c>
      <c r="D111" s="990" t="s">
        <v>131</v>
      </c>
      <c r="E111" s="812" t="s">
        <v>567</v>
      </c>
      <c r="F111" s="802" t="s">
        <v>682</v>
      </c>
      <c r="G111" s="654">
        <v>0</v>
      </c>
      <c r="H111" s="646">
        <v>0</v>
      </c>
      <c r="I111" s="646">
        <v>7526893</v>
      </c>
      <c r="J111" s="646">
        <f t="shared" si="19"/>
        <v>7526893</v>
      </c>
      <c r="K111" s="646">
        <v>6955994.1799999997</v>
      </c>
      <c r="L111" s="647">
        <f>K111</f>
        <v>6955994.1799999997</v>
      </c>
      <c r="M111" s="647">
        <f t="shared" si="21"/>
        <v>7526893</v>
      </c>
      <c r="N111" s="647">
        <f t="shared" si="20"/>
        <v>6955994.1799999997</v>
      </c>
      <c r="O111" s="648">
        <f t="shared" si="4"/>
        <v>0.92415212757774023</v>
      </c>
    </row>
    <row r="112" spans="1:15" s="606" customFormat="1" ht="112.5" customHeight="1" thickBot="1" x14ac:dyDescent="0.25">
      <c r="A112" s="466">
        <v>1600000</v>
      </c>
      <c r="B112" s="476" t="s">
        <v>14</v>
      </c>
      <c r="C112" s="476" t="s">
        <v>14</v>
      </c>
      <c r="D112" s="983" t="s">
        <v>180</v>
      </c>
      <c r="E112" s="983" t="s">
        <v>14</v>
      </c>
      <c r="F112" s="983" t="s">
        <v>14</v>
      </c>
      <c r="G112" s="655">
        <f>G113</f>
        <v>0</v>
      </c>
      <c r="H112" s="655">
        <f t="shared" ref="H112:L113" si="23">H113</f>
        <v>0</v>
      </c>
      <c r="I112" s="656">
        <f t="shared" si="23"/>
        <v>9670744</v>
      </c>
      <c r="J112" s="656">
        <f t="shared" si="23"/>
        <v>9670744</v>
      </c>
      <c r="K112" s="656">
        <f t="shared" si="23"/>
        <v>9099315.0199999996</v>
      </c>
      <c r="L112" s="656">
        <f t="shared" si="23"/>
        <v>9099315.0199999996</v>
      </c>
      <c r="M112" s="639">
        <f t="shared" si="21"/>
        <v>9670744</v>
      </c>
      <c r="N112" s="639">
        <f t="shared" si="20"/>
        <v>9099315.0199999996</v>
      </c>
      <c r="O112" s="640">
        <f t="shared" si="4"/>
        <v>0.94091158032929001</v>
      </c>
    </row>
    <row r="113" spans="1:256" s="606" customFormat="1" ht="113.25" customHeight="1" thickBot="1" x14ac:dyDescent="0.25">
      <c r="A113" s="478">
        <v>1610000</v>
      </c>
      <c r="B113" s="477" t="s">
        <v>14</v>
      </c>
      <c r="C113" s="477" t="s">
        <v>14</v>
      </c>
      <c r="D113" s="982" t="s">
        <v>180</v>
      </c>
      <c r="E113" s="982" t="s">
        <v>14</v>
      </c>
      <c r="F113" s="982" t="s">
        <v>14</v>
      </c>
      <c r="G113" s="657">
        <f>G114</f>
        <v>0</v>
      </c>
      <c r="H113" s="657">
        <f t="shared" si="23"/>
        <v>0</v>
      </c>
      <c r="I113" s="658">
        <f t="shared" si="23"/>
        <v>9670744</v>
      </c>
      <c r="J113" s="658">
        <f t="shared" si="23"/>
        <v>9670744</v>
      </c>
      <c r="K113" s="658">
        <f t="shared" si="23"/>
        <v>9099315.0199999996</v>
      </c>
      <c r="L113" s="658">
        <f t="shared" si="23"/>
        <v>9099315.0199999996</v>
      </c>
      <c r="M113" s="633">
        <f t="shared" si="21"/>
        <v>9670744</v>
      </c>
      <c r="N113" s="633">
        <f t="shared" si="20"/>
        <v>9099315.0199999996</v>
      </c>
      <c r="O113" s="641">
        <f t="shared" si="4"/>
        <v>0.94091158032929001</v>
      </c>
    </row>
    <row r="114" spans="1:256" s="606" customFormat="1" ht="146.25" customHeight="1" thickBot="1" x14ac:dyDescent="0.25">
      <c r="A114" s="1025" t="s">
        <v>502</v>
      </c>
      <c r="B114" s="1016" t="s">
        <v>503</v>
      </c>
      <c r="C114" s="1016" t="s">
        <v>256</v>
      </c>
      <c r="D114" s="1026" t="s">
        <v>504</v>
      </c>
      <c r="E114" s="1018" t="s">
        <v>568</v>
      </c>
      <c r="F114" s="1018" t="s">
        <v>688</v>
      </c>
      <c r="G114" s="1027">
        <v>0</v>
      </c>
      <c r="H114" s="1021">
        <v>0</v>
      </c>
      <c r="I114" s="1021">
        <v>9670744</v>
      </c>
      <c r="J114" s="1021">
        <f>I114</f>
        <v>9670744</v>
      </c>
      <c r="K114" s="1021">
        <v>9099315.0199999996</v>
      </c>
      <c r="L114" s="1022">
        <f>K114</f>
        <v>9099315.0199999996</v>
      </c>
      <c r="M114" s="1022">
        <f t="shared" si="21"/>
        <v>9670744</v>
      </c>
      <c r="N114" s="1022">
        <f t="shared" si="20"/>
        <v>9099315.0199999996</v>
      </c>
      <c r="O114" s="1028">
        <f t="shared" si="4"/>
        <v>0.94091158032929001</v>
      </c>
    </row>
    <row r="115" spans="1:256" s="606" customFormat="1" ht="96" customHeight="1" thickBot="1" x14ac:dyDescent="0.25">
      <c r="A115" s="659">
        <v>2700000</v>
      </c>
      <c r="B115" s="660"/>
      <c r="C115" s="660"/>
      <c r="D115" s="994" t="s">
        <v>184</v>
      </c>
      <c r="E115" s="983"/>
      <c r="F115" s="983"/>
      <c r="G115" s="656">
        <f>G116</f>
        <v>5543818</v>
      </c>
      <c r="H115" s="656">
        <f t="shared" ref="H115:K115" si="24">H116</f>
        <v>5543818</v>
      </c>
      <c r="I115" s="655">
        <f t="shared" si="24"/>
        <v>0</v>
      </c>
      <c r="J115" s="655">
        <f t="shared" si="24"/>
        <v>0</v>
      </c>
      <c r="K115" s="655">
        <f t="shared" si="24"/>
        <v>0</v>
      </c>
      <c r="L115" s="456">
        <f>K115</f>
        <v>0</v>
      </c>
      <c r="M115" s="456">
        <f t="shared" si="21"/>
        <v>5543818</v>
      </c>
      <c r="N115" s="456">
        <f t="shared" si="20"/>
        <v>5543818</v>
      </c>
      <c r="O115" s="640">
        <f t="shared" si="4"/>
        <v>1</v>
      </c>
    </row>
    <row r="116" spans="1:256" s="606" customFormat="1" ht="97.5" customHeight="1" thickBot="1" x14ac:dyDescent="0.25">
      <c r="A116" s="661">
        <v>2710000</v>
      </c>
      <c r="B116" s="662"/>
      <c r="C116" s="662"/>
      <c r="D116" s="995" t="s">
        <v>184</v>
      </c>
      <c r="E116" s="984"/>
      <c r="F116" s="984"/>
      <c r="G116" s="658">
        <f>G117+G118</f>
        <v>5543818</v>
      </c>
      <c r="H116" s="658">
        <f t="shared" ref="H116:L116" si="25">H117+H118</f>
        <v>5543818</v>
      </c>
      <c r="I116" s="658">
        <f t="shared" si="25"/>
        <v>0</v>
      </c>
      <c r="J116" s="658">
        <f t="shared" si="25"/>
        <v>0</v>
      </c>
      <c r="K116" s="658">
        <f t="shared" si="25"/>
        <v>0</v>
      </c>
      <c r="L116" s="658">
        <f t="shared" si="25"/>
        <v>0</v>
      </c>
      <c r="M116" s="633">
        <f t="shared" si="21"/>
        <v>5543818</v>
      </c>
      <c r="N116" s="633">
        <f t="shared" si="20"/>
        <v>5543818</v>
      </c>
      <c r="O116" s="641">
        <f t="shared" si="4"/>
        <v>1</v>
      </c>
    </row>
    <row r="117" spans="1:256" s="606" customFormat="1" ht="162.75" customHeight="1" x14ac:dyDescent="0.2">
      <c r="A117" s="464">
        <v>2717413</v>
      </c>
      <c r="B117" s="465">
        <v>7413</v>
      </c>
      <c r="C117" s="471" t="s">
        <v>211</v>
      </c>
      <c r="D117" s="811" t="s">
        <v>210</v>
      </c>
      <c r="E117" s="811" t="s">
        <v>209</v>
      </c>
      <c r="F117" s="811" t="s">
        <v>657</v>
      </c>
      <c r="G117" s="668">
        <v>5362968</v>
      </c>
      <c r="H117" s="668">
        <v>5362968</v>
      </c>
      <c r="I117" s="645">
        <v>0</v>
      </c>
      <c r="J117" s="645">
        <f>I117</f>
        <v>0</v>
      </c>
      <c r="K117" s="645">
        <v>0</v>
      </c>
      <c r="L117" s="627">
        <f>K117</f>
        <v>0</v>
      </c>
      <c r="M117" s="627">
        <f t="shared" si="21"/>
        <v>5362968</v>
      </c>
      <c r="N117" s="627">
        <f t="shared" si="20"/>
        <v>5362968</v>
      </c>
      <c r="O117" s="634">
        <f t="shared" si="4"/>
        <v>1</v>
      </c>
    </row>
    <row r="118" spans="1:256" s="606" customFormat="1" ht="150" customHeight="1" thickBot="1" x14ac:dyDescent="0.25">
      <c r="A118" s="755">
        <v>2717693</v>
      </c>
      <c r="B118" s="751">
        <v>7693</v>
      </c>
      <c r="C118" s="479" t="s">
        <v>152</v>
      </c>
      <c r="D118" s="812" t="s">
        <v>493</v>
      </c>
      <c r="E118" s="812" t="s">
        <v>615</v>
      </c>
      <c r="F118" s="812" t="s">
        <v>616</v>
      </c>
      <c r="G118" s="670">
        <v>180850</v>
      </c>
      <c r="H118" s="670">
        <v>180850</v>
      </c>
      <c r="I118" s="646">
        <v>0</v>
      </c>
      <c r="J118" s="646">
        <v>0</v>
      </c>
      <c r="K118" s="646">
        <v>0</v>
      </c>
      <c r="L118" s="647">
        <f>K118</f>
        <v>0</v>
      </c>
      <c r="M118" s="647">
        <f t="shared" si="21"/>
        <v>180850</v>
      </c>
      <c r="N118" s="647">
        <f t="shared" si="20"/>
        <v>180850</v>
      </c>
      <c r="O118" s="648">
        <f t="shared" si="4"/>
        <v>1</v>
      </c>
    </row>
    <row r="119" spans="1:256" s="606" customFormat="1" ht="100.5" customHeight="1" thickBot="1" x14ac:dyDescent="0.25">
      <c r="A119" s="466">
        <v>3100000</v>
      </c>
      <c r="B119" s="476"/>
      <c r="C119" s="663"/>
      <c r="D119" s="983" t="s">
        <v>443</v>
      </c>
      <c r="E119" s="983"/>
      <c r="F119" s="983"/>
      <c r="G119" s="656">
        <f>G120</f>
        <v>881128</v>
      </c>
      <c r="H119" s="656">
        <f>H120</f>
        <v>838187.57</v>
      </c>
      <c r="I119" s="656">
        <f t="shared" ref="I119:L119" si="26">I120</f>
        <v>0</v>
      </c>
      <c r="J119" s="656">
        <f t="shared" si="26"/>
        <v>0</v>
      </c>
      <c r="K119" s="656">
        <f t="shared" si="26"/>
        <v>0</v>
      </c>
      <c r="L119" s="656">
        <f t="shared" si="26"/>
        <v>0</v>
      </c>
      <c r="M119" s="456">
        <f t="shared" si="21"/>
        <v>881128</v>
      </c>
      <c r="N119" s="456">
        <f t="shared" si="20"/>
        <v>838187.57</v>
      </c>
      <c r="O119" s="640">
        <f t="shared" si="4"/>
        <v>0.95126652427343128</v>
      </c>
    </row>
    <row r="120" spans="1:256" s="606" customFormat="1" ht="82.5" customHeight="1" thickBot="1" x14ac:dyDescent="0.25">
      <c r="A120" s="664">
        <v>3110000</v>
      </c>
      <c r="B120" s="665"/>
      <c r="C120" s="666"/>
      <c r="D120" s="987" t="s">
        <v>569</v>
      </c>
      <c r="E120" s="985"/>
      <c r="F120" s="985"/>
      <c r="G120" s="658">
        <f>G121+G122+G123</f>
        <v>881128</v>
      </c>
      <c r="H120" s="658">
        <f t="shared" ref="H120:L120" si="27">H121+H122+H123</f>
        <v>838187.57</v>
      </c>
      <c r="I120" s="658">
        <f t="shared" si="27"/>
        <v>0</v>
      </c>
      <c r="J120" s="658">
        <f t="shared" si="27"/>
        <v>0</v>
      </c>
      <c r="K120" s="658">
        <f t="shared" si="27"/>
        <v>0</v>
      </c>
      <c r="L120" s="658">
        <f t="shared" si="27"/>
        <v>0</v>
      </c>
      <c r="M120" s="633">
        <f t="shared" si="21"/>
        <v>881128</v>
      </c>
      <c r="N120" s="633">
        <f t="shared" si="20"/>
        <v>838187.57</v>
      </c>
      <c r="O120" s="641">
        <f t="shared" si="4"/>
        <v>0.95126652427343128</v>
      </c>
    </row>
    <row r="121" spans="1:256" s="672" customFormat="1" ht="276.75" customHeight="1" x14ac:dyDescent="0.2">
      <c r="A121" s="649">
        <v>3117693</v>
      </c>
      <c r="B121" s="799">
        <v>7693</v>
      </c>
      <c r="C121" s="650" t="s">
        <v>152</v>
      </c>
      <c r="D121" s="988" t="s">
        <v>493</v>
      </c>
      <c r="E121" s="811" t="s">
        <v>199</v>
      </c>
      <c r="F121" s="988" t="s">
        <v>617</v>
      </c>
      <c r="G121" s="668">
        <v>177000</v>
      </c>
      <c r="H121" s="668">
        <v>170000</v>
      </c>
      <c r="I121" s="645">
        <v>0</v>
      </c>
      <c r="J121" s="645">
        <v>0</v>
      </c>
      <c r="K121" s="645">
        <v>0</v>
      </c>
      <c r="L121" s="627">
        <f t="shared" ref="L121:L123" si="28">K121</f>
        <v>0</v>
      </c>
      <c r="M121" s="627">
        <f t="shared" si="21"/>
        <v>177000</v>
      </c>
      <c r="N121" s="627">
        <f t="shared" si="20"/>
        <v>170000</v>
      </c>
      <c r="O121" s="634">
        <f t="shared" si="4"/>
        <v>0.96045197740112997</v>
      </c>
    </row>
    <row r="122" spans="1:256" s="606" customFormat="1" ht="134.25" customHeight="1" x14ac:dyDescent="0.2">
      <c r="A122" s="757">
        <v>3117693</v>
      </c>
      <c r="B122" s="475">
        <v>7693</v>
      </c>
      <c r="C122" s="753" t="s">
        <v>152</v>
      </c>
      <c r="D122" s="813" t="s">
        <v>493</v>
      </c>
      <c r="E122" s="802" t="s">
        <v>567</v>
      </c>
      <c r="F122" s="802" t="s">
        <v>682</v>
      </c>
      <c r="G122" s="669">
        <v>582656</v>
      </c>
      <c r="H122" s="669">
        <v>547715.61</v>
      </c>
      <c r="I122" s="635">
        <v>0</v>
      </c>
      <c r="J122" s="635">
        <v>0</v>
      </c>
      <c r="K122" s="635">
        <v>0</v>
      </c>
      <c r="L122" s="629">
        <f t="shared" si="28"/>
        <v>0</v>
      </c>
      <c r="M122" s="629">
        <f t="shared" si="21"/>
        <v>582656</v>
      </c>
      <c r="N122" s="629">
        <f t="shared" si="20"/>
        <v>547715.61</v>
      </c>
      <c r="O122" s="637">
        <f t="shared" si="4"/>
        <v>0.94003255780426187</v>
      </c>
    </row>
    <row r="123" spans="1:256" s="677" customFormat="1" ht="132.75" customHeight="1" thickBot="1" x14ac:dyDescent="0.35">
      <c r="A123" s="667">
        <v>3118110</v>
      </c>
      <c r="B123" s="798">
        <v>8110</v>
      </c>
      <c r="C123" s="652" t="s">
        <v>206</v>
      </c>
      <c r="D123" s="990" t="s">
        <v>207</v>
      </c>
      <c r="E123" s="812" t="s">
        <v>567</v>
      </c>
      <c r="F123" s="990" t="s">
        <v>655</v>
      </c>
      <c r="G123" s="670">
        <v>121472</v>
      </c>
      <c r="H123" s="670">
        <v>120471.96</v>
      </c>
      <c r="I123" s="646">
        <v>0</v>
      </c>
      <c r="J123" s="646">
        <v>0</v>
      </c>
      <c r="K123" s="646">
        <v>0</v>
      </c>
      <c r="L123" s="647">
        <f t="shared" si="28"/>
        <v>0</v>
      </c>
      <c r="M123" s="647">
        <f t="shared" si="21"/>
        <v>121472</v>
      </c>
      <c r="N123" s="647">
        <f t="shared" si="20"/>
        <v>120471.96</v>
      </c>
      <c r="O123" s="648">
        <f t="shared" si="4"/>
        <v>0.99176732086406749</v>
      </c>
      <c r="P123" s="675"/>
      <c r="Q123" s="676"/>
      <c r="R123" s="613"/>
      <c r="S123" s="613"/>
      <c r="T123" s="613"/>
      <c r="U123" s="613"/>
      <c r="V123" s="613"/>
      <c r="W123" s="613"/>
      <c r="X123" s="613"/>
      <c r="Y123" s="613"/>
      <c r="Z123" s="613"/>
      <c r="AA123" s="613"/>
      <c r="AB123" s="613"/>
      <c r="AC123" s="613"/>
      <c r="AD123" s="613"/>
      <c r="AE123" s="613"/>
      <c r="AF123" s="613"/>
      <c r="AG123" s="613"/>
      <c r="AH123" s="613"/>
      <c r="AI123" s="613"/>
      <c r="AJ123" s="613"/>
      <c r="AK123" s="613"/>
      <c r="AL123" s="613"/>
      <c r="AM123" s="613"/>
      <c r="AN123" s="613"/>
      <c r="AO123" s="613"/>
      <c r="AP123" s="613"/>
      <c r="AQ123" s="613"/>
      <c r="AR123" s="613"/>
      <c r="AS123" s="613"/>
      <c r="AT123" s="613"/>
      <c r="AU123" s="613"/>
      <c r="AV123" s="613"/>
      <c r="AW123" s="613"/>
      <c r="AX123" s="613"/>
      <c r="AY123" s="613"/>
      <c r="AZ123" s="613"/>
      <c r="BA123" s="613"/>
      <c r="BB123" s="613"/>
      <c r="BC123" s="613"/>
      <c r="BD123" s="613"/>
      <c r="BE123" s="613"/>
      <c r="BF123" s="613"/>
      <c r="BG123" s="613"/>
      <c r="BH123" s="613"/>
      <c r="BI123" s="613"/>
      <c r="BJ123" s="613"/>
      <c r="BK123" s="613"/>
      <c r="BL123" s="613"/>
      <c r="BM123" s="613"/>
      <c r="BN123" s="613"/>
      <c r="BO123" s="613"/>
      <c r="BP123" s="613"/>
      <c r="BQ123" s="613"/>
      <c r="BR123" s="613"/>
      <c r="BS123" s="613"/>
      <c r="BT123" s="613"/>
      <c r="BU123" s="613"/>
      <c r="BV123" s="613"/>
      <c r="BW123" s="613"/>
      <c r="BX123" s="613"/>
      <c r="BY123" s="613"/>
      <c r="BZ123" s="613"/>
      <c r="CA123" s="613"/>
      <c r="CB123" s="613"/>
      <c r="CC123" s="613"/>
      <c r="CD123" s="613"/>
      <c r="CE123" s="613"/>
      <c r="CF123" s="613"/>
      <c r="CG123" s="613"/>
      <c r="CH123" s="613"/>
      <c r="CI123" s="613"/>
      <c r="CJ123" s="613"/>
      <c r="CK123" s="613"/>
      <c r="CL123" s="613"/>
      <c r="CM123" s="613"/>
      <c r="CN123" s="613"/>
      <c r="CO123" s="613"/>
      <c r="CP123" s="613"/>
      <c r="CQ123" s="613"/>
      <c r="CR123" s="613"/>
      <c r="CS123" s="613"/>
      <c r="CT123" s="613"/>
      <c r="CU123" s="613"/>
      <c r="CV123" s="613"/>
      <c r="CW123" s="613"/>
      <c r="CX123" s="613"/>
      <c r="CY123" s="613"/>
      <c r="CZ123" s="613"/>
      <c r="DA123" s="613"/>
      <c r="DB123" s="613"/>
      <c r="DC123" s="613"/>
      <c r="DD123" s="613"/>
      <c r="DE123" s="613"/>
      <c r="DF123" s="613"/>
      <c r="DG123" s="613"/>
      <c r="DH123" s="613"/>
      <c r="DI123" s="613"/>
      <c r="DJ123" s="613"/>
      <c r="DK123" s="613"/>
      <c r="DL123" s="613"/>
      <c r="DM123" s="613"/>
      <c r="DN123" s="613"/>
      <c r="DO123" s="613"/>
      <c r="DP123" s="613"/>
      <c r="DQ123" s="613"/>
      <c r="DR123" s="613"/>
      <c r="DS123" s="613"/>
      <c r="DT123" s="613"/>
      <c r="DU123" s="613"/>
      <c r="DV123" s="613"/>
      <c r="DW123" s="613"/>
      <c r="DX123" s="613"/>
      <c r="DY123" s="613"/>
      <c r="DZ123" s="613"/>
      <c r="EA123" s="613"/>
      <c r="EB123" s="613"/>
      <c r="EC123" s="613"/>
      <c r="ED123" s="613"/>
      <c r="EE123" s="613"/>
      <c r="EF123" s="613"/>
      <c r="EG123" s="613"/>
      <c r="EH123" s="613"/>
      <c r="EI123" s="613"/>
      <c r="EJ123" s="613"/>
      <c r="EK123" s="613"/>
      <c r="EL123" s="613"/>
      <c r="EM123" s="613"/>
      <c r="EN123" s="613"/>
      <c r="EO123" s="613"/>
      <c r="EP123" s="613"/>
      <c r="EQ123" s="613"/>
      <c r="ER123" s="613"/>
      <c r="ES123" s="613"/>
      <c r="ET123" s="613"/>
      <c r="EU123" s="613"/>
      <c r="EV123" s="613"/>
      <c r="EW123" s="613"/>
      <c r="EX123" s="613"/>
      <c r="EY123" s="613"/>
      <c r="EZ123" s="613"/>
      <c r="FA123" s="613"/>
      <c r="FB123" s="613"/>
      <c r="FC123" s="613"/>
      <c r="FD123" s="613"/>
      <c r="FE123" s="613"/>
      <c r="FF123" s="613"/>
      <c r="FG123" s="613"/>
      <c r="FH123" s="613"/>
      <c r="FI123" s="613"/>
      <c r="FJ123" s="613"/>
      <c r="FK123" s="613"/>
      <c r="FL123" s="613"/>
      <c r="FM123" s="613"/>
      <c r="FN123" s="613"/>
      <c r="FO123" s="613"/>
      <c r="FP123" s="613"/>
      <c r="FQ123" s="613"/>
      <c r="FR123" s="613"/>
      <c r="FS123" s="613"/>
      <c r="FT123" s="613"/>
      <c r="FU123" s="613"/>
      <c r="FV123" s="613"/>
      <c r="FW123" s="613"/>
      <c r="FX123" s="613"/>
      <c r="FY123" s="613"/>
      <c r="FZ123" s="613"/>
      <c r="GA123" s="613"/>
      <c r="GB123" s="613"/>
      <c r="GC123" s="613"/>
      <c r="GD123" s="613"/>
      <c r="GE123" s="613"/>
      <c r="GF123" s="613"/>
      <c r="GG123" s="613"/>
      <c r="GH123" s="613"/>
      <c r="GI123" s="613"/>
      <c r="GJ123" s="613"/>
      <c r="GK123" s="613"/>
      <c r="GL123" s="613"/>
      <c r="GM123" s="613"/>
      <c r="GN123" s="613"/>
      <c r="GO123" s="613"/>
      <c r="GP123" s="613"/>
      <c r="GQ123" s="613"/>
      <c r="GR123" s="613"/>
      <c r="GS123" s="613"/>
      <c r="GT123" s="613"/>
      <c r="GU123" s="613"/>
      <c r="GV123" s="613"/>
      <c r="GW123" s="613"/>
      <c r="GX123" s="613"/>
      <c r="GY123" s="613"/>
      <c r="GZ123" s="613"/>
      <c r="HA123" s="613"/>
      <c r="HB123" s="613"/>
      <c r="HC123" s="613"/>
      <c r="HD123" s="613"/>
      <c r="HE123" s="613"/>
      <c r="HF123" s="613"/>
      <c r="HG123" s="613"/>
      <c r="HH123" s="613"/>
      <c r="HI123" s="613"/>
      <c r="HJ123" s="613"/>
      <c r="HK123" s="613"/>
      <c r="HL123" s="613"/>
      <c r="HM123" s="613"/>
      <c r="HN123" s="613"/>
      <c r="HO123" s="613"/>
      <c r="HP123" s="613"/>
      <c r="HQ123" s="613"/>
      <c r="HR123" s="613"/>
      <c r="HS123" s="613"/>
      <c r="HT123" s="613"/>
      <c r="HU123" s="613"/>
      <c r="HV123" s="613"/>
      <c r="HW123" s="613"/>
      <c r="HX123" s="613"/>
      <c r="HY123" s="613"/>
      <c r="HZ123" s="613"/>
      <c r="IA123" s="613"/>
      <c r="IB123" s="613"/>
      <c r="IC123" s="613"/>
      <c r="ID123" s="613"/>
      <c r="IE123" s="613"/>
      <c r="IF123" s="613"/>
      <c r="IG123" s="613"/>
      <c r="IH123" s="613"/>
      <c r="II123" s="613"/>
      <c r="IJ123" s="613"/>
      <c r="IK123" s="613"/>
      <c r="IL123" s="613"/>
      <c r="IM123" s="613"/>
      <c r="IN123" s="613"/>
      <c r="IO123" s="613"/>
      <c r="IP123" s="613"/>
      <c r="IQ123" s="613"/>
      <c r="IR123" s="613"/>
      <c r="IS123" s="613"/>
      <c r="IT123" s="613"/>
      <c r="IU123" s="613"/>
      <c r="IV123" s="613"/>
    </row>
    <row r="124" spans="1:256" s="606" customFormat="1" ht="33" customHeight="1" thickBot="1" x14ac:dyDescent="0.25">
      <c r="A124" s="458" t="s">
        <v>188</v>
      </c>
      <c r="B124" s="623" t="s">
        <v>255</v>
      </c>
      <c r="C124" s="467" t="s">
        <v>255</v>
      </c>
      <c r="D124" s="467" t="s">
        <v>138</v>
      </c>
      <c r="E124" s="671" t="s">
        <v>255</v>
      </c>
      <c r="F124" s="671" t="s">
        <v>255</v>
      </c>
      <c r="G124" s="456">
        <f>G19+G41+G60+G70+G73+G87+G101+G115+G119</f>
        <v>262712847</v>
      </c>
      <c r="H124" s="456">
        <f>H19+H41+H60+H70+H73+H87+H101+H115+H119</f>
        <v>247663871.17999998</v>
      </c>
      <c r="I124" s="456">
        <f>I19+I41+I60+I70+I73+I87+I101+I112+I115+I119</f>
        <v>111913153</v>
      </c>
      <c r="J124" s="456">
        <f>J19+J41+J60+J70+J73+J87+J101+J112+J115+J119</f>
        <v>104125952.51000001</v>
      </c>
      <c r="K124" s="456">
        <f>K19+K41+K60+K70+K73+K87+K101+K112+K115+K119</f>
        <v>94472458.439999983</v>
      </c>
      <c r="L124" s="456">
        <f>L19+L41+L60+L70+L73+L87+L101+L112+L115+L119</f>
        <v>86977056.209999993</v>
      </c>
      <c r="M124" s="456">
        <f>G124+I124</f>
        <v>374626000</v>
      </c>
      <c r="N124" s="456">
        <f>H124+K124</f>
        <v>342136329.61999995</v>
      </c>
      <c r="O124" s="457">
        <f t="shared" si="4"/>
        <v>0.91327438463961375</v>
      </c>
    </row>
    <row r="125" spans="1:256" s="606" customFormat="1" ht="33" customHeight="1" x14ac:dyDescent="0.3">
      <c r="C125" s="678"/>
      <c r="D125" s="679"/>
      <c r="E125" s="742"/>
      <c r="F125" s="742"/>
      <c r="H125" s="680"/>
      <c r="I125" s="618"/>
      <c r="J125" s="680"/>
      <c r="K125" s="680"/>
      <c r="L125" s="681"/>
      <c r="M125" s="681"/>
      <c r="N125" s="607"/>
      <c r="O125" s="682"/>
    </row>
    <row r="126" spans="1:256" s="606" customFormat="1" x14ac:dyDescent="0.2">
      <c r="C126" s="683"/>
      <c r="G126" s="684"/>
      <c r="H126" s="618"/>
      <c r="I126" s="684"/>
      <c r="J126" s="684"/>
      <c r="K126" s="685"/>
      <c r="L126" s="684"/>
      <c r="M126" s="684"/>
      <c r="N126" s="686"/>
      <c r="O126" s="682"/>
    </row>
    <row r="127" spans="1:256" ht="20.25" x14ac:dyDescent="0.3">
      <c r="A127" s="1321" t="s">
        <v>435</v>
      </c>
      <c r="B127" s="1321"/>
      <c r="C127" s="1321"/>
      <c r="D127" s="1321"/>
      <c r="E127" s="797"/>
      <c r="F127" s="797"/>
      <c r="G127" s="677"/>
      <c r="H127" s="673"/>
      <c r="I127" s="797"/>
      <c r="J127" s="797" t="s">
        <v>410</v>
      </c>
      <c r="K127" s="797"/>
      <c r="L127" s="614"/>
      <c r="M127" s="674"/>
      <c r="N127" s="797"/>
      <c r="O127" s="797"/>
    </row>
    <row r="128" spans="1:256" x14ac:dyDescent="0.2">
      <c r="A128" s="606"/>
      <c r="G128" s="687"/>
      <c r="H128" s="618"/>
      <c r="I128" s="687"/>
      <c r="J128" s="687"/>
      <c r="K128" s="687"/>
      <c r="L128" s="687"/>
      <c r="N128" s="687"/>
    </row>
    <row r="129" spans="7:9" x14ac:dyDescent="0.2">
      <c r="H129" s="684"/>
    </row>
    <row r="130" spans="7:9" x14ac:dyDescent="0.2">
      <c r="G130" s="684"/>
      <c r="I130" s="688"/>
    </row>
    <row r="131" spans="7:9" x14ac:dyDescent="0.2">
      <c r="H131" s="687"/>
      <c r="I131" s="688"/>
    </row>
  </sheetData>
  <mergeCells count="18">
    <mergeCell ref="A14:C14"/>
    <mergeCell ref="A15:C15"/>
    <mergeCell ref="A16:A17"/>
    <mergeCell ref="B16:B17"/>
    <mergeCell ref="C16:C17"/>
    <mergeCell ref="L1:M6"/>
    <mergeCell ref="L7:O7"/>
    <mergeCell ref="L9:O9"/>
    <mergeCell ref="L10:O10"/>
    <mergeCell ref="I16:L16"/>
    <mergeCell ref="M16:O16"/>
    <mergeCell ref="L8:N8"/>
    <mergeCell ref="G11:I11"/>
    <mergeCell ref="D16:D17"/>
    <mergeCell ref="E16:E17"/>
    <mergeCell ref="F16:F17"/>
    <mergeCell ref="G16:H16"/>
    <mergeCell ref="A127:D127"/>
  </mergeCells>
  <hyperlinks>
    <hyperlink ref="D50" r:id="rId1" location="n8" display="https://zakon.rada.gov.ua/rada/show/988-2016-%D1%80 - n8"/>
    <hyperlink ref="D51" r:id="rId2" location="n8" display="https://zakon.rada.gov.ua/rada/show/988-2016-%D1%80 - n8"/>
  </hyperlinks>
  <pageMargins left="0.78740157480314965" right="0.55118110236220474" top="1.1811023622047245" bottom="0.39370078740157483" header="0.31496062992125984" footer="0.31496062992125984"/>
  <pageSetup paperSize="9" scale="60" orientation="landscape" r:id="rId3"/>
  <rowBreaks count="1" manualBreakCount="1">
    <brk id="114"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11"/>
  <sheetViews>
    <sheetView view="pageBreakPreview" zoomScale="60" zoomScaleNormal="100" workbookViewId="0">
      <selection activeCell="H13" sqref="H13:H14"/>
    </sheetView>
  </sheetViews>
  <sheetFormatPr defaultColWidth="9.28515625" defaultRowHeight="15" x14ac:dyDescent="0.25"/>
  <cols>
    <col min="1" max="1" width="14.5703125" style="62" customWidth="1"/>
    <col min="2" max="2" width="15.140625" style="63" customWidth="1"/>
    <col min="3" max="3" width="11" style="64" customWidth="1"/>
    <col min="4" max="4" width="75.42578125" style="65" customWidth="1"/>
    <col min="5" max="5" width="84.7109375" style="66" customWidth="1"/>
    <col min="6" max="6" width="15.28515625" style="64" customWidth="1"/>
    <col min="7" max="7" width="18" style="107" customWidth="1"/>
    <col min="8" max="8" width="22.28515625" style="107" customWidth="1"/>
    <col min="9" max="9" width="13.85546875" style="107" customWidth="1"/>
    <col min="10" max="11" width="28.140625" style="68" customWidth="1"/>
    <col min="12" max="12" width="13.85546875" style="68" customWidth="1"/>
    <col min="13" max="13" width="23.42578125" style="62" customWidth="1"/>
    <col min="14" max="14" width="16.85546875" style="62" bestFit="1" customWidth="1"/>
    <col min="15" max="15" width="9.28515625" style="62"/>
    <col min="16" max="16" width="13.7109375" style="62" bestFit="1" customWidth="1"/>
    <col min="17" max="257" width="9.28515625" style="62"/>
    <col min="258" max="258" width="15" style="62" customWidth="1"/>
    <col min="259" max="259" width="12.7109375" style="62" customWidth="1"/>
    <col min="260" max="260" width="11.7109375" style="62" customWidth="1"/>
    <col min="261" max="261" width="44.85546875" style="62" customWidth="1"/>
    <col min="262" max="262" width="54.7109375" style="62" customWidth="1"/>
    <col min="263" max="263" width="15.28515625" style="62" customWidth="1"/>
    <col min="264" max="265" width="19.28515625" style="62" customWidth="1"/>
    <col min="266" max="266" width="13.85546875" style="62" customWidth="1"/>
    <col min="267" max="267" width="25.28515625" style="62" customWidth="1"/>
    <col min="268" max="268" width="16.28515625" style="62" customWidth="1"/>
    <col min="269" max="513" width="9.28515625" style="62"/>
    <col min="514" max="514" width="15" style="62" customWidth="1"/>
    <col min="515" max="515" width="12.7109375" style="62" customWidth="1"/>
    <col min="516" max="516" width="11.7109375" style="62" customWidth="1"/>
    <col min="517" max="517" width="44.85546875" style="62" customWidth="1"/>
    <col min="518" max="518" width="54.7109375" style="62" customWidth="1"/>
    <col min="519" max="519" width="15.28515625" style="62" customWidth="1"/>
    <col min="520" max="521" width="19.28515625" style="62" customWidth="1"/>
    <col min="522" max="522" width="13.85546875" style="62" customWidth="1"/>
    <col min="523" max="523" width="25.28515625" style="62" customWidth="1"/>
    <col min="524" max="524" width="16.28515625" style="62" customWidth="1"/>
    <col min="525" max="769" width="9.28515625" style="62"/>
    <col min="770" max="770" width="15" style="62" customWidth="1"/>
    <col min="771" max="771" width="12.7109375" style="62" customWidth="1"/>
    <col min="772" max="772" width="11.7109375" style="62" customWidth="1"/>
    <col min="773" max="773" width="44.85546875" style="62" customWidth="1"/>
    <col min="774" max="774" width="54.7109375" style="62" customWidth="1"/>
    <col min="775" max="775" width="15.28515625" style="62" customWidth="1"/>
    <col min="776" max="777" width="19.28515625" style="62" customWidth="1"/>
    <col min="778" max="778" width="13.85546875" style="62" customWidth="1"/>
    <col min="779" max="779" width="25.28515625" style="62" customWidth="1"/>
    <col min="780" max="780" width="16.28515625" style="62" customWidth="1"/>
    <col min="781" max="1025" width="9.28515625" style="62"/>
    <col min="1026" max="1026" width="15" style="62" customWidth="1"/>
    <col min="1027" max="1027" width="12.7109375" style="62" customWidth="1"/>
    <col min="1028" max="1028" width="11.7109375" style="62" customWidth="1"/>
    <col min="1029" max="1029" width="44.85546875" style="62" customWidth="1"/>
    <col min="1030" max="1030" width="54.7109375" style="62" customWidth="1"/>
    <col min="1031" max="1031" width="15.28515625" style="62" customWidth="1"/>
    <col min="1032" max="1033" width="19.28515625" style="62" customWidth="1"/>
    <col min="1034" max="1034" width="13.85546875" style="62" customWidth="1"/>
    <col min="1035" max="1035" width="25.28515625" style="62" customWidth="1"/>
    <col min="1036" max="1036" width="16.28515625" style="62" customWidth="1"/>
    <col min="1037" max="1281" width="9.28515625" style="62"/>
    <col min="1282" max="1282" width="15" style="62" customWidth="1"/>
    <col min="1283" max="1283" width="12.7109375" style="62" customWidth="1"/>
    <col min="1284" max="1284" width="11.7109375" style="62" customWidth="1"/>
    <col min="1285" max="1285" width="44.85546875" style="62" customWidth="1"/>
    <col min="1286" max="1286" width="54.7109375" style="62" customWidth="1"/>
    <col min="1287" max="1287" width="15.28515625" style="62" customWidth="1"/>
    <col min="1288" max="1289" width="19.28515625" style="62" customWidth="1"/>
    <col min="1290" max="1290" width="13.85546875" style="62" customWidth="1"/>
    <col min="1291" max="1291" width="25.28515625" style="62" customWidth="1"/>
    <col min="1292" max="1292" width="16.28515625" style="62" customWidth="1"/>
    <col min="1293" max="1537" width="9.28515625" style="62"/>
    <col min="1538" max="1538" width="15" style="62" customWidth="1"/>
    <col min="1539" max="1539" width="12.7109375" style="62" customWidth="1"/>
    <col min="1540" max="1540" width="11.7109375" style="62" customWidth="1"/>
    <col min="1541" max="1541" width="44.85546875" style="62" customWidth="1"/>
    <col min="1542" max="1542" width="54.7109375" style="62" customWidth="1"/>
    <col min="1543" max="1543" width="15.28515625" style="62" customWidth="1"/>
    <col min="1544" max="1545" width="19.28515625" style="62" customWidth="1"/>
    <col min="1546" max="1546" width="13.85546875" style="62" customWidth="1"/>
    <col min="1547" max="1547" width="25.28515625" style="62" customWidth="1"/>
    <col min="1548" max="1548" width="16.28515625" style="62" customWidth="1"/>
    <col min="1549" max="1793" width="9.28515625" style="62"/>
    <col min="1794" max="1794" width="15" style="62" customWidth="1"/>
    <col min="1795" max="1795" width="12.7109375" style="62" customWidth="1"/>
    <col min="1796" max="1796" width="11.7109375" style="62" customWidth="1"/>
    <col min="1797" max="1797" width="44.85546875" style="62" customWidth="1"/>
    <col min="1798" max="1798" width="54.7109375" style="62" customWidth="1"/>
    <col min="1799" max="1799" width="15.28515625" style="62" customWidth="1"/>
    <col min="1800" max="1801" width="19.28515625" style="62" customWidth="1"/>
    <col min="1802" max="1802" width="13.85546875" style="62" customWidth="1"/>
    <col min="1803" max="1803" width="25.28515625" style="62" customWidth="1"/>
    <col min="1804" max="1804" width="16.28515625" style="62" customWidth="1"/>
    <col min="1805" max="2049" width="9.28515625" style="62"/>
    <col min="2050" max="2050" width="15" style="62" customWidth="1"/>
    <col min="2051" max="2051" width="12.7109375" style="62" customWidth="1"/>
    <col min="2052" max="2052" width="11.7109375" style="62" customWidth="1"/>
    <col min="2053" max="2053" width="44.85546875" style="62" customWidth="1"/>
    <col min="2054" max="2054" width="54.7109375" style="62" customWidth="1"/>
    <col min="2055" max="2055" width="15.28515625" style="62" customWidth="1"/>
    <col min="2056" max="2057" width="19.28515625" style="62" customWidth="1"/>
    <col min="2058" max="2058" width="13.85546875" style="62" customWidth="1"/>
    <col min="2059" max="2059" width="25.28515625" style="62" customWidth="1"/>
    <col min="2060" max="2060" width="16.28515625" style="62" customWidth="1"/>
    <col min="2061" max="2305" width="9.28515625" style="62"/>
    <col min="2306" max="2306" width="15" style="62" customWidth="1"/>
    <col min="2307" max="2307" width="12.7109375" style="62" customWidth="1"/>
    <col min="2308" max="2308" width="11.7109375" style="62" customWidth="1"/>
    <col min="2309" max="2309" width="44.85546875" style="62" customWidth="1"/>
    <col min="2310" max="2310" width="54.7109375" style="62" customWidth="1"/>
    <col min="2311" max="2311" width="15.28515625" style="62" customWidth="1"/>
    <col min="2312" max="2313" width="19.28515625" style="62" customWidth="1"/>
    <col min="2314" max="2314" width="13.85546875" style="62" customWidth="1"/>
    <col min="2315" max="2315" width="25.28515625" style="62" customWidth="1"/>
    <col min="2316" max="2316" width="16.28515625" style="62" customWidth="1"/>
    <col min="2317" max="2561" width="9.28515625" style="62"/>
    <col min="2562" max="2562" width="15" style="62" customWidth="1"/>
    <col min="2563" max="2563" width="12.7109375" style="62" customWidth="1"/>
    <col min="2564" max="2564" width="11.7109375" style="62" customWidth="1"/>
    <col min="2565" max="2565" width="44.85546875" style="62" customWidth="1"/>
    <col min="2566" max="2566" width="54.7109375" style="62" customWidth="1"/>
    <col min="2567" max="2567" width="15.28515625" style="62" customWidth="1"/>
    <col min="2568" max="2569" width="19.28515625" style="62" customWidth="1"/>
    <col min="2570" max="2570" width="13.85546875" style="62" customWidth="1"/>
    <col min="2571" max="2571" width="25.28515625" style="62" customWidth="1"/>
    <col min="2572" max="2572" width="16.28515625" style="62" customWidth="1"/>
    <col min="2573" max="2817" width="9.28515625" style="62"/>
    <col min="2818" max="2818" width="15" style="62" customWidth="1"/>
    <col min="2819" max="2819" width="12.7109375" style="62" customWidth="1"/>
    <col min="2820" max="2820" width="11.7109375" style="62" customWidth="1"/>
    <col min="2821" max="2821" width="44.85546875" style="62" customWidth="1"/>
    <col min="2822" max="2822" width="54.7109375" style="62" customWidth="1"/>
    <col min="2823" max="2823" width="15.28515625" style="62" customWidth="1"/>
    <col min="2824" max="2825" width="19.28515625" style="62" customWidth="1"/>
    <col min="2826" max="2826" width="13.85546875" style="62" customWidth="1"/>
    <col min="2827" max="2827" width="25.28515625" style="62" customWidth="1"/>
    <col min="2828" max="2828" width="16.28515625" style="62" customWidth="1"/>
    <col min="2829" max="3073" width="9.28515625" style="62"/>
    <col min="3074" max="3074" width="15" style="62" customWidth="1"/>
    <col min="3075" max="3075" width="12.7109375" style="62" customWidth="1"/>
    <col min="3076" max="3076" width="11.7109375" style="62" customWidth="1"/>
    <col min="3077" max="3077" width="44.85546875" style="62" customWidth="1"/>
    <col min="3078" max="3078" width="54.7109375" style="62" customWidth="1"/>
    <col min="3079" max="3079" width="15.28515625" style="62" customWidth="1"/>
    <col min="3080" max="3081" width="19.28515625" style="62" customWidth="1"/>
    <col min="3082" max="3082" width="13.85546875" style="62" customWidth="1"/>
    <col min="3083" max="3083" width="25.28515625" style="62" customWidth="1"/>
    <col min="3084" max="3084" width="16.28515625" style="62" customWidth="1"/>
    <col min="3085" max="3329" width="9.28515625" style="62"/>
    <col min="3330" max="3330" width="15" style="62" customWidth="1"/>
    <col min="3331" max="3331" width="12.7109375" style="62" customWidth="1"/>
    <col min="3332" max="3332" width="11.7109375" style="62" customWidth="1"/>
    <col min="3333" max="3333" width="44.85546875" style="62" customWidth="1"/>
    <col min="3334" max="3334" width="54.7109375" style="62" customWidth="1"/>
    <col min="3335" max="3335" width="15.28515625" style="62" customWidth="1"/>
    <col min="3336" max="3337" width="19.28515625" style="62" customWidth="1"/>
    <col min="3338" max="3338" width="13.85546875" style="62" customWidth="1"/>
    <col min="3339" max="3339" width="25.28515625" style="62" customWidth="1"/>
    <col min="3340" max="3340" width="16.28515625" style="62" customWidth="1"/>
    <col min="3341" max="3585" width="9.28515625" style="62"/>
    <col min="3586" max="3586" width="15" style="62" customWidth="1"/>
    <col min="3587" max="3587" width="12.7109375" style="62" customWidth="1"/>
    <col min="3588" max="3588" width="11.7109375" style="62" customWidth="1"/>
    <col min="3589" max="3589" width="44.85546875" style="62" customWidth="1"/>
    <col min="3590" max="3590" width="54.7109375" style="62" customWidth="1"/>
    <col min="3591" max="3591" width="15.28515625" style="62" customWidth="1"/>
    <col min="3592" max="3593" width="19.28515625" style="62" customWidth="1"/>
    <col min="3594" max="3594" width="13.85546875" style="62" customWidth="1"/>
    <col min="3595" max="3595" width="25.28515625" style="62" customWidth="1"/>
    <col min="3596" max="3596" width="16.28515625" style="62" customWidth="1"/>
    <col min="3597" max="3841" width="9.28515625" style="62"/>
    <col min="3842" max="3842" width="15" style="62" customWidth="1"/>
    <col min="3843" max="3843" width="12.7109375" style="62" customWidth="1"/>
    <col min="3844" max="3844" width="11.7109375" style="62" customWidth="1"/>
    <col min="3845" max="3845" width="44.85546875" style="62" customWidth="1"/>
    <col min="3846" max="3846" width="54.7109375" style="62" customWidth="1"/>
    <col min="3847" max="3847" width="15.28515625" style="62" customWidth="1"/>
    <col min="3848" max="3849" width="19.28515625" style="62" customWidth="1"/>
    <col min="3850" max="3850" width="13.85546875" style="62" customWidth="1"/>
    <col min="3851" max="3851" width="25.28515625" style="62" customWidth="1"/>
    <col min="3852" max="3852" width="16.28515625" style="62" customWidth="1"/>
    <col min="3853" max="4097" width="9.28515625" style="62"/>
    <col min="4098" max="4098" width="15" style="62" customWidth="1"/>
    <col min="4099" max="4099" width="12.7109375" style="62" customWidth="1"/>
    <col min="4100" max="4100" width="11.7109375" style="62" customWidth="1"/>
    <col min="4101" max="4101" width="44.85546875" style="62" customWidth="1"/>
    <col min="4102" max="4102" width="54.7109375" style="62" customWidth="1"/>
    <col min="4103" max="4103" width="15.28515625" style="62" customWidth="1"/>
    <col min="4104" max="4105" width="19.28515625" style="62" customWidth="1"/>
    <col min="4106" max="4106" width="13.85546875" style="62" customWidth="1"/>
    <col min="4107" max="4107" width="25.28515625" style="62" customWidth="1"/>
    <col min="4108" max="4108" width="16.28515625" style="62" customWidth="1"/>
    <col min="4109" max="4353" width="9.28515625" style="62"/>
    <col min="4354" max="4354" width="15" style="62" customWidth="1"/>
    <col min="4355" max="4355" width="12.7109375" style="62" customWidth="1"/>
    <col min="4356" max="4356" width="11.7109375" style="62" customWidth="1"/>
    <col min="4357" max="4357" width="44.85546875" style="62" customWidth="1"/>
    <col min="4358" max="4358" width="54.7109375" style="62" customWidth="1"/>
    <col min="4359" max="4359" width="15.28515625" style="62" customWidth="1"/>
    <col min="4360" max="4361" width="19.28515625" style="62" customWidth="1"/>
    <col min="4362" max="4362" width="13.85546875" style="62" customWidth="1"/>
    <col min="4363" max="4363" width="25.28515625" style="62" customWidth="1"/>
    <col min="4364" max="4364" width="16.28515625" style="62" customWidth="1"/>
    <col min="4365" max="4609" width="9.28515625" style="62"/>
    <col min="4610" max="4610" width="15" style="62" customWidth="1"/>
    <col min="4611" max="4611" width="12.7109375" style="62" customWidth="1"/>
    <col min="4612" max="4612" width="11.7109375" style="62" customWidth="1"/>
    <col min="4613" max="4613" width="44.85546875" style="62" customWidth="1"/>
    <col min="4614" max="4614" width="54.7109375" style="62" customWidth="1"/>
    <col min="4615" max="4615" width="15.28515625" style="62" customWidth="1"/>
    <col min="4616" max="4617" width="19.28515625" style="62" customWidth="1"/>
    <col min="4618" max="4618" width="13.85546875" style="62" customWidth="1"/>
    <col min="4619" max="4619" width="25.28515625" style="62" customWidth="1"/>
    <col min="4620" max="4620" width="16.28515625" style="62" customWidth="1"/>
    <col min="4621" max="4865" width="9.28515625" style="62"/>
    <col min="4866" max="4866" width="15" style="62" customWidth="1"/>
    <col min="4867" max="4867" width="12.7109375" style="62" customWidth="1"/>
    <col min="4868" max="4868" width="11.7109375" style="62" customWidth="1"/>
    <col min="4869" max="4869" width="44.85546875" style="62" customWidth="1"/>
    <col min="4870" max="4870" width="54.7109375" style="62" customWidth="1"/>
    <col min="4871" max="4871" width="15.28515625" style="62" customWidth="1"/>
    <col min="4872" max="4873" width="19.28515625" style="62" customWidth="1"/>
    <col min="4874" max="4874" width="13.85546875" style="62" customWidth="1"/>
    <col min="4875" max="4875" width="25.28515625" style="62" customWidth="1"/>
    <col min="4876" max="4876" width="16.28515625" style="62" customWidth="1"/>
    <col min="4877" max="5121" width="9.28515625" style="62"/>
    <col min="5122" max="5122" width="15" style="62" customWidth="1"/>
    <col min="5123" max="5123" width="12.7109375" style="62" customWidth="1"/>
    <col min="5124" max="5124" width="11.7109375" style="62" customWidth="1"/>
    <col min="5125" max="5125" width="44.85546875" style="62" customWidth="1"/>
    <col min="5126" max="5126" width="54.7109375" style="62" customWidth="1"/>
    <col min="5127" max="5127" width="15.28515625" style="62" customWidth="1"/>
    <col min="5128" max="5129" width="19.28515625" style="62" customWidth="1"/>
    <col min="5130" max="5130" width="13.85546875" style="62" customWidth="1"/>
    <col min="5131" max="5131" width="25.28515625" style="62" customWidth="1"/>
    <col min="5132" max="5132" width="16.28515625" style="62" customWidth="1"/>
    <col min="5133" max="5377" width="9.28515625" style="62"/>
    <col min="5378" max="5378" width="15" style="62" customWidth="1"/>
    <col min="5379" max="5379" width="12.7109375" style="62" customWidth="1"/>
    <col min="5380" max="5380" width="11.7109375" style="62" customWidth="1"/>
    <col min="5381" max="5381" width="44.85546875" style="62" customWidth="1"/>
    <col min="5382" max="5382" width="54.7109375" style="62" customWidth="1"/>
    <col min="5383" max="5383" width="15.28515625" style="62" customWidth="1"/>
    <col min="5384" max="5385" width="19.28515625" style="62" customWidth="1"/>
    <col min="5386" max="5386" width="13.85546875" style="62" customWidth="1"/>
    <col min="5387" max="5387" width="25.28515625" style="62" customWidth="1"/>
    <col min="5388" max="5388" width="16.28515625" style="62" customWidth="1"/>
    <col min="5389" max="5633" width="9.28515625" style="62"/>
    <col min="5634" max="5634" width="15" style="62" customWidth="1"/>
    <col min="5635" max="5635" width="12.7109375" style="62" customWidth="1"/>
    <col min="5636" max="5636" width="11.7109375" style="62" customWidth="1"/>
    <col min="5637" max="5637" width="44.85546875" style="62" customWidth="1"/>
    <col min="5638" max="5638" width="54.7109375" style="62" customWidth="1"/>
    <col min="5639" max="5639" width="15.28515625" style="62" customWidth="1"/>
    <col min="5640" max="5641" width="19.28515625" style="62" customWidth="1"/>
    <col min="5642" max="5642" width="13.85546875" style="62" customWidth="1"/>
    <col min="5643" max="5643" width="25.28515625" style="62" customWidth="1"/>
    <col min="5644" max="5644" width="16.28515625" style="62" customWidth="1"/>
    <col min="5645" max="5889" width="9.28515625" style="62"/>
    <col min="5890" max="5890" width="15" style="62" customWidth="1"/>
    <col min="5891" max="5891" width="12.7109375" style="62" customWidth="1"/>
    <col min="5892" max="5892" width="11.7109375" style="62" customWidth="1"/>
    <col min="5893" max="5893" width="44.85546875" style="62" customWidth="1"/>
    <col min="5894" max="5894" width="54.7109375" style="62" customWidth="1"/>
    <col min="5895" max="5895" width="15.28515625" style="62" customWidth="1"/>
    <col min="5896" max="5897" width="19.28515625" style="62" customWidth="1"/>
    <col min="5898" max="5898" width="13.85546875" style="62" customWidth="1"/>
    <col min="5899" max="5899" width="25.28515625" style="62" customWidth="1"/>
    <col min="5900" max="5900" width="16.28515625" style="62" customWidth="1"/>
    <col min="5901" max="6145" width="9.28515625" style="62"/>
    <col min="6146" max="6146" width="15" style="62" customWidth="1"/>
    <col min="6147" max="6147" width="12.7109375" style="62" customWidth="1"/>
    <col min="6148" max="6148" width="11.7109375" style="62" customWidth="1"/>
    <col min="6149" max="6149" width="44.85546875" style="62" customWidth="1"/>
    <col min="6150" max="6150" width="54.7109375" style="62" customWidth="1"/>
    <col min="6151" max="6151" width="15.28515625" style="62" customWidth="1"/>
    <col min="6152" max="6153" width="19.28515625" style="62" customWidth="1"/>
    <col min="6154" max="6154" width="13.85546875" style="62" customWidth="1"/>
    <col min="6155" max="6155" width="25.28515625" style="62" customWidth="1"/>
    <col min="6156" max="6156" width="16.28515625" style="62" customWidth="1"/>
    <col min="6157" max="6401" width="9.28515625" style="62"/>
    <col min="6402" max="6402" width="15" style="62" customWidth="1"/>
    <col min="6403" max="6403" width="12.7109375" style="62" customWidth="1"/>
    <col min="6404" max="6404" width="11.7109375" style="62" customWidth="1"/>
    <col min="6405" max="6405" width="44.85546875" style="62" customWidth="1"/>
    <col min="6406" max="6406" width="54.7109375" style="62" customWidth="1"/>
    <col min="6407" max="6407" width="15.28515625" style="62" customWidth="1"/>
    <col min="6408" max="6409" width="19.28515625" style="62" customWidth="1"/>
    <col min="6410" max="6410" width="13.85546875" style="62" customWidth="1"/>
    <col min="6411" max="6411" width="25.28515625" style="62" customWidth="1"/>
    <col min="6412" max="6412" width="16.28515625" style="62" customWidth="1"/>
    <col min="6413" max="6657" width="9.28515625" style="62"/>
    <col min="6658" max="6658" width="15" style="62" customWidth="1"/>
    <col min="6659" max="6659" width="12.7109375" style="62" customWidth="1"/>
    <col min="6660" max="6660" width="11.7109375" style="62" customWidth="1"/>
    <col min="6661" max="6661" width="44.85546875" style="62" customWidth="1"/>
    <col min="6662" max="6662" width="54.7109375" style="62" customWidth="1"/>
    <col min="6663" max="6663" width="15.28515625" style="62" customWidth="1"/>
    <col min="6664" max="6665" width="19.28515625" style="62" customWidth="1"/>
    <col min="6666" max="6666" width="13.85546875" style="62" customWidth="1"/>
    <col min="6667" max="6667" width="25.28515625" style="62" customWidth="1"/>
    <col min="6668" max="6668" width="16.28515625" style="62" customWidth="1"/>
    <col min="6669" max="6913" width="9.28515625" style="62"/>
    <col min="6914" max="6914" width="15" style="62" customWidth="1"/>
    <col min="6915" max="6915" width="12.7109375" style="62" customWidth="1"/>
    <col min="6916" max="6916" width="11.7109375" style="62" customWidth="1"/>
    <col min="6917" max="6917" width="44.85546875" style="62" customWidth="1"/>
    <col min="6918" max="6918" width="54.7109375" style="62" customWidth="1"/>
    <col min="6919" max="6919" width="15.28515625" style="62" customWidth="1"/>
    <col min="6920" max="6921" width="19.28515625" style="62" customWidth="1"/>
    <col min="6922" max="6922" width="13.85546875" style="62" customWidth="1"/>
    <col min="6923" max="6923" width="25.28515625" style="62" customWidth="1"/>
    <col min="6924" max="6924" width="16.28515625" style="62" customWidth="1"/>
    <col min="6925" max="7169" width="9.28515625" style="62"/>
    <col min="7170" max="7170" width="15" style="62" customWidth="1"/>
    <col min="7171" max="7171" width="12.7109375" style="62" customWidth="1"/>
    <col min="7172" max="7172" width="11.7109375" style="62" customWidth="1"/>
    <col min="7173" max="7173" width="44.85546875" style="62" customWidth="1"/>
    <col min="7174" max="7174" width="54.7109375" style="62" customWidth="1"/>
    <col min="7175" max="7175" width="15.28515625" style="62" customWidth="1"/>
    <col min="7176" max="7177" width="19.28515625" style="62" customWidth="1"/>
    <col min="7178" max="7178" width="13.85546875" style="62" customWidth="1"/>
    <col min="7179" max="7179" width="25.28515625" style="62" customWidth="1"/>
    <col min="7180" max="7180" width="16.28515625" style="62" customWidth="1"/>
    <col min="7181" max="7425" width="9.28515625" style="62"/>
    <col min="7426" max="7426" width="15" style="62" customWidth="1"/>
    <col min="7427" max="7427" width="12.7109375" style="62" customWidth="1"/>
    <col min="7428" max="7428" width="11.7109375" style="62" customWidth="1"/>
    <col min="7429" max="7429" width="44.85546875" style="62" customWidth="1"/>
    <col min="7430" max="7430" width="54.7109375" style="62" customWidth="1"/>
    <col min="7431" max="7431" width="15.28515625" style="62" customWidth="1"/>
    <col min="7432" max="7433" width="19.28515625" style="62" customWidth="1"/>
    <col min="7434" max="7434" width="13.85546875" style="62" customWidth="1"/>
    <col min="7435" max="7435" width="25.28515625" style="62" customWidth="1"/>
    <col min="7436" max="7436" width="16.28515625" style="62" customWidth="1"/>
    <col min="7437" max="7681" width="9.28515625" style="62"/>
    <col min="7682" max="7682" width="15" style="62" customWidth="1"/>
    <col min="7683" max="7683" width="12.7109375" style="62" customWidth="1"/>
    <col min="7684" max="7684" width="11.7109375" style="62" customWidth="1"/>
    <col min="7685" max="7685" width="44.85546875" style="62" customWidth="1"/>
    <col min="7686" max="7686" width="54.7109375" style="62" customWidth="1"/>
    <col min="7687" max="7687" width="15.28515625" style="62" customWidth="1"/>
    <col min="7688" max="7689" width="19.28515625" style="62" customWidth="1"/>
    <col min="7690" max="7690" width="13.85546875" style="62" customWidth="1"/>
    <col min="7691" max="7691" width="25.28515625" style="62" customWidth="1"/>
    <col min="7692" max="7692" width="16.28515625" style="62" customWidth="1"/>
    <col min="7693" max="7937" width="9.28515625" style="62"/>
    <col min="7938" max="7938" width="15" style="62" customWidth="1"/>
    <col min="7939" max="7939" width="12.7109375" style="62" customWidth="1"/>
    <col min="7940" max="7940" width="11.7109375" style="62" customWidth="1"/>
    <col min="7941" max="7941" width="44.85546875" style="62" customWidth="1"/>
    <col min="7942" max="7942" width="54.7109375" style="62" customWidth="1"/>
    <col min="7943" max="7943" width="15.28515625" style="62" customWidth="1"/>
    <col min="7944" max="7945" width="19.28515625" style="62" customWidth="1"/>
    <col min="7946" max="7946" width="13.85546875" style="62" customWidth="1"/>
    <col min="7947" max="7947" width="25.28515625" style="62" customWidth="1"/>
    <col min="7948" max="7948" width="16.28515625" style="62" customWidth="1"/>
    <col min="7949" max="8193" width="9.28515625" style="62"/>
    <col min="8194" max="8194" width="15" style="62" customWidth="1"/>
    <col min="8195" max="8195" width="12.7109375" style="62" customWidth="1"/>
    <col min="8196" max="8196" width="11.7109375" style="62" customWidth="1"/>
    <col min="8197" max="8197" width="44.85546875" style="62" customWidth="1"/>
    <col min="8198" max="8198" width="54.7109375" style="62" customWidth="1"/>
    <col min="8199" max="8199" width="15.28515625" style="62" customWidth="1"/>
    <col min="8200" max="8201" width="19.28515625" style="62" customWidth="1"/>
    <col min="8202" max="8202" width="13.85546875" style="62" customWidth="1"/>
    <col min="8203" max="8203" width="25.28515625" style="62" customWidth="1"/>
    <col min="8204" max="8204" width="16.28515625" style="62" customWidth="1"/>
    <col min="8205" max="8449" width="9.28515625" style="62"/>
    <col min="8450" max="8450" width="15" style="62" customWidth="1"/>
    <col min="8451" max="8451" width="12.7109375" style="62" customWidth="1"/>
    <col min="8452" max="8452" width="11.7109375" style="62" customWidth="1"/>
    <col min="8453" max="8453" width="44.85546875" style="62" customWidth="1"/>
    <col min="8454" max="8454" width="54.7109375" style="62" customWidth="1"/>
    <col min="8455" max="8455" width="15.28515625" style="62" customWidth="1"/>
    <col min="8456" max="8457" width="19.28515625" style="62" customWidth="1"/>
    <col min="8458" max="8458" width="13.85546875" style="62" customWidth="1"/>
    <col min="8459" max="8459" width="25.28515625" style="62" customWidth="1"/>
    <col min="8460" max="8460" width="16.28515625" style="62" customWidth="1"/>
    <col min="8461" max="8705" width="9.28515625" style="62"/>
    <col min="8706" max="8706" width="15" style="62" customWidth="1"/>
    <col min="8707" max="8707" width="12.7109375" style="62" customWidth="1"/>
    <col min="8708" max="8708" width="11.7109375" style="62" customWidth="1"/>
    <col min="8709" max="8709" width="44.85546875" style="62" customWidth="1"/>
    <col min="8710" max="8710" width="54.7109375" style="62" customWidth="1"/>
    <col min="8711" max="8711" width="15.28515625" style="62" customWidth="1"/>
    <col min="8712" max="8713" width="19.28515625" style="62" customWidth="1"/>
    <col min="8714" max="8714" width="13.85546875" style="62" customWidth="1"/>
    <col min="8715" max="8715" width="25.28515625" style="62" customWidth="1"/>
    <col min="8716" max="8716" width="16.28515625" style="62" customWidth="1"/>
    <col min="8717" max="8961" width="9.28515625" style="62"/>
    <col min="8962" max="8962" width="15" style="62" customWidth="1"/>
    <col min="8963" max="8963" width="12.7109375" style="62" customWidth="1"/>
    <col min="8964" max="8964" width="11.7109375" style="62" customWidth="1"/>
    <col min="8965" max="8965" width="44.85546875" style="62" customWidth="1"/>
    <col min="8966" max="8966" width="54.7109375" style="62" customWidth="1"/>
    <col min="8967" max="8967" width="15.28515625" style="62" customWidth="1"/>
    <col min="8968" max="8969" width="19.28515625" style="62" customWidth="1"/>
    <col min="8970" max="8970" width="13.85546875" style="62" customWidth="1"/>
    <col min="8971" max="8971" width="25.28515625" style="62" customWidth="1"/>
    <col min="8972" max="8972" width="16.28515625" style="62" customWidth="1"/>
    <col min="8973" max="9217" width="9.28515625" style="62"/>
    <col min="9218" max="9218" width="15" style="62" customWidth="1"/>
    <col min="9219" max="9219" width="12.7109375" style="62" customWidth="1"/>
    <col min="9220" max="9220" width="11.7109375" style="62" customWidth="1"/>
    <col min="9221" max="9221" width="44.85546875" style="62" customWidth="1"/>
    <col min="9222" max="9222" width="54.7109375" style="62" customWidth="1"/>
    <col min="9223" max="9223" width="15.28515625" style="62" customWidth="1"/>
    <col min="9224" max="9225" width="19.28515625" style="62" customWidth="1"/>
    <col min="9226" max="9226" width="13.85546875" style="62" customWidth="1"/>
    <col min="9227" max="9227" width="25.28515625" style="62" customWidth="1"/>
    <col min="9228" max="9228" width="16.28515625" style="62" customWidth="1"/>
    <col min="9229" max="9473" width="9.28515625" style="62"/>
    <col min="9474" max="9474" width="15" style="62" customWidth="1"/>
    <col min="9475" max="9475" width="12.7109375" style="62" customWidth="1"/>
    <col min="9476" max="9476" width="11.7109375" style="62" customWidth="1"/>
    <col min="9477" max="9477" width="44.85546875" style="62" customWidth="1"/>
    <col min="9478" max="9478" width="54.7109375" style="62" customWidth="1"/>
    <col min="9479" max="9479" width="15.28515625" style="62" customWidth="1"/>
    <col min="9480" max="9481" width="19.28515625" style="62" customWidth="1"/>
    <col min="9482" max="9482" width="13.85546875" style="62" customWidth="1"/>
    <col min="9483" max="9483" width="25.28515625" style="62" customWidth="1"/>
    <col min="9484" max="9484" width="16.28515625" style="62" customWidth="1"/>
    <col min="9485" max="9729" width="9.28515625" style="62"/>
    <col min="9730" max="9730" width="15" style="62" customWidth="1"/>
    <col min="9731" max="9731" width="12.7109375" style="62" customWidth="1"/>
    <col min="9732" max="9732" width="11.7109375" style="62" customWidth="1"/>
    <col min="9733" max="9733" width="44.85546875" style="62" customWidth="1"/>
    <col min="9734" max="9734" width="54.7109375" style="62" customWidth="1"/>
    <col min="9735" max="9735" width="15.28515625" style="62" customWidth="1"/>
    <col min="9736" max="9737" width="19.28515625" style="62" customWidth="1"/>
    <col min="9738" max="9738" width="13.85546875" style="62" customWidth="1"/>
    <col min="9739" max="9739" width="25.28515625" style="62" customWidth="1"/>
    <col min="9740" max="9740" width="16.28515625" style="62" customWidth="1"/>
    <col min="9741" max="9985" width="9.28515625" style="62"/>
    <col min="9986" max="9986" width="15" style="62" customWidth="1"/>
    <col min="9987" max="9987" width="12.7109375" style="62" customWidth="1"/>
    <col min="9988" max="9988" width="11.7109375" style="62" customWidth="1"/>
    <col min="9989" max="9989" width="44.85546875" style="62" customWidth="1"/>
    <col min="9990" max="9990" width="54.7109375" style="62" customWidth="1"/>
    <col min="9991" max="9991" width="15.28515625" style="62" customWidth="1"/>
    <col min="9992" max="9993" width="19.28515625" style="62" customWidth="1"/>
    <col min="9994" max="9994" width="13.85546875" style="62" customWidth="1"/>
    <col min="9995" max="9995" width="25.28515625" style="62" customWidth="1"/>
    <col min="9996" max="9996" width="16.28515625" style="62" customWidth="1"/>
    <col min="9997" max="10241" width="9.28515625" style="62"/>
    <col min="10242" max="10242" width="15" style="62" customWidth="1"/>
    <col min="10243" max="10243" width="12.7109375" style="62" customWidth="1"/>
    <col min="10244" max="10244" width="11.7109375" style="62" customWidth="1"/>
    <col min="10245" max="10245" width="44.85546875" style="62" customWidth="1"/>
    <col min="10246" max="10246" width="54.7109375" style="62" customWidth="1"/>
    <col min="10247" max="10247" width="15.28515625" style="62" customWidth="1"/>
    <col min="10248" max="10249" width="19.28515625" style="62" customWidth="1"/>
    <col min="10250" max="10250" width="13.85546875" style="62" customWidth="1"/>
    <col min="10251" max="10251" width="25.28515625" style="62" customWidth="1"/>
    <col min="10252" max="10252" width="16.28515625" style="62" customWidth="1"/>
    <col min="10253" max="10497" width="9.28515625" style="62"/>
    <col min="10498" max="10498" width="15" style="62" customWidth="1"/>
    <col min="10499" max="10499" width="12.7109375" style="62" customWidth="1"/>
    <col min="10500" max="10500" width="11.7109375" style="62" customWidth="1"/>
    <col min="10501" max="10501" width="44.85546875" style="62" customWidth="1"/>
    <col min="10502" max="10502" width="54.7109375" style="62" customWidth="1"/>
    <col min="10503" max="10503" width="15.28515625" style="62" customWidth="1"/>
    <col min="10504" max="10505" width="19.28515625" style="62" customWidth="1"/>
    <col min="10506" max="10506" width="13.85546875" style="62" customWidth="1"/>
    <col min="10507" max="10507" width="25.28515625" style="62" customWidth="1"/>
    <col min="10508" max="10508" width="16.28515625" style="62" customWidth="1"/>
    <col min="10509" max="10753" width="9.28515625" style="62"/>
    <col min="10754" max="10754" width="15" style="62" customWidth="1"/>
    <col min="10755" max="10755" width="12.7109375" style="62" customWidth="1"/>
    <col min="10756" max="10756" width="11.7109375" style="62" customWidth="1"/>
    <col min="10757" max="10757" width="44.85546875" style="62" customWidth="1"/>
    <col min="10758" max="10758" width="54.7109375" style="62" customWidth="1"/>
    <col min="10759" max="10759" width="15.28515625" style="62" customWidth="1"/>
    <col min="10760" max="10761" width="19.28515625" style="62" customWidth="1"/>
    <col min="10762" max="10762" width="13.85546875" style="62" customWidth="1"/>
    <col min="10763" max="10763" width="25.28515625" style="62" customWidth="1"/>
    <col min="10764" max="10764" width="16.28515625" style="62" customWidth="1"/>
    <col min="10765" max="11009" width="9.28515625" style="62"/>
    <col min="11010" max="11010" width="15" style="62" customWidth="1"/>
    <col min="11011" max="11011" width="12.7109375" style="62" customWidth="1"/>
    <col min="11012" max="11012" width="11.7109375" style="62" customWidth="1"/>
    <col min="11013" max="11013" width="44.85546875" style="62" customWidth="1"/>
    <col min="11014" max="11014" width="54.7109375" style="62" customWidth="1"/>
    <col min="11015" max="11015" width="15.28515625" style="62" customWidth="1"/>
    <col min="11016" max="11017" width="19.28515625" style="62" customWidth="1"/>
    <col min="11018" max="11018" width="13.85546875" style="62" customWidth="1"/>
    <col min="11019" max="11019" width="25.28515625" style="62" customWidth="1"/>
    <col min="11020" max="11020" width="16.28515625" style="62" customWidth="1"/>
    <col min="11021" max="11265" width="9.28515625" style="62"/>
    <col min="11266" max="11266" width="15" style="62" customWidth="1"/>
    <col min="11267" max="11267" width="12.7109375" style="62" customWidth="1"/>
    <col min="11268" max="11268" width="11.7109375" style="62" customWidth="1"/>
    <col min="11269" max="11269" width="44.85546875" style="62" customWidth="1"/>
    <col min="11270" max="11270" width="54.7109375" style="62" customWidth="1"/>
    <col min="11271" max="11271" width="15.28515625" style="62" customWidth="1"/>
    <col min="11272" max="11273" width="19.28515625" style="62" customWidth="1"/>
    <col min="11274" max="11274" width="13.85546875" style="62" customWidth="1"/>
    <col min="11275" max="11275" width="25.28515625" style="62" customWidth="1"/>
    <col min="11276" max="11276" width="16.28515625" style="62" customWidth="1"/>
    <col min="11277" max="11521" width="9.28515625" style="62"/>
    <col min="11522" max="11522" width="15" style="62" customWidth="1"/>
    <col min="11523" max="11523" width="12.7109375" style="62" customWidth="1"/>
    <col min="11524" max="11524" width="11.7109375" style="62" customWidth="1"/>
    <col min="11525" max="11525" width="44.85546875" style="62" customWidth="1"/>
    <col min="11526" max="11526" width="54.7109375" style="62" customWidth="1"/>
    <col min="11527" max="11527" width="15.28515625" style="62" customWidth="1"/>
    <col min="11528" max="11529" width="19.28515625" style="62" customWidth="1"/>
    <col min="11530" max="11530" width="13.85546875" style="62" customWidth="1"/>
    <col min="11531" max="11531" width="25.28515625" style="62" customWidth="1"/>
    <col min="11532" max="11532" width="16.28515625" style="62" customWidth="1"/>
    <col min="11533" max="11777" width="9.28515625" style="62"/>
    <col min="11778" max="11778" width="15" style="62" customWidth="1"/>
    <col min="11779" max="11779" width="12.7109375" style="62" customWidth="1"/>
    <col min="11780" max="11780" width="11.7109375" style="62" customWidth="1"/>
    <col min="11781" max="11781" width="44.85546875" style="62" customWidth="1"/>
    <col min="11782" max="11782" width="54.7109375" style="62" customWidth="1"/>
    <col min="11783" max="11783" width="15.28515625" style="62" customWidth="1"/>
    <col min="11784" max="11785" width="19.28515625" style="62" customWidth="1"/>
    <col min="11786" max="11786" width="13.85546875" style="62" customWidth="1"/>
    <col min="11787" max="11787" width="25.28515625" style="62" customWidth="1"/>
    <col min="11788" max="11788" width="16.28515625" style="62" customWidth="1"/>
    <col min="11789" max="12033" width="9.28515625" style="62"/>
    <col min="12034" max="12034" width="15" style="62" customWidth="1"/>
    <col min="12035" max="12035" width="12.7109375" style="62" customWidth="1"/>
    <col min="12036" max="12036" width="11.7109375" style="62" customWidth="1"/>
    <col min="12037" max="12037" width="44.85546875" style="62" customWidth="1"/>
    <col min="12038" max="12038" width="54.7109375" style="62" customWidth="1"/>
    <col min="12039" max="12039" width="15.28515625" style="62" customWidth="1"/>
    <col min="12040" max="12041" width="19.28515625" style="62" customWidth="1"/>
    <col min="12042" max="12042" width="13.85546875" style="62" customWidth="1"/>
    <col min="12043" max="12043" width="25.28515625" style="62" customWidth="1"/>
    <col min="12044" max="12044" width="16.28515625" style="62" customWidth="1"/>
    <col min="12045" max="12289" width="9.28515625" style="62"/>
    <col min="12290" max="12290" width="15" style="62" customWidth="1"/>
    <col min="12291" max="12291" width="12.7109375" style="62" customWidth="1"/>
    <col min="12292" max="12292" width="11.7109375" style="62" customWidth="1"/>
    <col min="12293" max="12293" width="44.85546875" style="62" customWidth="1"/>
    <col min="12294" max="12294" width="54.7109375" style="62" customWidth="1"/>
    <col min="12295" max="12295" width="15.28515625" style="62" customWidth="1"/>
    <col min="12296" max="12297" width="19.28515625" style="62" customWidth="1"/>
    <col min="12298" max="12298" width="13.85546875" style="62" customWidth="1"/>
    <col min="12299" max="12299" width="25.28515625" style="62" customWidth="1"/>
    <col min="12300" max="12300" width="16.28515625" style="62" customWidth="1"/>
    <col min="12301" max="12545" width="9.28515625" style="62"/>
    <col min="12546" max="12546" width="15" style="62" customWidth="1"/>
    <col min="12547" max="12547" width="12.7109375" style="62" customWidth="1"/>
    <col min="12548" max="12548" width="11.7109375" style="62" customWidth="1"/>
    <col min="12549" max="12549" width="44.85546875" style="62" customWidth="1"/>
    <col min="12550" max="12550" width="54.7109375" style="62" customWidth="1"/>
    <col min="12551" max="12551" width="15.28515625" style="62" customWidth="1"/>
    <col min="12552" max="12553" width="19.28515625" style="62" customWidth="1"/>
    <col min="12554" max="12554" width="13.85546875" style="62" customWidth="1"/>
    <col min="12555" max="12555" width="25.28515625" style="62" customWidth="1"/>
    <col min="12556" max="12556" width="16.28515625" style="62" customWidth="1"/>
    <col min="12557" max="12801" width="9.28515625" style="62"/>
    <col min="12802" max="12802" width="15" style="62" customWidth="1"/>
    <col min="12803" max="12803" width="12.7109375" style="62" customWidth="1"/>
    <col min="12804" max="12804" width="11.7109375" style="62" customWidth="1"/>
    <col min="12805" max="12805" width="44.85546875" style="62" customWidth="1"/>
    <col min="12806" max="12806" width="54.7109375" style="62" customWidth="1"/>
    <col min="12807" max="12807" width="15.28515625" style="62" customWidth="1"/>
    <col min="12808" max="12809" width="19.28515625" style="62" customWidth="1"/>
    <col min="12810" max="12810" width="13.85546875" style="62" customWidth="1"/>
    <col min="12811" max="12811" width="25.28515625" style="62" customWidth="1"/>
    <col min="12812" max="12812" width="16.28515625" style="62" customWidth="1"/>
    <col min="12813" max="13057" width="9.28515625" style="62"/>
    <col min="13058" max="13058" width="15" style="62" customWidth="1"/>
    <col min="13059" max="13059" width="12.7109375" style="62" customWidth="1"/>
    <col min="13060" max="13060" width="11.7109375" style="62" customWidth="1"/>
    <col min="13061" max="13061" width="44.85546875" style="62" customWidth="1"/>
    <col min="13062" max="13062" width="54.7109375" style="62" customWidth="1"/>
    <col min="13063" max="13063" width="15.28515625" style="62" customWidth="1"/>
    <col min="13064" max="13065" width="19.28515625" style="62" customWidth="1"/>
    <col min="13066" max="13066" width="13.85546875" style="62" customWidth="1"/>
    <col min="13067" max="13067" width="25.28515625" style="62" customWidth="1"/>
    <col min="13068" max="13068" width="16.28515625" style="62" customWidth="1"/>
    <col min="13069" max="13313" width="9.28515625" style="62"/>
    <col min="13314" max="13314" width="15" style="62" customWidth="1"/>
    <col min="13315" max="13315" width="12.7109375" style="62" customWidth="1"/>
    <col min="13316" max="13316" width="11.7109375" style="62" customWidth="1"/>
    <col min="13317" max="13317" width="44.85546875" style="62" customWidth="1"/>
    <col min="13318" max="13318" width="54.7109375" style="62" customWidth="1"/>
    <col min="13319" max="13319" width="15.28515625" style="62" customWidth="1"/>
    <col min="13320" max="13321" width="19.28515625" style="62" customWidth="1"/>
    <col min="13322" max="13322" width="13.85546875" style="62" customWidth="1"/>
    <col min="13323" max="13323" width="25.28515625" style="62" customWidth="1"/>
    <col min="13324" max="13324" width="16.28515625" style="62" customWidth="1"/>
    <col min="13325" max="13569" width="9.28515625" style="62"/>
    <col min="13570" max="13570" width="15" style="62" customWidth="1"/>
    <col min="13571" max="13571" width="12.7109375" style="62" customWidth="1"/>
    <col min="13572" max="13572" width="11.7109375" style="62" customWidth="1"/>
    <col min="13573" max="13573" width="44.85546875" style="62" customWidth="1"/>
    <col min="13574" max="13574" width="54.7109375" style="62" customWidth="1"/>
    <col min="13575" max="13575" width="15.28515625" style="62" customWidth="1"/>
    <col min="13576" max="13577" width="19.28515625" style="62" customWidth="1"/>
    <col min="13578" max="13578" width="13.85546875" style="62" customWidth="1"/>
    <col min="13579" max="13579" width="25.28515625" style="62" customWidth="1"/>
    <col min="13580" max="13580" width="16.28515625" style="62" customWidth="1"/>
    <col min="13581" max="13825" width="9.28515625" style="62"/>
    <col min="13826" max="13826" width="15" style="62" customWidth="1"/>
    <col min="13827" max="13827" width="12.7109375" style="62" customWidth="1"/>
    <col min="13828" max="13828" width="11.7109375" style="62" customWidth="1"/>
    <col min="13829" max="13829" width="44.85546875" style="62" customWidth="1"/>
    <col min="13830" max="13830" width="54.7109375" style="62" customWidth="1"/>
    <col min="13831" max="13831" width="15.28515625" style="62" customWidth="1"/>
    <col min="13832" max="13833" width="19.28515625" style="62" customWidth="1"/>
    <col min="13834" max="13834" width="13.85546875" style="62" customWidth="1"/>
    <col min="13835" max="13835" width="25.28515625" style="62" customWidth="1"/>
    <col min="13836" max="13836" width="16.28515625" style="62" customWidth="1"/>
    <col min="13837" max="14081" width="9.28515625" style="62"/>
    <col min="14082" max="14082" width="15" style="62" customWidth="1"/>
    <col min="14083" max="14083" width="12.7109375" style="62" customWidth="1"/>
    <col min="14084" max="14084" width="11.7109375" style="62" customWidth="1"/>
    <col min="14085" max="14085" width="44.85546875" style="62" customWidth="1"/>
    <col min="14086" max="14086" width="54.7109375" style="62" customWidth="1"/>
    <col min="14087" max="14087" width="15.28515625" style="62" customWidth="1"/>
    <col min="14088" max="14089" width="19.28515625" style="62" customWidth="1"/>
    <col min="14090" max="14090" width="13.85546875" style="62" customWidth="1"/>
    <col min="14091" max="14091" width="25.28515625" style="62" customWidth="1"/>
    <col min="14092" max="14092" width="16.28515625" style="62" customWidth="1"/>
    <col min="14093" max="14337" width="9.28515625" style="62"/>
    <col min="14338" max="14338" width="15" style="62" customWidth="1"/>
    <col min="14339" max="14339" width="12.7109375" style="62" customWidth="1"/>
    <col min="14340" max="14340" width="11.7109375" style="62" customWidth="1"/>
    <col min="14341" max="14341" width="44.85546875" style="62" customWidth="1"/>
    <col min="14342" max="14342" width="54.7109375" style="62" customWidth="1"/>
    <col min="14343" max="14343" width="15.28515625" style="62" customWidth="1"/>
    <col min="14344" max="14345" width="19.28515625" style="62" customWidth="1"/>
    <col min="14346" max="14346" width="13.85546875" style="62" customWidth="1"/>
    <col min="14347" max="14347" width="25.28515625" style="62" customWidth="1"/>
    <col min="14348" max="14348" width="16.28515625" style="62" customWidth="1"/>
    <col min="14349" max="14593" width="9.28515625" style="62"/>
    <col min="14594" max="14594" width="15" style="62" customWidth="1"/>
    <col min="14595" max="14595" width="12.7109375" style="62" customWidth="1"/>
    <col min="14596" max="14596" width="11.7109375" style="62" customWidth="1"/>
    <col min="14597" max="14597" width="44.85546875" style="62" customWidth="1"/>
    <col min="14598" max="14598" width="54.7109375" style="62" customWidth="1"/>
    <col min="14599" max="14599" width="15.28515625" style="62" customWidth="1"/>
    <col min="14600" max="14601" width="19.28515625" style="62" customWidth="1"/>
    <col min="14602" max="14602" width="13.85546875" style="62" customWidth="1"/>
    <col min="14603" max="14603" width="25.28515625" style="62" customWidth="1"/>
    <col min="14604" max="14604" width="16.28515625" style="62" customWidth="1"/>
    <col min="14605" max="14849" width="9.28515625" style="62"/>
    <col min="14850" max="14850" width="15" style="62" customWidth="1"/>
    <col min="14851" max="14851" width="12.7109375" style="62" customWidth="1"/>
    <col min="14852" max="14852" width="11.7109375" style="62" customWidth="1"/>
    <col min="14853" max="14853" width="44.85546875" style="62" customWidth="1"/>
    <col min="14854" max="14854" width="54.7109375" style="62" customWidth="1"/>
    <col min="14855" max="14855" width="15.28515625" style="62" customWidth="1"/>
    <col min="14856" max="14857" width="19.28515625" style="62" customWidth="1"/>
    <col min="14858" max="14858" width="13.85546875" style="62" customWidth="1"/>
    <col min="14859" max="14859" width="25.28515625" style="62" customWidth="1"/>
    <col min="14860" max="14860" width="16.28515625" style="62" customWidth="1"/>
    <col min="14861" max="15105" width="9.28515625" style="62"/>
    <col min="15106" max="15106" width="15" style="62" customWidth="1"/>
    <col min="15107" max="15107" width="12.7109375" style="62" customWidth="1"/>
    <col min="15108" max="15108" width="11.7109375" style="62" customWidth="1"/>
    <col min="15109" max="15109" width="44.85546875" style="62" customWidth="1"/>
    <col min="15110" max="15110" width="54.7109375" style="62" customWidth="1"/>
    <col min="15111" max="15111" width="15.28515625" style="62" customWidth="1"/>
    <col min="15112" max="15113" width="19.28515625" style="62" customWidth="1"/>
    <col min="15114" max="15114" width="13.85546875" style="62" customWidth="1"/>
    <col min="15115" max="15115" width="25.28515625" style="62" customWidth="1"/>
    <col min="15116" max="15116" width="16.28515625" style="62" customWidth="1"/>
    <col min="15117" max="15361" width="9.28515625" style="62"/>
    <col min="15362" max="15362" width="15" style="62" customWidth="1"/>
    <col min="15363" max="15363" width="12.7109375" style="62" customWidth="1"/>
    <col min="15364" max="15364" width="11.7109375" style="62" customWidth="1"/>
    <col min="15365" max="15365" width="44.85546875" style="62" customWidth="1"/>
    <col min="15366" max="15366" width="54.7109375" style="62" customWidth="1"/>
    <col min="15367" max="15367" width="15.28515625" style="62" customWidth="1"/>
    <col min="15368" max="15369" width="19.28515625" style="62" customWidth="1"/>
    <col min="15370" max="15370" width="13.85546875" style="62" customWidth="1"/>
    <col min="15371" max="15371" width="25.28515625" style="62" customWidth="1"/>
    <col min="15372" max="15372" width="16.28515625" style="62" customWidth="1"/>
    <col min="15373" max="15617" width="9.28515625" style="62"/>
    <col min="15618" max="15618" width="15" style="62" customWidth="1"/>
    <col min="15619" max="15619" width="12.7109375" style="62" customWidth="1"/>
    <col min="15620" max="15620" width="11.7109375" style="62" customWidth="1"/>
    <col min="15621" max="15621" width="44.85546875" style="62" customWidth="1"/>
    <col min="15622" max="15622" width="54.7109375" style="62" customWidth="1"/>
    <col min="15623" max="15623" width="15.28515625" style="62" customWidth="1"/>
    <col min="15624" max="15625" width="19.28515625" style="62" customWidth="1"/>
    <col min="15626" max="15626" width="13.85546875" style="62" customWidth="1"/>
    <col min="15627" max="15627" width="25.28515625" style="62" customWidth="1"/>
    <col min="15628" max="15628" width="16.28515625" style="62" customWidth="1"/>
    <col min="15629" max="15873" width="9.28515625" style="62"/>
    <col min="15874" max="15874" width="15" style="62" customWidth="1"/>
    <col min="15875" max="15875" width="12.7109375" style="62" customWidth="1"/>
    <col min="15876" max="15876" width="11.7109375" style="62" customWidth="1"/>
    <col min="15877" max="15877" width="44.85546875" style="62" customWidth="1"/>
    <col min="15878" max="15878" width="54.7109375" style="62" customWidth="1"/>
    <col min="15879" max="15879" width="15.28515625" style="62" customWidth="1"/>
    <col min="15880" max="15881" width="19.28515625" style="62" customWidth="1"/>
    <col min="15882" max="15882" width="13.85546875" style="62" customWidth="1"/>
    <col min="15883" max="15883" width="25.28515625" style="62" customWidth="1"/>
    <col min="15884" max="15884" width="16.28515625" style="62" customWidth="1"/>
    <col min="15885" max="16129" width="9.28515625" style="62"/>
    <col min="16130" max="16130" width="15" style="62" customWidth="1"/>
    <col min="16131" max="16131" width="12.7109375" style="62" customWidth="1"/>
    <col min="16132" max="16132" width="11.7109375" style="62" customWidth="1"/>
    <col min="16133" max="16133" width="44.85546875" style="62" customWidth="1"/>
    <col min="16134" max="16134" width="54.7109375" style="62" customWidth="1"/>
    <col min="16135" max="16135" width="15.28515625" style="62" customWidth="1"/>
    <col min="16136" max="16137" width="19.28515625" style="62" customWidth="1"/>
    <col min="16138" max="16138" width="13.85546875" style="62" customWidth="1"/>
    <col min="16139" max="16139" width="25.28515625" style="62" customWidth="1"/>
    <col min="16140" max="16140" width="16.28515625" style="62" customWidth="1"/>
    <col min="16141" max="16384" width="9.28515625" style="62"/>
  </cols>
  <sheetData>
    <row r="1" spans="1:12" ht="15.75" x14ac:dyDescent="0.25">
      <c r="J1" s="826" t="s">
        <v>397</v>
      </c>
      <c r="K1" s="4"/>
    </row>
    <row r="2" spans="1:12" ht="15.75" x14ac:dyDescent="0.25">
      <c r="J2" s="826" t="s">
        <v>453</v>
      </c>
      <c r="K2" s="4"/>
    </row>
    <row r="3" spans="1:12" ht="15.75" x14ac:dyDescent="0.25">
      <c r="J3" s="1186" t="s">
        <v>619</v>
      </c>
      <c r="K3" s="1186"/>
    </row>
    <row r="4" spans="1:12" ht="15.75" x14ac:dyDescent="0.25">
      <c r="J4" s="827" t="s">
        <v>749</v>
      </c>
      <c r="K4" s="453"/>
    </row>
    <row r="5" spans="1:12" ht="15.75" x14ac:dyDescent="0.25">
      <c r="J5" s="6" t="s">
        <v>750</v>
      </c>
      <c r="K5" s="453"/>
    </row>
    <row r="6" spans="1:12" ht="15.75" x14ac:dyDescent="0.25">
      <c r="I6" s="1186"/>
      <c r="J6" s="1186"/>
      <c r="K6" s="826"/>
    </row>
    <row r="7" spans="1:12" ht="15.75" x14ac:dyDescent="0.25">
      <c r="G7" s="66"/>
      <c r="H7" s="66"/>
      <c r="I7" s="67"/>
      <c r="L7" s="62"/>
    </row>
    <row r="8" spans="1:12" ht="15.75" x14ac:dyDescent="0.25">
      <c r="G8" s="66"/>
      <c r="H8" s="66"/>
      <c r="I8" s="67"/>
      <c r="L8" s="62"/>
    </row>
    <row r="9" spans="1:12" ht="15.75" x14ac:dyDescent="0.25">
      <c r="G9" s="66"/>
      <c r="H9" s="66"/>
      <c r="I9" s="108"/>
      <c r="L9" s="62"/>
    </row>
    <row r="10" spans="1:12" ht="20.25" x14ac:dyDescent="0.25">
      <c r="A10" s="1336" t="s">
        <v>697</v>
      </c>
      <c r="B10" s="1336"/>
      <c r="C10" s="1336"/>
      <c r="D10" s="1336"/>
      <c r="E10" s="1336"/>
      <c r="F10" s="1336"/>
      <c r="G10" s="1336"/>
      <c r="H10" s="1336"/>
      <c r="I10" s="1336"/>
      <c r="J10" s="1336"/>
      <c r="K10" s="1336"/>
      <c r="L10" s="1336"/>
    </row>
    <row r="11" spans="1:12" ht="18.75" x14ac:dyDescent="0.25">
      <c r="A11" s="1317">
        <v>1559100000</v>
      </c>
      <c r="B11" s="1317"/>
      <c r="C11" s="1317"/>
      <c r="D11" s="1318"/>
      <c r="E11" s="1318"/>
      <c r="F11" s="1318"/>
      <c r="G11" s="1318"/>
      <c r="H11" s="1318"/>
      <c r="I11" s="1318"/>
      <c r="J11" s="1318"/>
      <c r="K11" s="1318"/>
      <c r="L11" s="1318"/>
    </row>
    <row r="12" spans="1:12" ht="19.5" thickBot="1" x14ac:dyDescent="0.3">
      <c r="A12" s="1305" t="s">
        <v>0</v>
      </c>
      <c r="B12" s="1305"/>
      <c r="C12" s="1305"/>
      <c r="D12" s="829"/>
      <c r="E12" s="829"/>
      <c r="F12" s="70"/>
      <c r="G12" s="829"/>
      <c r="H12" s="829"/>
      <c r="I12" s="829"/>
      <c r="J12" s="829"/>
      <c r="K12" s="829"/>
      <c r="L12" s="71" t="s">
        <v>235</v>
      </c>
    </row>
    <row r="13" spans="1:12" s="67" customFormat="1" ht="77.25" customHeight="1" x14ac:dyDescent="0.25">
      <c r="A13" s="1334" t="s">
        <v>8</v>
      </c>
      <c r="B13" s="1308" t="s">
        <v>9</v>
      </c>
      <c r="C13" s="1308" t="s">
        <v>236</v>
      </c>
      <c r="D13" s="1308" t="s">
        <v>237</v>
      </c>
      <c r="E13" s="1308" t="s">
        <v>454</v>
      </c>
      <c r="F13" s="1308" t="s">
        <v>738</v>
      </c>
      <c r="G13" s="1308" t="s">
        <v>238</v>
      </c>
      <c r="H13" s="1310" t="s">
        <v>239</v>
      </c>
      <c r="I13" s="1308" t="s">
        <v>240</v>
      </c>
      <c r="J13" s="1310" t="s">
        <v>241</v>
      </c>
      <c r="K13" s="1310" t="s">
        <v>698</v>
      </c>
      <c r="L13" s="1312" t="s">
        <v>242</v>
      </c>
    </row>
    <row r="14" spans="1:12" s="67" customFormat="1" ht="95.25" customHeight="1" thickBot="1" x14ac:dyDescent="0.3">
      <c r="A14" s="1335"/>
      <c r="B14" s="1309"/>
      <c r="C14" s="1309"/>
      <c r="D14" s="1309"/>
      <c r="E14" s="1309"/>
      <c r="F14" s="1309"/>
      <c r="G14" s="1309"/>
      <c r="H14" s="1311"/>
      <c r="I14" s="1309"/>
      <c r="J14" s="1311"/>
      <c r="K14" s="1311"/>
      <c r="L14" s="1313"/>
    </row>
    <row r="15" spans="1:12" s="73" customFormat="1" ht="24" customHeight="1" thickBot="1" x14ac:dyDescent="0.3">
      <c r="A15" s="1096" t="s">
        <v>243</v>
      </c>
      <c r="B15" s="1097" t="s">
        <v>244</v>
      </c>
      <c r="C15" s="1097" t="s">
        <v>245</v>
      </c>
      <c r="D15" s="1097" t="s">
        <v>400</v>
      </c>
      <c r="E15" s="1097" t="s">
        <v>246</v>
      </c>
      <c r="F15" s="1097" t="s">
        <v>247</v>
      </c>
      <c r="G15" s="1097" t="s">
        <v>248</v>
      </c>
      <c r="H15" s="1097" t="s">
        <v>249</v>
      </c>
      <c r="I15" s="1097" t="s">
        <v>250</v>
      </c>
      <c r="J15" s="1098">
        <v>10</v>
      </c>
      <c r="K15" s="1098">
        <v>11</v>
      </c>
      <c r="L15" s="1099">
        <v>12</v>
      </c>
    </row>
    <row r="16" spans="1:12" s="73" customFormat="1" ht="41.25" thickBot="1" x14ac:dyDescent="0.3">
      <c r="A16" s="392" t="s">
        <v>13</v>
      </c>
      <c r="B16" s="376"/>
      <c r="C16" s="376"/>
      <c r="D16" s="1080" t="s">
        <v>455</v>
      </c>
      <c r="E16" s="1050"/>
      <c r="F16" s="75"/>
      <c r="G16" s="378"/>
      <c r="H16" s="378"/>
      <c r="I16" s="378"/>
      <c r="J16" s="830">
        <f>J17</f>
        <v>23422413</v>
      </c>
      <c r="K16" s="831">
        <f>K17</f>
        <v>23289184.02</v>
      </c>
      <c r="L16" s="374"/>
    </row>
    <row r="17" spans="1:12" s="73" customFormat="1" ht="40.5" x14ac:dyDescent="0.25">
      <c r="A17" s="1058" t="s">
        <v>15</v>
      </c>
      <c r="B17" s="1132"/>
      <c r="C17" s="1132"/>
      <c r="D17" s="1133" t="s">
        <v>447</v>
      </c>
      <c r="E17" s="1134"/>
      <c r="F17" s="1135"/>
      <c r="G17" s="1136"/>
      <c r="H17" s="1136"/>
      <c r="I17" s="1136"/>
      <c r="J17" s="1063">
        <f>SUM(J18:J24)</f>
        <v>23422413</v>
      </c>
      <c r="K17" s="1137">
        <f>SUM(K18:K24)</f>
        <v>23289184.02</v>
      </c>
      <c r="L17" s="1064"/>
    </row>
    <row r="18" spans="1:12" s="73" customFormat="1" ht="40.5" x14ac:dyDescent="0.25">
      <c r="A18" s="1100" t="s">
        <v>17</v>
      </c>
      <c r="B18" s="1101" t="s">
        <v>18</v>
      </c>
      <c r="C18" s="1101" t="s">
        <v>19</v>
      </c>
      <c r="D18" s="1102" t="s">
        <v>20</v>
      </c>
      <c r="E18" s="1102" t="s">
        <v>456</v>
      </c>
      <c r="F18" s="929"/>
      <c r="G18" s="400"/>
      <c r="H18" s="400"/>
      <c r="I18" s="400"/>
      <c r="J18" s="718">
        <f>1548687-1468793</f>
        <v>79894</v>
      </c>
      <c r="K18" s="400">
        <v>79893.919999999998</v>
      </c>
      <c r="L18" s="1054"/>
    </row>
    <row r="19" spans="1:12" s="73" customFormat="1" ht="60.75" x14ac:dyDescent="0.25">
      <c r="A19" s="386" t="s">
        <v>21</v>
      </c>
      <c r="B19" s="387" t="s">
        <v>22</v>
      </c>
      <c r="C19" s="80" t="s">
        <v>23</v>
      </c>
      <c r="D19" s="1081" t="s">
        <v>24</v>
      </c>
      <c r="E19" s="1036" t="s">
        <v>456</v>
      </c>
      <c r="F19" s="931"/>
      <c r="G19" s="76"/>
      <c r="H19" s="76"/>
      <c r="I19" s="76"/>
      <c r="J19" s="77">
        <f>173298+86600</f>
        <v>259898</v>
      </c>
      <c r="K19" s="76">
        <v>230802</v>
      </c>
      <c r="L19" s="1055"/>
    </row>
    <row r="20" spans="1:12" s="73" customFormat="1" ht="40.5" x14ac:dyDescent="0.25">
      <c r="A20" s="386" t="s">
        <v>28</v>
      </c>
      <c r="B20" s="387" t="s">
        <v>29</v>
      </c>
      <c r="C20" s="80" t="s">
        <v>30</v>
      </c>
      <c r="D20" s="1081" t="s">
        <v>598</v>
      </c>
      <c r="E20" s="1037" t="s">
        <v>251</v>
      </c>
      <c r="F20" s="931"/>
      <c r="G20" s="76"/>
      <c r="H20" s="76"/>
      <c r="I20" s="76"/>
      <c r="J20" s="77">
        <f>657194+26604</f>
        <v>683798</v>
      </c>
      <c r="K20" s="76">
        <v>683797.5</v>
      </c>
      <c r="L20" s="1055"/>
    </row>
    <row r="21" spans="1:12" s="73" customFormat="1" ht="40.5" x14ac:dyDescent="0.25">
      <c r="A21" s="371" t="s">
        <v>215</v>
      </c>
      <c r="B21" s="80">
        <v>7650</v>
      </c>
      <c r="C21" s="80" t="s">
        <v>152</v>
      </c>
      <c r="D21" s="1081" t="s">
        <v>216</v>
      </c>
      <c r="E21" s="1036" t="s">
        <v>252</v>
      </c>
      <c r="F21" s="931"/>
      <c r="G21" s="76"/>
      <c r="H21" s="76"/>
      <c r="I21" s="76"/>
      <c r="J21" s="77">
        <v>57000</v>
      </c>
      <c r="K21" s="76">
        <v>9200</v>
      </c>
      <c r="L21" s="1055"/>
    </row>
    <row r="22" spans="1:12" s="73" customFormat="1" ht="81" x14ac:dyDescent="0.25">
      <c r="A22" s="371" t="s">
        <v>217</v>
      </c>
      <c r="B22" s="80" t="s">
        <v>218</v>
      </c>
      <c r="C22" s="80" t="s">
        <v>152</v>
      </c>
      <c r="D22" s="1081" t="s">
        <v>219</v>
      </c>
      <c r="E22" s="1036" t="s">
        <v>252</v>
      </c>
      <c r="F22" s="931"/>
      <c r="G22" s="76"/>
      <c r="H22" s="76"/>
      <c r="I22" s="76"/>
      <c r="J22" s="77">
        <v>15200</v>
      </c>
      <c r="K22" s="76">
        <v>0</v>
      </c>
      <c r="L22" s="1055"/>
    </row>
    <row r="23" spans="1:12" s="73" customFormat="1" ht="40.5" x14ac:dyDescent="0.25">
      <c r="A23" s="371" t="s">
        <v>457</v>
      </c>
      <c r="B23" s="80" t="s">
        <v>458</v>
      </c>
      <c r="C23" s="80" t="s">
        <v>34</v>
      </c>
      <c r="D23" s="1081" t="s">
        <v>459</v>
      </c>
      <c r="E23" s="1037" t="s">
        <v>251</v>
      </c>
      <c r="F23" s="931"/>
      <c r="G23" s="76"/>
      <c r="H23" s="76"/>
      <c r="I23" s="76"/>
      <c r="J23" s="77">
        <f>400444-216846</f>
        <v>183598</v>
      </c>
      <c r="K23" s="76">
        <v>183597.6</v>
      </c>
      <c r="L23" s="1055"/>
    </row>
    <row r="24" spans="1:12" s="73" customFormat="1" ht="61.5" thickBot="1" x14ac:dyDescent="0.3">
      <c r="A24" s="934" t="s">
        <v>599</v>
      </c>
      <c r="B24" s="936" t="s">
        <v>600</v>
      </c>
      <c r="C24" s="928" t="s">
        <v>197</v>
      </c>
      <c r="D24" s="1082" t="s">
        <v>592</v>
      </c>
      <c r="E24" s="1043" t="s">
        <v>601</v>
      </c>
      <c r="F24" s="928"/>
      <c r="G24" s="389"/>
      <c r="H24" s="389"/>
      <c r="I24" s="389"/>
      <c r="J24" s="1103">
        <f>4560280+13196000+4636745-250000</f>
        <v>22143025</v>
      </c>
      <c r="K24" s="389">
        <v>22101893</v>
      </c>
      <c r="L24" s="1056"/>
    </row>
    <row r="25" spans="1:12" s="73" customFormat="1" ht="41.25" thickBot="1" x14ac:dyDescent="0.3">
      <c r="A25" s="392" t="s">
        <v>40</v>
      </c>
      <c r="B25" s="393"/>
      <c r="C25" s="393"/>
      <c r="D25" s="1083" t="s">
        <v>460</v>
      </c>
      <c r="E25" s="1039"/>
      <c r="F25" s="394"/>
      <c r="G25" s="395"/>
      <c r="H25" s="395"/>
      <c r="I25" s="395"/>
      <c r="J25" s="388">
        <f>J26</f>
        <v>5071553</v>
      </c>
      <c r="K25" s="388">
        <f>K26</f>
        <v>4810234</v>
      </c>
      <c r="L25" s="374"/>
    </row>
    <row r="26" spans="1:12" s="73" customFormat="1" ht="40.5" x14ac:dyDescent="0.25">
      <c r="A26" s="1058" t="s">
        <v>40</v>
      </c>
      <c r="B26" s="1059"/>
      <c r="C26" s="1059"/>
      <c r="D26" s="1084" t="s">
        <v>460</v>
      </c>
      <c r="E26" s="1060"/>
      <c r="F26" s="1061"/>
      <c r="G26" s="1062"/>
      <c r="H26" s="1062"/>
      <c r="I26" s="1062"/>
      <c r="J26" s="1063">
        <f>J28+J31+J32+J33+J29+J30+J27</f>
        <v>5071553</v>
      </c>
      <c r="K26" s="1063">
        <f>K28+K31+K32+K33+K29+K30+K27</f>
        <v>4810234</v>
      </c>
      <c r="L26" s="1064"/>
    </row>
    <row r="27" spans="1:12" s="73" customFormat="1" ht="66" customHeight="1" x14ac:dyDescent="0.25">
      <c r="A27" s="1104" t="s">
        <v>155</v>
      </c>
      <c r="B27" s="832" t="s">
        <v>42</v>
      </c>
      <c r="C27" s="1057" t="s">
        <v>16</v>
      </c>
      <c r="D27" s="1086" t="s">
        <v>156</v>
      </c>
      <c r="E27" s="1049" t="s">
        <v>251</v>
      </c>
      <c r="F27" s="396"/>
      <c r="G27" s="397"/>
      <c r="H27" s="397"/>
      <c r="I27" s="397"/>
      <c r="J27" s="718">
        <f>0+49510</f>
        <v>49510</v>
      </c>
      <c r="K27" s="400">
        <v>49510</v>
      </c>
      <c r="L27" s="1054"/>
    </row>
    <row r="28" spans="1:12" s="73" customFormat="1" ht="68.25" customHeight="1" x14ac:dyDescent="0.25">
      <c r="A28" s="78" t="s">
        <v>43</v>
      </c>
      <c r="B28" s="79" t="s">
        <v>44</v>
      </c>
      <c r="C28" s="79" t="s">
        <v>45</v>
      </c>
      <c r="D28" s="1081" t="s">
        <v>46</v>
      </c>
      <c r="E28" s="1040" t="s">
        <v>251</v>
      </c>
      <c r="F28" s="81"/>
      <c r="G28" s="82"/>
      <c r="H28" s="82"/>
      <c r="I28" s="82"/>
      <c r="J28" s="77">
        <f>61425+156583</f>
        <v>218008</v>
      </c>
      <c r="K28" s="76">
        <v>218008</v>
      </c>
      <c r="L28" s="1055"/>
    </row>
    <row r="29" spans="1:12" s="73" customFormat="1" ht="89.25" customHeight="1" x14ac:dyDescent="0.25">
      <c r="A29" s="371" t="s">
        <v>47</v>
      </c>
      <c r="B29" s="79">
        <v>1021</v>
      </c>
      <c r="C29" s="80" t="s">
        <v>49</v>
      </c>
      <c r="D29" s="1081" t="s">
        <v>472</v>
      </c>
      <c r="E29" s="1040" t="s">
        <v>251</v>
      </c>
      <c r="F29" s="81"/>
      <c r="G29" s="82"/>
      <c r="H29" s="82"/>
      <c r="I29" s="82"/>
      <c r="J29" s="77">
        <f>703463+124530</f>
        <v>827993</v>
      </c>
      <c r="K29" s="76">
        <v>806629</v>
      </c>
      <c r="L29" s="1055"/>
    </row>
    <row r="30" spans="1:12" s="73" customFormat="1" ht="117" customHeight="1" x14ac:dyDescent="0.25">
      <c r="A30" s="371" t="s">
        <v>51</v>
      </c>
      <c r="B30" s="79">
        <v>1070</v>
      </c>
      <c r="C30" s="924" t="s">
        <v>53</v>
      </c>
      <c r="D30" s="1081" t="s">
        <v>54</v>
      </c>
      <c r="E30" s="1040" t="s">
        <v>251</v>
      </c>
      <c r="F30" s="81"/>
      <c r="G30" s="82"/>
      <c r="H30" s="82"/>
      <c r="I30" s="82"/>
      <c r="J30" s="77">
        <f>0+43899</f>
        <v>43899</v>
      </c>
      <c r="K30" s="76">
        <v>43899</v>
      </c>
      <c r="L30" s="1055"/>
    </row>
    <row r="31" spans="1:12" s="73" customFormat="1" ht="138.75" customHeight="1" x14ac:dyDescent="0.25">
      <c r="A31" s="371" t="s">
        <v>461</v>
      </c>
      <c r="B31" s="80" t="s">
        <v>462</v>
      </c>
      <c r="C31" s="80" t="s">
        <v>55</v>
      </c>
      <c r="D31" s="1040" t="s">
        <v>463</v>
      </c>
      <c r="E31" s="1040" t="s">
        <v>251</v>
      </c>
      <c r="F31" s="931"/>
      <c r="G31" s="76"/>
      <c r="H31" s="76"/>
      <c r="I31" s="76"/>
      <c r="J31" s="77">
        <v>579643</v>
      </c>
      <c r="K31" s="76">
        <v>507656.4</v>
      </c>
      <c r="L31" s="1055"/>
    </row>
    <row r="32" spans="1:12" s="73" customFormat="1" ht="138.75" customHeight="1" x14ac:dyDescent="0.25">
      <c r="A32" s="371" t="s">
        <v>464</v>
      </c>
      <c r="B32" s="80" t="s">
        <v>465</v>
      </c>
      <c r="C32" s="80" t="s">
        <v>55</v>
      </c>
      <c r="D32" s="1040" t="s">
        <v>466</v>
      </c>
      <c r="E32" s="1040" t="s">
        <v>251</v>
      </c>
      <c r="F32" s="931"/>
      <c r="G32" s="76"/>
      <c r="H32" s="76"/>
      <c r="I32" s="76"/>
      <c r="J32" s="77">
        <v>1352500</v>
      </c>
      <c r="K32" s="76">
        <v>1184531.6000000001</v>
      </c>
      <c r="L32" s="1055"/>
    </row>
    <row r="33" spans="1:12" s="73" customFormat="1" ht="91.5" customHeight="1" thickBot="1" x14ac:dyDescent="0.3">
      <c r="A33" s="1105" t="s">
        <v>595</v>
      </c>
      <c r="B33" s="932">
        <v>9750</v>
      </c>
      <c r="C33" s="928" t="s">
        <v>197</v>
      </c>
      <c r="D33" s="1106" t="s">
        <v>596</v>
      </c>
      <c r="E33" s="1043" t="s">
        <v>601</v>
      </c>
      <c r="F33" s="928"/>
      <c r="G33" s="389"/>
      <c r="H33" s="389"/>
      <c r="I33" s="389"/>
      <c r="J33" s="834">
        <v>2000000</v>
      </c>
      <c r="K33" s="389">
        <v>2000000</v>
      </c>
      <c r="L33" s="1056"/>
    </row>
    <row r="34" spans="1:12" s="73" customFormat="1" ht="70.5" customHeight="1" thickBot="1" x14ac:dyDescent="0.3">
      <c r="A34" s="398" t="s">
        <v>66</v>
      </c>
      <c r="B34" s="399" t="s">
        <v>14</v>
      </c>
      <c r="C34" s="399" t="s">
        <v>14</v>
      </c>
      <c r="D34" s="1083" t="s">
        <v>439</v>
      </c>
      <c r="E34" s="1039"/>
      <c r="F34" s="394"/>
      <c r="G34" s="395"/>
      <c r="H34" s="395"/>
      <c r="I34" s="395"/>
      <c r="J34" s="388">
        <f>J35</f>
        <v>2927026</v>
      </c>
      <c r="K34" s="388">
        <f>K35</f>
        <v>2891658.6999999997</v>
      </c>
      <c r="L34" s="374"/>
    </row>
    <row r="35" spans="1:12" s="73" customFormat="1" ht="86.25" customHeight="1" x14ac:dyDescent="0.25">
      <c r="A35" s="1138" t="s">
        <v>67</v>
      </c>
      <c r="B35" s="1139" t="s">
        <v>14</v>
      </c>
      <c r="C35" s="1139" t="s">
        <v>14</v>
      </c>
      <c r="D35" s="1140" t="s">
        <v>439</v>
      </c>
      <c r="E35" s="1141"/>
      <c r="F35" s="1073"/>
      <c r="G35" s="1074"/>
      <c r="H35" s="1074"/>
      <c r="I35" s="1074"/>
      <c r="J35" s="1063">
        <f>J36+J38+J37</f>
        <v>2927026</v>
      </c>
      <c r="K35" s="1063">
        <f>K36+K38+K37</f>
        <v>2891658.6999999997</v>
      </c>
      <c r="L35" s="1064"/>
    </row>
    <row r="36" spans="1:12" s="73" customFormat="1" ht="74.25" customHeight="1" x14ac:dyDescent="0.25">
      <c r="A36" s="1104" t="s">
        <v>163</v>
      </c>
      <c r="B36" s="1057" t="s">
        <v>164</v>
      </c>
      <c r="C36" s="1057" t="s">
        <v>44</v>
      </c>
      <c r="D36" s="1086" t="s">
        <v>165</v>
      </c>
      <c r="E36" s="1102" t="s">
        <v>251</v>
      </c>
      <c r="F36" s="929"/>
      <c r="G36" s="400"/>
      <c r="H36" s="400"/>
      <c r="I36" s="400"/>
      <c r="J36" s="718">
        <f>58000+254000</f>
        <v>312000</v>
      </c>
      <c r="K36" s="400">
        <v>311432.8</v>
      </c>
      <c r="L36" s="1054"/>
    </row>
    <row r="37" spans="1:12" s="73" customFormat="1" ht="404.25" customHeight="1" x14ac:dyDescent="0.25">
      <c r="A37" s="78">
        <v>813225</v>
      </c>
      <c r="B37" s="79">
        <v>3225</v>
      </c>
      <c r="C37" s="79">
        <v>1060</v>
      </c>
      <c r="D37" s="1081" t="s">
        <v>739</v>
      </c>
      <c r="E37" s="1036" t="s">
        <v>699</v>
      </c>
      <c r="F37" s="931"/>
      <c r="G37" s="76"/>
      <c r="H37" s="76"/>
      <c r="I37" s="76"/>
      <c r="J37" s="77">
        <f>2534226</f>
        <v>2534226</v>
      </c>
      <c r="K37" s="76">
        <v>2534225.9</v>
      </c>
      <c r="L37" s="1055"/>
    </row>
    <row r="38" spans="1:12" s="73" customFormat="1" ht="61.5" thickBot="1" x14ac:dyDescent="0.3">
      <c r="A38" s="934" t="s">
        <v>169</v>
      </c>
      <c r="B38" s="833">
        <v>3241</v>
      </c>
      <c r="C38" s="833">
        <v>1090</v>
      </c>
      <c r="D38" s="1082" t="s">
        <v>467</v>
      </c>
      <c r="E38" s="1042" t="s">
        <v>251</v>
      </c>
      <c r="F38" s="928"/>
      <c r="G38" s="389"/>
      <c r="H38" s="389"/>
      <c r="I38" s="389"/>
      <c r="J38" s="834">
        <f>34800+46000</f>
        <v>80800</v>
      </c>
      <c r="K38" s="389">
        <v>46000</v>
      </c>
      <c r="L38" s="1056"/>
    </row>
    <row r="39" spans="1:12" s="73" customFormat="1" ht="41.25" thickBot="1" x14ac:dyDescent="0.3">
      <c r="A39" s="401" t="s">
        <v>76</v>
      </c>
      <c r="B39" s="399" t="s">
        <v>14</v>
      </c>
      <c r="C39" s="399" t="s">
        <v>14</v>
      </c>
      <c r="D39" s="1083" t="s">
        <v>440</v>
      </c>
      <c r="E39" s="1039"/>
      <c r="F39" s="394"/>
      <c r="G39" s="395"/>
      <c r="H39" s="395"/>
      <c r="I39" s="395"/>
      <c r="J39" s="388">
        <f>J40</f>
        <v>23000</v>
      </c>
      <c r="K39" s="388">
        <f>K40</f>
        <v>23000</v>
      </c>
      <c r="L39" s="374"/>
    </row>
    <row r="40" spans="1:12" s="73" customFormat="1" ht="40.5" x14ac:dyDescent="0.25">
      <c r="A40" s="1142" t="s">
        <v>77</v>
      </c>
      <c r="B40" s="1139" t="s">
        <v>14</v>
      </c>
      <c r="C40" s="1139" t="s">
        <v>14</v>
      </c>
      <c r="D40" s="1140" t="s">
        <v>440</v>
      </c>
      <c r="E40" s="1141"/>
      <c r="F40" s="1073"/>
      <c r="G40" s="1074"/>
      <c r="H40" s="1074"/>
      <c r="I40" s="1074"/>
      <c r="J40" s="1063">
        <f>J41</f>
        <v>23000</v>
      </c>
      <c r="K40" s="1063">
        <f>K41</f>
        <v>23000</v>
      </c>
      <c r="L40" s="1064"/>
    </row>
    <row r="41" spans="1:12" s="73" customFormat="1" ht="41.25" thickBot="1" x14ac:dyDescent="0.3">
      <c r="A41" s="935" t="s">
        <v>171</v>
      </c>
      <c r="B41" s="937" t="s">
        <v>42</v>
      </c>
      <c r="C41" s="937" t="s">
        <v>16</v>
      </c>
      <c r="D41" s="1107" t="s">
        <v>156</v>
      </c>
      <c r="E41" s="1071" t="s">
        <v>251</v>
      </c>
      <c r="F41" s="933"/>
      <c r="G41" s="390"/>
      <c r="H41" s="390"/>
      <c r="I41" s="390"/>
      <c r="J41" s="391">
        <v>23000</v>
      </c>
      <c r="K41" s="390">
        <v>23000</v>
      </c>
      <c r="L41" s="1099"/>
    </row>
    <row r="42" spans="1:12" s="73" customFormat="1" ht="61.5" thickBot="1" x14ac:dyDescent="0.3">
      <c r="A42" s="398" t="s">
        <v>81</v>
      </c>
      <c r="B42" s="399" t="s">
        <v>14</v>
      </c>
      <c r="C42" s="399" t="s">
        <v>14</v>
      </c>
      <c r="D42" s="1083" t="s">
        <v>441</v>
      </c>
      <c r="E42" s="1039"/>
      <c r="F42" s="394"/>
      <c r="G42" s="395"/>
      <c r="H42" s="395"/>
      <c r="I42" s="395"/>
      <c r="J42" s="388">
        <f>J43</f>
        <v>537009</v>
      </c>
      <c r="K42" s="388">
        <f>K43</f>
        <v>515418</v>
      </c>
      <c r="L42" s="374"/>
    </row>
    <row r="43" spans="1:12" s="73" customFormat="1" ht="60.75" x14ac:dyDescent="0.25">
      <c r="A43" s="1138" t="s">
        <v>82</v>
      </c>
      <c r="B43" s="1139" t="s">
        <v>14</v>
      </c>
      <c r="C43" s="1139" t="s">
        <v>14</v>
      </c>
      <c r="D43" s="1140" t="s">
        <v>441</v>
      </c>
      <c r="E43" s="1060"/>
      <c r="F43" s="1061"/>
      <c r="G43" s="1062"/>
      <c r="H43" s="1062"/>
      <c r="I43" s="1062"/>
      <c r="J43" s="1063">
        <f>J44+J45+J46</f>
        <v>537009</v>
      </c>
      <c r="K43" s="1063">
        <f>K44+K45+K46</f>
        <v>515418</v>
      </c>
      <c r="L43" s="1064"/>
    </row>
    <row r="44" spans="1:12" s="73" customFormat="1" ht="40.5" x14ac:dyDescent="0.25">
      <c r="A44" s="1104" t="s">
        <v>89</v>
      </c>
      <c r="B44" s="1057" t="s">
        <v>90</v>
      </c>
      <c r="C44" s="1057" t="s">
        <v>91</v>
      </c>
      <c r="D44" s="1086" t="s">
        <v>92</v>
      </c>
      <c r="E44" s="1041" t="s">
        <v>251</v>
      </c>
      <c r="F44" s="396"/>
      <c r="G44" s="397"/>
      <c r="H44" s="397"/>
      <c r="I44" s="397"/>
      <c r="J44" s="718">
        <v>43262</v>
      </c>
      <c r="K44" s="400">
        <v>43262</v>
      </c>
      <c r="L44" s="1054"/>
    </row>
    <row r="45" spans="1:12" s="73" customFormat="1" ht="40.5" x14ac:dyDescent="0.25">
      <c r="A45" s="78" t="s">
        <v>93</v>
      </c>
      <c r="B45" s="79" t="s">
        <v>94</v>
      </c>
      <c r="C45" s="79" t="s">
        <v>91</v>
      </c>
      <c r="D45" s="1081" t="s">
        <v>95</v>
      </c>
      <c r="E45" s="1037" t="s">
        <v>251</v>
      </c>
      <c r="F45" s="81"/>
      <c r="G45" s="82"/>
      <c r="H45" s="82"/>
      <c r="I45" s="82"/>
      <c r="J45" s="77">
        <v>23000</v>
      </c>
      <c r="K45" s="76">
        <v>23000</v>
      </c>
      <c r="L45" s="1055"/>
    </row>
    <row r="46" spans="1:12" s="73" customFormat="1" ht="41.25" thickBot="1" x14ac:dyDescent="0.3">
      <c r="A46" s="1070">
        <v>1015041</v>
      </c>
      <c r="B46" s="1065">
        <v>5041</v>
      </c>
      <c r="C46" s="1065" t="s">
        <v>106</v>
      </c>
      <c r="D46" s="1085" t="s">
        <v>524</v>
      </c>
      <c r="E46" s="1075" t="s">
        <v>251</v>
      </c>
      <c r="F46" s="1067"/>
      <c r="G46" s="1068"/>
      <c r="H46" s="1068"/>
      <c r="I46" s="1068"/>
      <c r="J46" s="1069">
        <f>0+470747</f>
        <v>470747</v>
      </c>
      <c r="K46" s="1079">
        <v>449156</v>
      </c>
      <c r="L46" s="1066"/>
    </row>
    <row r="47" spans="1:12" s="73" customFormat="1" ht="61.5" thickBot="1" x14ac:dyDescent="0.3">
      <c r="A47" s="392" t="s">
        <v>116</v>
      </c>
      <c r="B47" s="376"/>
      <c r="C47" s="376"/>
      <c r="D47" s="1087" t="s">
        <v>700</v>
      </c>
      <c r="E47" s="1044"/>
      <c r="F47" s="75"/>
      <c r="G47" s="402"/>
      <c r="H47" s="402"/>
      <c r="I47" s="402"/>
      <c r="J47" s="403">
        <f>J48</f>
        <v>2296426</v>
      </c>
      <c r="K47" s="403">
        <f>K48</f>
        <v>1626822.08</v>
      </c>
      <c r="L47" s="374"/>
    </row>
    <row r="48" spans="1:12" s="73" customFormat="1" ht="60.75" x14ac:dyDescent="0.25">
      <c r="A48" s="1058" t="s">
        <v>118</v>
      </c>
      <c r="B48" s="1132"/>
      <c r="C48" s="1132"/>
      <c r="D48" s="1143" t="s">
        <v>701</v>
      </c>
      <c r="E48" s="1134"/>
      <c r="F48" s="1135"/>
      <c r="G48" s="1144"/>
      <c r="H48" s="1144"/>
      <c r="I48" s="1144"/>
      <c r="J48" s="1145">
        <f>SUM(J49:J50)</f>
        <v>2296426</v>
      </c>
      <c r="K48" s="1145">
        <f>SUM(K49:K50)</f>
        <v>1626822.08</v>
      </c>
      <c r="L48" s="1064"/>
    </row>
    <row r="49" spans="1:12" s="73" customFormat="1" ht="40.5" x14ac:dyDescent="0.25">
      <c r="A49" s="927" t="s">
        <v>468</v>
      </c>
      <c r="B49" s="1101" t="s">
        <v>469</v>
      </c>
      <c r="C49" s="1101" t="s">
        <v>26</v>
      </c>
      <c r="D49" s="1102" t="s">
        <v>470</v>
      </c>
      <c r="E49" s="1102" t="s">
        <v>456</v>
      </c>
      <c r="F49" s="1108"/>
      <c r="G49" s="404"/>
      <c r="H49" s="404"/>
      <c r="I49" s="404"/>
      <c r="J49" s="718">
        <v>1835036</v>
      </c>
      <c r="K49" s="1109">
        <v>1176752.08</v>
      </c>
      <c r="L49" s="1054"/>
    </row>
    <row r="50" spans="1:12" s="73" customFormat="1" ht="41.25" thickBot="1" x14ac:dyDescent="0.3">
      <c r="A50" s="926" t="s">
        <v>127</v>
      </c>
      <c r="B50" s="1110" t="s">
        <v>25</v>
      </c>
      <c r="C50" s="1110" t="s">
        <v>26</v>
      </c>
      <c r="D50" s="1042" t="s">
        <v>27</v>
      </c>
      <c r="E50" s="1042" t="s">
        <v>456</v>
      </c>
      <c r="F50" s="1111"/>
      <c r="G50" s="1112"/>
      <c r="H50" s="1112"/>
      <c r="I50" s="1112"/>
      <c r="J50" s="1103">
        <v>461390</v>
      </c>
      <c r="K50" s="1113">
        <v>450070</v>
      </c>
      <c r="L50" s="1056"/>
    </row>
    <row r="51" spans="1:12" s="835" customFormat="1" ht="61.5" thickBot="1" x14ac:dyDescent="0.3">
      <c r="A51" s="405" t="s">
        <v>136</v>
      </c>
      <c r="B51" s="406"/>
      <c r="C51" s="406"/>
      <c r="D51" s="1088" t="s">
        <v>442</v>
      </c>
      <c r="E51" s="1045"/>
      <c r="F51" s="406"/>
      <c r="G51" s="407"/>
      <c r="H51" s="407"/>
      <c r="I51" s="407"/>
      <c r="J51" s="408">
        <f>J52</f>
        <v>64405680</v>
      </c>
      <c r="K51" s="408">
        <f>K52</f>
        <v>48829591.170000002</v>
      </c>
      <c r="L51" s="1114"/>
    </row>
    <row r="52" spans="1:12" s="73" customFormat="1" ht="40.5" x14ac:dyDescent="0.25">
      <c r="A52" s="1058" t="s">
        <v>137</v>
      </c>
      <c r="B52" s="1073"/>
      <c r="C52" s="1061"/>
      <c r="D52" s="1146" t="s">
        <v>450</v>
      </c>
      <c r="E52" s="1147"/>
      <c r="F52" s="1148"/>
      <c r="G52" s="1149"/>
      <c r="H52" s="1149"/>
      <c r="I52" s="1149"/>
      <c r="J52" s="1149">
        <f>J53+J54+J56+J59+J61+J63+J65+J66+J70+J72+J74+J78+J84+J80+J86+J87+J90+J94+J89+J92</f>
        <v>64405680</v>
      </c>
      <c r="K52" s="1149">
        <f>K53+K54+K56+K59+K61+K63+K65+K66+K70+K72+K74+K78+K84+K80+K86+K87+K90+K94+K89+K92</f>
        <v>48829591.170000002</v>
      </c>
      <c r="L52" s="1150"/>
    </row>
    <row r="53" spans="1:12" s="73" customFormat="1" ht="125.25" customHeight="1" x14ac:dyDescent="0.25">
      <c r="A53" s="927" t="s">
        <v>620</v>
      </c>
      <c r="B53" s="929" t="s">
        <v>148</v>
      </c>
      <c r="C53" s="929" t="s">
        <v>16</v>
      </c>
      <c r="D53" s="1115" t="s">
        <v>149</v>
      </c>
      <c r="E53" s="1078" t="s">
        <v>621</v>
      </c>
      <c r="F53" s="929" t="s">
        <v>478</v>
      </c>
      <c r="G53" s="1116">
        <v>599219</v>
      </c>
      <c r="H53" s="720">
        <v>0</v>
      </c>
      <c r="I53" s="721">
        <v>0</v>
      </c>
      <c r="J53" s="720">
        <f>250000+349219</f>
        <v>599219</v>
      </c>
      <c r="K53" s="720">
        <v>599218.51</v>
      </c>
      <c r="L53" s="836">
        <f>J53/G53</f>
        <v>1</v>
      </c>
    </row>
    <row r="54" spans="1:12" s="73" customFormat="1" ht="193.5" customHeight="1" x14ac:dyDescent="0.25">
      <c r="A54" s="1337" t="s">
        <v>471</v>
      </c>
      <c r="B54" s="1338" t="s">
        <v>48</v>
      </c>
      <c r="C54" s="1338" t="s">
        <v>49</v>
      </c>
      <c r="D54" s="1339" t="s">
        <v>472</v>
      </c>
      <c r="E54" s="1035" t="s">
        <v>473</v>
      </c>
      <c r="F54" s="1340" t="s">
        <v>474</v>
      </c>
      <c r="G54" s="76">
        <v>3702670</v>
      </c>
      <c r="H54" s="76">
        <f>'[1]2024'!$I$15+'[1]2024'!$I$18</f>
        <v>1070190.22</v>
      </c>
      <c r="I54" s="409">
        <f>H54/G54</f>
        <v>0.28903202823908153</v>
      </c>
      <c r="J54" s="76">
        <f>2450256+43034+10265-418465</f>
        <v>2085090</v>
      </c>
      <c r="K54" s="76">
        <v>2085088.61</v>
      </c>
      <c r="L54" s="837">
        <v>1</v>
      </c>
    </row>
    <row r="55" spans="1:12" s="73" customFormat="1" ht="20.25" x14ac:dyDescent="0.25">
      <c r="A55" s="1337"/>
      <c r="B55" s="1338"/>
      <c r="C55" s="1338"/>
      <c r="D55" s="1339"/>
      <c r="E55" s="1051" t="s">
        <v>475</v>
      </c>
      <c r="F55" s="1340"/>
      <c r="G55" s="82">
        <v>264411</v>
      </c>
      <c r="H55" s="82">
        <f>234332.96</f>
        <v>234332.96</v>
      </c>
      <c r="I55" s="410">
        <v>1</v>
      </c>
      <c r="J55" s="838"/>
      <c r="K55" s="838"/>
      <c r="L55" s="839">
        <v>1</v>
      </c>
    </row>
    <row r="56" spans="1:12" s="73" customFormat="1" ht="156.75" customHeight="1" x14ac:dyDescent="0.25">
      <c r="A56" s="1337" t="s">
        <v>471</v>
      </c>
      <c r="B56" s="1338" t="s">
        <v>48</v>
      </c>
      <c r="C56" s="1338" t="s">
        <v>49</v>
      </c>
      <c r="D56" s="1339" t="s">
        <v>472</v>
      </c>
      <c r="E56" s="1034" t="s">
        <v>476</v>
      </c>
      <c r="F56" s="1340" t="s">
        <v>477</v>
      </c>
      <c r="G56" s="76">
        <v>24112549</v>
      </c>
      <c r="H56" s="76">
        <f>'[1]2024'!$I$11+'[1]2024'!$I$13+H57</f>
        <v>6575752.0599999996</v>
      </c>
      <c r="I56" s="409">
        <f>H56/G56</f>
        <v>0.27271078059810266</v>
      </c>
      <c r="J56" s="76">
        <f>15048608+194696+62711-2300000-2400000+4700000+248082+1670002</f>
        <v>17224099</v>
      </c>
      <c r="K56" s="76">
        <v>17040040.18</v>
      </c>
      <c r="L56" s="837">
        <v>0.99</v>
      </c>
    </row>
    <row r="57" spans="1:12" s="73" customFormat="1" ht="20.25" x14ac:dyDescent="0.25">
      <c r="A57" s="1337"/>
      <c r="B57" s="1338"/>
      <c r="C57" s="1338"/>
      <c r="D57" s="1339"/>
      <c r="E57" s="1046" t="s">
        <v>253</v>
      </c>
      <c r="F57" s="1340"/>
      <c r="G57" s="82">
        <v>1675846</v>
      </c>
      <c r="H57" s="82">
        <f>274112.37+1201312.3</f>
        <v>1475424.67</v>
      </c>
      <c r="I57" s="410">
        <v>1</v>
      </c>
      <c r="J57" s="840"/>
      <c r="K57" s="840"/>
      <c r="L57" s="839">
        <v>1</v>
      </c>
    </row>
    <row r="58" spans="1:12" s="73" customFormat="1" ht="20.25" x14ac:dyDescent="0.25">
      <c r="A58" s="1337"/>
      <c r="B58" s="1338"/>
      <c r="C58" s="1338"/>
      <c r="D58" s="1339"/>
      <c r="E58" s="1046" t="s">
        <v>254</v>
      </c>
      <c r="F58" s="840"/>
      <c r="G58" s="82">
        <v>197638</v>
      </c>
      <c r="H58" s="82"/>
      <c r="I58" s="410"/>
      <c r="J58" s="82">
        <v>197637</v>
      </c>
      <c r="K58" s="82">
        <v>197636.63</v>
      </c>
      <c r="L58" s="839">
        <v>1</v>
      </c>
    </row>
    <row r="59" spans="1:12" s="73" customFormat="1" ht="162.75" customHeight="1" x14ac:dyDescent="0.25">
      <c r="A59" s="1343" t="s">
        <v>471</v>
      </c>
      <c r="B59" s="1344" t="s">
        <v>48</v>
      </c>
      <c r="C59" s="1344" t="s">
        <v>49</v>
      </c>
      <c r="D59" s="1345" t="s">
        <v>472</v>
      </c>
      <c r="E59" s="1115" t="s">
        <v>622</v>
      </c>
      <c r="F59" s="930" t="s">
        <v>478</v>
      </c>
      <c r="G59" s="1154">
        <v>49219132</v>
      </c>
      <c r="H59" s="400">
        <v>0</v>
      </c>
      <c r="I59" s="1076">
        <v>0</v>
      </c>
      <c r="J59" s="400">
        <f>6000000+1486740+515294</f>
        <v>8002034</v>
      </c>
      <c r="K59" s="400">
        <v>6328740.9900000002</v>
      </c>
      <c r="L59" s="1077">
        <f>K59/G59</f>
        <v>0.12858294595686898</v>
      </c>
    </row>
    <row r="60" spans="1:12" s="73" customFormat="1" ht="20.25" x14ac:dyDescent="0.25">
      <c r="A60" s="1337"/>
      <c r="B60" s="1338"/>
      <c r="C60" s="1338"/>
      <c r="D60" s="1339"/>
      <c r="E60" s="1046" t="s">
        <v>475</v>
      </c>
      <c r="F60" s="840"/>
      <c r="G60" s="841">
        <v>1483060</v>
      </c>
      <c r="H60" s="82">
        <v>0</v>
      </c>
      <c r="I60" s="410">
        <f>H60/G60</f>
        <v>0</v>
      </c>
      <c r="J60" s="82">
        <v>1483060</v>
      </c>
      <c r="K60" s="82">
        <v>1483059.84</v>
      </c>
      <c r="L60" s="839">
        <v>1</v>
      </c>
    </row>
    <row r="61" spans="1:12" s="73" customFormat="1" ht="165.75" customHeight="1" x14ac:dyDescent="0.25">
      <c r="A61" s="1337" t="s">
        <v>471</v>
      </c>
      <c r="B61" s="1338" t="s">
        <v>48</v>
      </c>
      <c r="C61" s="1338" t="s">
        <v>49</v>
      </c>
      <c r="D61" s="1339" t="s">
        <v>472</v>
      </c>
      <c r="E61" s="1034" t="s">
        <v>602</v>
      </c>
      <c r="F61" s="1341" t="s">
        <v>478</v>
      </c>
      <c r="G61" s="842">
        <v>409141</v>
      </c>
      <c r="H61" s="76">
        <v>0</v>
      </c>
      <c r="I61" s="409">
        <v>0</v>
      </c>
      <c r="J61" s="76">
        <f>583500-583500+409141-96829</f>
        <v>312312</v>
      </c>
      <c r="K61" s="76">
        <v>311170.3</v>
      </c>
      <c r="L61" s="837">
        <v>1</v>
      </c>
    </row>
    <row r="62" spans="1:12" s="73" customFormat="1" ht="20.25" x14ac:dyDescent="0.25">
      <c r="A62" s="1337"/>
      <c r="B62" s="1338"/>
      <c r="C62" s="1338"/>
      <c r="D62" s="1339"/>
      <c r="E62" s="1046" t="s">
        <v>253</v>
      </c>
      <c r="F62" s="1341"/>
      <c r="G62" s="841">
        <v>48500</v>
      </c>
      <c r="H62" s="82">
        <v>0</v>
      </c>
      <c r="I62" s="410">
        <v>0</v>
      </c>
      <c r="J62" s="82">
        <v>48500</v>
      </c>
      <c r="K62" s="82">
        <v>48500</v>
      </c>
      <c r="L62" s="839">
        <v>1</v>
      </c>
    </row>
    <row r="63" spans="1:12" s="73" customFormat="1" ht="90" customHeight="1" x14ac:dyDescent="0.25">
      <c r="A63" s="1337" t="s">
        <v>623</v>
      </c>
      <c r="B63" s="1338" t="s">
        <v>18</v>
      </c>
      <c r="C63" s="1338" t="s">
        <v>19</v>
      </c>
      <c r="D63" s="1342" t="s">
        <v>20</v>
      </c>
      <c r="E63" s="1034" t="s">
        <v>624</v>
      </c>
      <c r="F63" s="1338" t="s">
        <v>625</v>
      </c>
      <c r="G63" s="76">
        <v>10266433</v>
      </c>
      <c r="H63" s="76">
        <v>674544.04</v>
      </c>
      <c r="I63" s="409">
        <f>H63/G63</f>
        <v>6.5703836960704851E-2</v>
      </c>
      <c r="J63" s="76">
        <v>3000000</v>
      </c>
      <c r="K63" s="76">
        <v>333165.09999999998</v>
      </c>
      <c r="L63" s="837">
        <f>(K63+H63)/G63</f>
        <v>9.8155721661067674E-2</v>
      </c>
    </row>
    <row r="64" spans="1:12" s="73" customFormat="1" ht="20.25" x14ac:dyDescent="0.25">
      <c r="A64" s="1337"/>
      <c r="B64" s="1338"/>
      <c r="C64" s="1338"/>
      <c r="D64" s="1342"/>
      <c r="E64" s="1046" t="s">
        <v>626</v>
      </c>
      <c r="F64" s="1338"/>
      <c r="G64" s="82">
        <v>766283</v>
      </c>
      <c r="H64" s="82">
        <v>674544.04</v>
      </c>
      <c r="I64" s="410">
        <v>1</v>
      </c>
      <c r="J64" s="82"/>
      <c r="K64" s="82"/>
      <c r="L64" s="839">
        <v>1</v>
      </c>
    </row>
    <row r="65" spans="1:25" ht="108.75" customHeight="1" x14ac:dyDescent="0.3">
      <c r="A65" s="1093" t="s">
        <v>479</v>
      </c>
      <c r="B65" s="1091" t="s">
        <v>480</v>
      </c>
      <c r="C65" s="1091" t="s">
        <v>204</v>
      </c>
      <c r="D65" s="1089" t="s">
        <v>702</v>
      </c>
      <c r="E65" s="1034" t="s">
        <v>481</v>
      </c>
      <c r="F65" s="931" t="s">
        <v>478</v>
      </c>
      <c r="G65" s="76">
        <v>173444</v>
      </c>
      <c r="H65" s="76">
        <v>0</v>
      </c>
      <c r="I65" s="409">
        <v>0</v>
      </c>
      <c r="J65" s="110">
        <v>173444</v>
      </c>
      <c r="K65" s="110">
        <v>169338.45</v>
      </c>
      <c r="L65" s="837">
        <v>1</v>
      </c>
      <c r="M65" s="835"/>
      <c r="N65" s="845"/>
      <c r="O65" s="103"/>
      <c r="P65" s="103"/>
      <c r="Q65" s="103"/>
      <c r="R65" s="103"/>
      <c r="S65" s="103"/>
      <c r="T65" s="103"/>
      <c r="U65" s="103"/>
      <c r="V65" s="103"/>
      <c r="W65" s="846"/>
      <c r="X65" s="103"/>
      <c r="Y65" s="103"/>
    </row>
    <row r="66" spans="1:25" s="73" customFormat="1" ht="105" customHeight="1" x14ac:dyDescent="0.25">
      <c r="A66" s="1346">
        <v>1516012</v>
      </c>
      <c r="B66" s="1347">
        <v>6012</v>
      </c>
      <c r="C66" s="1338" t="s">
        <v>26</v>
      </c>
      <c r="D66" s="1342" t="s">
        <v>208</v>
      </c>
      <c r="E66" s="1040" t="s">
        <v>703</v>
      </c>
      <c r="F66" s="1347" t="s">
        <v>482</v>
      </c>
      <c r="G66" s="110">
        <v>14745012</v>
      </c>
      <c r="H66" s="76">
        <v>14166274.949999999</v>
      </c>
      <c r="I66" s="409">
        <v>0.99</v>
      </c>
      <c r="J66" s="847">
        <v>45000</v>
      </c>
      <c r="K66" s="847"/>
      <c r="L66" s="412">
        <v>0.99</v>
      </c>
      <c r="M66" s="835"/>
      <c r="P66" s="848"/>
      <c r="Q66" s="848"/>
      <c r="R66" s="848"/>
      <c r="S66" s="848"/>
      <c r="T66" s="848"/>
      <c r="U66" s="848"/>
      <c r="V66" s="848"/>
      <c r="W66" s="848"/>
    </row>
    <row r="67" spans="1:25" s="73" customFormat="1" ht="22.5" x14ac:dyDescent="0.25">
      <c r="A67" s="1346"/>
      <c r="B67" s="1347"/>
      <c r="C67" s="1338"/>
      <c r="D67" s="1342"/>
      <c r="E67" s="1051" t="s">
        <v>483</v>
      </c>
      <c r="F67" s="1347"/>
      <c r="G67" s="844">
        <f>280375.62</f>
        <v>280375.62</v>
      </c>
      <c r="H67" s="844">
        <f>280375.62</f>
        <v>280375.62</v>
      </c>
      <c r="I67" s="410">
        <v>1</v>
      </c>
      <c r="J67" s="83"/>
      <c r="K67" s="83"/>
      <c r="L67" s="414">
        <v>1</v>
      </c>
      <c r="M67" s="835"/>
      <c r="N67" s="849"/>
      <c r="P67" s="848"/>
      <c r="Q67" s="848"/>
      <c r="R67" s="848"/>
      <c r="S67" s="848"/>
      <c r="T67" s="848"/>
      <c r="U67" s="848"/>
      <c r="V67" s="848"/>
      <c r="W67" s="848"/>
    </row>
    <row r="68" spans="1:25" s="73" customFormat="1" ht="26.25" customHeight="1" x14ac:dyDescent="0.25">
      <c r="A68" s="1346"/>
      <c r="B68" s="1347"/>
      <c r="C68" s="1338"/>
      <c r="D68" s="1342"/>
      <c r="E68" s="1051" t="s">
        <v>254</v>
      </c>
      <c r="F68" s="1347"/>
      <c r="G68" s="844">
        <v>269445</v>
      </c>
      <c r="H68" s="844">
        <v>269445</v>
      </c>
      <c r="I68" s="410">
        <v>1</v>
      </c>
      <c r="J68" s="83"/>
      <c r="K68" s="83"/>
      <c r="L68" s="414">
        <v>1</v>
      </c>
      <c r="M68" s="62"/>
      <c r="N68" s="835"/>
      <c r="P68" s="848"/>
      <c r="Q68" s="848"/>
      <c r="R68" s="848"/>
      <c r="S68" s="848"/>
      <c r="T68" s="848"/>
      <c r="U68" s="848"/>
      <c r="V68" s="848"/>
      <c r="W68" s="848"/>
    </row>
    <row r="69" spans="1:25" s="73" customFormat="1" ht="81" customHeight="1" x14ac:dyDescent="0.25">
      <c r="A69" s="1346"/>
      <c r="B69" s="1347"/>
      <c r="C69" s="1338"/>
      <c r="D69" s="1342"/>
      <c r="E69" s="1051" t="s">
        <v>484</v>
      </c>
      <c r="F69" s="1347"/>
      <c r="G69" s="844">
        <v>45000</v>
      </c>
      <c r="H69" s="844"/>
      <c r="I69" s="109"/>
      <c r="J69" s="83">
        <v>45000</v>
      </c>
      <c r="K69" s="83" t="s">
        <v>704</v>
      </c>
      <c r="L69" s="414">
        <v>0</v>
      </c>
      <c r="M69" s="62"/>
      <c r="N69" s="835"/>
      <c r="P69" s="848"/>
      <c r="Q69" s="848"/>
      <c r="R69" s="848"/>
      <c r="S69" s="848"/>
      <c r="T69" s="848"/>
      <c r="U69" s="848"/>
      <c r="V69" s="848"/>
      <c r="W69" s="848"/>
    </row>
    <row r="70" spans="1:25" s="73" customFormat="1" ht="70.5" customHeight="1" x14ac:dyDescent="0.25">
      <c r="A70" s="1343" t="s">
        <v>485</v>
      </c>
      <c r="B70" s="1344" t="s">
        <v>486</v>
      </c>
      <c r="C70" s="1344" t="s">
        <v>26</v>
      </c>
      <c r="D70" s="1348" t="s">
        <v>208</v>
      </c>
      <c r="E70" s="1049" t="s">
        <v>487</v>
      </c>
      <c r="F70" s="1349" t="s">
        <v>488</v>
      </c>
      <c r="G70" s="1153">
        <v>2880888</v>
      </c>
      <c r="H70" s="400">
        <f>'[1]2024'!$I$42+'[1]2024'!$I$43+'[1]2024'!$I$44</f>
        <v>2463355.75</v>
      </c>
      <c r="I70" s="1076">
        <f>H70/G70</f>
        <v>0.85506821160697677</v>
      </c>
      <c r="J70" s="400">
        <f>326029+8644+4370+42000</f>
        <v>381043</v>
      </c>
      <c r="K70" s="400">
        <v>329820.68</v>
      </c>
      <c r="L70" s="1077">
        <v>1</v>
      </c>
      <c r="M70" s="20"/>
      <c r="N70" s="835"/>
    </row>
    <row r="71" spans="1:25" s="73" customFormat="1" ht="20.25" x14ac:dyDescent="0.25">
      <c r="A71" s="1337"/>
      <c r="B71" s="1338"/>
      <c r="C71" s="1338"/>
      <c r="D71" s="1339"/>
      <c r="E71" s="1051" t="s">
        <v>475</v>
      </c>
      <c r="F71" s="1340"/>
      <c r="G71" s="841">
        <v>60271</v>
      </c>
      <c r="H71" s="82">
        <v>49062.16</v>
      </c>
      <c r="I71" s="410">
        <v>1</v>
      </c>
      <c r="J71" s="838"/>
      <c r="K71" s="838"/>
      <c r="L71" s="839">
        <v>1</v>
      </c>
      <c r="M71" s="62"/>
      <c r="N71" s="835"/>
      <c r="O71" s="835"/>
    </row>
    <row r="72" spans="1:25" s="835" customFormat="1" ht="146.25" customHeight="1" x14ac:dyDescent="0.25">
      <c r="A72" s="1337" t="s">
        <v>485</v>
      </c>
      <c r="B72" s="1338" t="s">
        <v>486</v>
      </c>
      <c r="C72" s="1338" t="s">
        <v>26</v>
      </c>
      <c r="D72" s="1339" t="s">
        <v>208</v>
      </c>
      <c r="E72" s="1036" t="s">
        <v>603</v>
      </c>
      <c r="F72" s="1340" t="s">
        <v>478</v>
      </c>
      <c r="G72" s="722">
        <v>5864853</v>
      </c>
      <c r="H72" s="850">
        <v>0</v>
      </c>
      <c r="I72" s="851">
        <v>0</v>
      </c>
      <c r="J72" s="111">
        <v>5864853</v>
      </c>
      <c r="K72" s="111">
        <v>618264.23</v>
      </c>
      <c r="L72" s="852">
        <f>((K72+2000977.61)/G72)</f>
        <v>0.44659974256814278</v>
      </c>
      <c r="M72" s="853"/>
    </row>
    <row r="73" spans="1:25" s="73" customFormat="1" ht="20.25" customHeight="1" x14ac:dyDescent="0.25">
      <c r="A73" s="1337"/>
      <c r="B73" s="1338"/>
      <c r="C73" s="1338"/>
      <c r="D73" s="1339"/>
      <c r="E73" s="1051" t="s">
        <v>475</v>
      </c>
      <c r="F73" s="1340"/>
      <c r="G73" s="841">
        <v>182394</v>
      </c>
      <c r="H73" s="82">
        <v>0</v>
      </c>
      <c r="I73" s="410">
        <v>0</v>
      </c>
      <c r="J73" s="82">
        <v>182394</v>
      </c>
      <c r="K73" s="82">
        <v>182393.72</v>
      </c>
      <c r="L73" s="839">
        <v>1</v>
      </c>
      <c r="M73" s="62"/>
      <c r="N73" s="835"/>
      <c r="O73" s="835"/>
    </row>
    <row r="74" spans="1:25" s="73" customFormat="1" ht="81" x14ac:dyDescent="0.3">
      <c r="A74" s="1354">
        <v>1516012</v>
      </c>
      <c r="B74" s="1355">
        <v>6012</v>
      </c>
      <c r="C74" s="1356" t="s">
        <v>26</v>
      </c>
      <c r="D74" s="1357" t="s">
        <v>208</v>
      </c>
      <c r="E74" s="1040" t="s">
        <v>489</v>
      </c>
      <c r="F74" s="1347" t="s">
        <v>474</v>
      </c>
      <c r="G74" s="84">
        <v>18595843</v>
      </c>
      <c r="H74" s="411">
        <f>1497526+4000000+10000000-15497526+3505666.5</f>
        <v>3505666.5</v>
      </c>
      <c r="I74" s="409">
        <f>H74/G74*100%</f>
        <v>0.1885188264925661</v>
      </c>
      <c r="J74" s="110">
        <f>3098317-1031901-2066416+10004392-10004392+12584541+2201031</f>
        <v>14785572</v>
      </c>
      <c r="K74" s="110">
        <v>11192888.48</v>
      </c>
      <c r="L74" s="837">
        <f>(K74+H74)/G74</f>
        <v>0.79042154636388362</v>
      </c>
      <c r="M74" s="17"/>
      <c r="N74" s="835"/>
      <c r="O74" s="835"/>
    </row>
    <row r="75" spans="1:25" s="73" customFormat="1" ht="21" customHeight="1" x14ac:dyDescent="0.35">
      <c r="A75" s="1354"/>
      <c r="B75" s="1355"/>
      <c r="C75" s="1356"/>
      <c r="D75" s="1357"/>
      <c r="E75" s="1051" t="s">
        <v>475</v>
      </c>
      <c r="F75" s="1347"/>
      <c r="G75" s="83">
        <v>1497526</v>
      </c>
      <c r="H75" s="85">
        <f>1497526-1497526+1478212.98</f>
        <v>1478212.98</v>
      </c>
      <c r="I75" s="410">
        <v>1</v>
      </c>
      <c r="J75" s="413"/>
      <c r="K75" s="413"/>
      <c r="L75" s="414">
        <v>1</v>
      </c>
      <c r="M75" s="102"/>
      <c r="N75" s="835"/>
      <c r="O75" s="835"/>
    </row>
    <row r="76" spans="1:25" s="73" customFormat="1" ht="22.5" customHeight="1" x14ac:dyDescent="0.3">
      <c r="A76" s="1094" t="s">
        <v>490</v>
      </c>
      <c r="B76" s="368"/>
      <c r="C76" s="369"/>
      <c r="D76" s="1092" t="s">
        <v>491</v>
      </c>
      <c r="E76" s="1051"/>
      <c r="F76" s="370"/>
      <c r="G76" s="83"/>
      <c r="H76" s="85"/>
      <c r="I76" s="109"/>
      <c r="J76" s="413"/>
      <c r="K76" s="413"/>
      <c r="L76" s="854"/>
      <c r="M76" s="103"/>
      <c r="N76" s="89"/>
      <c r="O76" s="835"/>
    </row>
    <row r="77" spans="1:25" s="73" customFormat="1" ht="20.25" x14ac:dyDescent="0.25">
      <c r="A77" s="367"/>
      <c r="B77" s="368"/>
      <c r="C77" s="369"/>
      <c r="D77" s="1051" t="s">
        <v>492</v>
      </c>
      <c r="E77" s="1052"/>
      <c r="F77" s="370"/>
      <c r="G77" s="83"/>
      <c r="H77" s="85">
        <v>2002024</v>
      </c>
      <c r="I77" s="109"/>
      <c r="J77" s="85">
        <f>10000000-H77</f>
        <v>7997976</v>
      </c>
      <c r="K77" s="85">
        <v>7997976</v>
      </c>
      <c r="L77" s="854"/>
      <c r="M77" s="62"/>
      <c r="N77" s="62"/>
      <c r="O77" s="835"/>
    </row>
    <row r="78" spans="1:25" ht="114" customHeight="1" x14ac:dyDescent="0.3">
      <c r="A78" s="1352">
        <v>1516013</v>
      </c>
      <c r="B78" s="1353">
        <v>6013</v>
      </c>
      <c r="C78" s="1350" t="s">
        <v>26</v>
      </c>
      <c r="D78" s="1351" t="s">
        <v>126</v>
      </c>
      <c r="E78" s="1035" t="s">
        <v>705</v>
      </c>
      <c r="F78" s="1347" t="s">
        <v>488</v>
      </c>
      <c r="G78" s="76">
        <v>6726222</v>
      </c>
      <c r="H78" s="76">
        <v>0</v>
      </c>
      <c r="I78" s="409">
        <v>0</v>
      </c>
      <c r="J78" s="415">
        <f>198440+1041200</f>
        <v>1239640</v>
      </c>
      <c r="K78" s="415">
        <f>K79</f>
        <v>192944.37</v>
      </c>
      <c r="L78" s="837">
        <f>K78/G78*100%</f>
        <v>2.8685400214265896E-2</v>
      </c>
      <c r="M78" s="845"/>
      <c r="N78" s="825"/>
      <c r="O78" s="825"/>
      <c r="P78" s="825"/>
      <c r="Q78" s="825"/>
      <c r="R78" s="825"/>
      <c r="S78" s="825"/>
      <c r="T78" s="103"/>
      <c r="U78" s="103"/>
      <c r="V78" s="846"/>
      <c r="W78" s="103"/>
      <c r="X78" s="103"/>
    </row>
    <row r="79" spans="1:25" ht="19.5" customHeight="1" x14ac:dyDescent="0.3">
      <c r="A79" s="1352"/>
      <c r="B79" s="1353"/>
      <c r="C79" s="1350"/>
      <c r="D79" s="1351"/>
      <c r="E79" s="1047" t="s">
        <v>475</v>
      </c>
      <c r="F79" s="1347"/>
      <c r="G79" s="82">
        <v>226222</v>
      </c>
      <c r="H79" s="82"/>
      <c r="I79" s="410">
        <v>0</v>
      </c>
      <c r="J79" s="855">
        <v>198440</v>
      </c>
      <c r="K79" s="855">
        <v>192944.37</v>
      </c>
      <c r="L79" s="839">
        <v>1</v>
      </c>
      <c r="M79" s="845"/>
      <c r="N79" s="825"/>
      <c r="O79" s="825"/>
      <c r="P79" s="825"/>
      <c r="Q79" s="825"/>
      <c r="R79" s="825"/>
      <c r="S79" s="825"/>
      <c r="T79" s="103"/>
      <c r="U79" s="103"/>
      <c r="V79" s="846"/>
      <c r="W79" s="103"/>
      <c r="X79" s="103"/>
    </row>
    <row r="80" spans="1:25" ht="85.5" customHeight="1" x14ac:dyDescent="0.3">
      <c r="A80" s="1352">
        <v>1516030</v>
      </c>
      <c r="B80" s="1353">
        <v>6030</v>
      </c>
      <c r="C80" s="1350" t="s">
        <v>26</v>
      </c>
      <c r="D80" s="1351" t="s">
        <v>27</v>
      </c>
      <c r="E80" s="1040" t="s">
        <v>494</v>
      </c>
      <c r="F80" s="1338" t="s">
        <v>495</v>
      </c>
      <c r="G80" s="84">
        <v>4741092</v>
      </c>
      <c r="H80" s="843">
        <v>3946243</v>
      </c>
      <c r="I80" s="856">
        <v>0.99</v>
      </c>
      <c r="J80" s="110">
        <v>45000</v>
      </c>
      <c r="K80" s="110">
        <f>K83</f>
        <v>43644.49</v>
      </c>
      <c r="L80" s="412">
        <v>1</v>
      </c>
      <c r="M80" s="104"/>
      <c r="N80" s="103"/>
      <c r="O80" s="103"/>
      <c r="P80" s="103"/>
      <c r="Q80" s="103"/>
      <c r="R80" s="103"/>
      <c r="S80" s="103"/>
      <c r="T80" s="103"/>
      <c r="U80" s="103"/>
      <c r="V80" s="103"/>
      <c r="W80" s="846"/>
      <c r="X80" s="103"/>
      <c r="Y80" s="103"/>
    </row>
    <row r="81" spans="1:25" ht="20.25" x14ac:dyDescent="0.3">
      <c r="A81" s="1352"/>
      <c r="B81" s="1353"/>
      <c r="C81" s="1350"/>
      <c r="D81" s="1351"/>
      <c r="E81" s="1051" t="s">
        <v>259</v>
      </c>
      <c r="F81" s="1338"/>
      <c r="G81" s="83">
        <v>49800</v>
      </c>
      <c r="H81" s="844">
        <v>49763</v>
      </c>
      <c r="I81" s="857">
        <v>1</v>
      </c>
      <c r="J81" s="110"/>
      <c r="K81" s="110"/>
      <c r="L81" s="414">
        <v>1</v>
      </c>
      <c r="M81" s="104"/>
      <c r="N81" s="103"/>
      <c r="O81" s="103"/>
      <c r="P81" s="103"/>
      <c r="Q81" s="103"/>
      <c r="R81" s="103"/>
      <c r="S81" s="103"/>
      <c r="T81" s="103"/>
      <c r="U81" s="103"/>
      <c r="V81" s="103"/>
      <c r="W81" s="846"/>
      <c r="X81" s="103"/>
      <c r="Y81" s="103"/>
    </row>
    <row r="82" spans="1:25" ht="20.25" x14ac:dyDescent="0.3">
      <c r="A82" s="1352"/>
      <c r="B82" s="1353"/>
      <c r="C82" s="1350"/>
      <c r="D82" s="1351"/>
      <c r="E82" s="1046" t="s">
        <v>257</v>
      </c>
      <c r="F82" s="1338"/>
      <c r="G82" s="85">
        <v>140204</v>
      </c>
      <c r="H82" s="85">
        <v>123810.91</v>
      </c>
      <c r="I82" s="857">
        <v>1</v>
      </c>
      <c r="J82" s="85"/>
      <c r="K82" s="85"/>
      <c r="L82" s="414">
        <v>1</v>
      </c>
      <c r="M82" s="104"/>
      <c r="N82" s="103"/>
      <c r="O82" s="103"/>
      <c r="P82" s="103"/>
      <c r="Q82" s="103"/>
      <c r="R82" s="103"/>
      <c r="S82" s="103"/>
      <c r="T82" s="103"/>
      <c r="U82" s="103"/>
      <c r="V82" s="103"/>
      <c r="W82" s="846"/>
      <c r="X82" s="103"/>
      <c r="Y82" s="103"/>
    </row>
    <row r="83" spans="1:25" ht="64.5" customHeight="1" x14ac:dyDescent="0.3">
      <c r="A83" s="1352"/>
      <c r="B83" s="1353"/>
      <c r="C83" s="1350"/>
      <c r="D83" s="1351"/>
      <c r="E83" s="1046" t="s">
        <v>484</v>
      </c>
      <c r="F83" s="1338"/>
      <c r="G83" s="85">
        <v>45000</v>
      </c>
      <c r="H83" s="85"/>
      <c r="I83" s="858"/>
      <c r="J83" s="85">
        <v>45000</v>
      </c>
      <c r="K83" s="85">
        <v>43644.49</v>
      </c>
      <c r="L83" s="414">
        <v>1</v>
      </c>
      <c r="M83" s="103"/>
      <c r="N83" s="103"/>
      <c r="O83" s="103"/>
      <c r="P83" s="103"/>
      <c r="Q83" s="103"/>
      <c r="R83" s="103"/>
      <c r="S83" s="103"/>
      <c r="T83" s="103"/>
      <c r="U83" s="103"/>
      <c r="V83" s="846"/>
      <c r="W83" s="103"/>
      <c r="X83" s="103"/>
    </row>
    <row r="84" spans="1:25" ht="135" customHeight="1" x14ac:dyDescent="0.3">
      <c r="A84" s="1352">
        <v>1516030</v>
      </c>
      <c r="B84" s="1353">
        <v>6030</v>
      </c>
      <c r="C84" s="1350" t="s">
        <v>26</v>
      </c>
      <c r="D84" s="1342" t="s">
        <v>27</v>
      </c>
      <c r="E84" s="1035" t="s">
        <v>706</v>
      </c>
      <c r="F84" s="1347" t="s">
        <v>488</v>
      </c>
      <c r="G84" s="76">
        <v>20406558</v>
      </c>
      <c r="H84" s="76">
        <f>105518.95</f>
        <v>105518.95</v>
      </c>
      <c r="I84" s="859">
        <f>H84/G84</f>
        <v>5.1708352775612625E-3</v>
      </c>
      <c r="J84" s="843">
        <v>251111</v>
      </c>
      <c r="K84" s="843"/>
      <c r="L84" s="860">
        <v>5.0000000000000001E-3</v>
      </c>
      <c r="M84" s="845"/>
      <c r="N84" s="825"/>
      <c r="O84" s="825"/>
      <c r="P84" s="825"/>
      <c r="Q84" s="825"/>
      <c r="R84" s="825"/>
      <c r="S84" s="825"/>
      <c r="T84" s="103"/>
      <c r="U84" s="103"/>
      <c r="V84" s="846"/>
      <c r="W84" s="103"/>
      <c r="X84" s="103"/>
    </row>
    <row r="85" spans="1:25" ht="20.25" x14ac:dyDescent="0.3">
      <c r="A85" s="1352"/>
      <c r="B85" s="1353"/>
      <c r="C85" s="1350"/>
      <c r="D85" s="1342"/>
      <c r="E85" s="1051" t="s">
        <v>707</v>
      </c>
      <c r="F85" s="1347"/>
      <c r="G85" s="82">
        <v>406558</v>
      </c>
      <c r="H85" s="82">
        <v>105519</v>
      </c>
      <c r="I85" s="410">
        <v>0.26</v>
      </c>
      <c r="J85" s="844">
        <v>251111</v>
      </c>
      <c r="K85" s="844"/>
      <c r="L85" s="839">
        <v>0.26</v>
      </c>
      <c r="M85" s="845"/>
      <c r="N85" s="825"/>
      <c r="O85" s="825"/>
      <c r="P85" s="825"/>
      <c r="Q85" s="825"/>
      <c r="R85" s="825"/>
      <c r="S85" s="825"/>
      <c r="T85" s="103"/>
      <c r="U85" s="103"/>
      <c r="V85" s="846"/>
      <c r="W85" s="103"/>
      <c r="X85" s="103"/>
    </row>
    <row r="86" spans="1:25" ht="112.5" customHeight="1" x14ac:dyDescent="0.3">
      <c r="A86" s="861">
        <v>1516030</v>
      </c>
      <c r="B86" s="862">
        <v>6030</v>
      </c>
      <c r="C86" s="863" t="s">
        <v>26</v>
      </c>
      <c r="D86" s="1089" t="s">
        <v>27</v>
      </c>
      <c r="E86" s="1035" t="s">
        <v>496</v>
      </c>
      <c r="F86" s="370" t="s">
        <v>478</v>
      </c>
      <c r="G86" s="76">
        <v>55031</v>
      </c>
      <c r="H86" s="76">
        <v>0</v>
      </c>
      <c r="I86" s="409">
        <v>0</v>
      </c>
      <c r="J86" s="843">
        <v>55031</v>
      </c>
      <c r="K86" s="843"/>
      <c r="L86" s="837">
        <v>0</v>
      </c>
      <c r="M86" s="845"/>
      <c r="N86" s="825"/>
      <c r="O86" s="825"/>
      <c r="P86" s="825"/>
      <c r="Q86" s="825"/>
      <c r="R86" s="825"/>
      <c r="S86" s="825"/>
      <c r="T86" s="103"/>
      <c r="U86" s="103"/>
      <c r="V86" s="846"/>
      <c r="W86" s="103"/>
      <c r="X86" s="103"/>
    </row>
    <row r="87" spans="1:25" ht="86.25" customHeight="1" x14ac:dyDescent="0.3">
      <c r="A87" s="1352">
        <v>1516030</v>
      </c>
      <c r="B87" s="1353">
        <v>6030</v>
      </c>
      <c r="C87" s="1350" t="s">
        <v>26</v>
      </c>
      <c r="D87" s="1342" t="s">
        <v>27</v>
      </c>
      <c r="E87" s="1034" t="s">
        <v>627</v>
      </c>
      <c r="F87" s="931" t="s">
        <v>628</v>
      </c>
      <c r="G87" s="76">
        <v>3910004</v>
      </c>
      <c r="H87" s="76">
        <v>658537.76</v>
      </c>
      <c r="I87" s="409">
        <f>H87/G87</f>
        <v>0.16842380723907188</v>
      </c>
      <c r="J87" s="110">
        <f>1000000+500000+1150000</f>
        <v>2650000</v>
      </c>
      <c r="K87" s="110">
        <v>2480646.21</v>
      </c>
      <c r="L87" s="837">
        <f>(K87+H87)/G87</f>
        <v>0.80285952904395996</v>
      </c>
      <c r="M87" s="845"/>
      <c r="N87" s="825"/>
      <c r="O87" s="825"/>
      <c r="P87" s="825"/>
      <c r="Q87" s="825"/>
      <c r="R87" s="825"/>
      <c r="S87" s="825"/>
      <c r="T87" s="103"/>
      <c r="U87" s="103"/>
      <c r="V87" s="846"/>
      <c r="W87" s="103"/>
      <c r="X87" s="103"/>
    </row>
    <row r="88" spans="1:25" ht="20.25" x14ac:dyDescent="0.3">
      <c r="A88" s="1352"/>
      <c r="B88" s="1353"/>
      <c r="C88" s="1350"/>
      <c r="D88" s="1342"/>
      <c r="E88" s="1047" t="s">
        <v>253</v>
      </c>
      <c r="F88" s="81"/>
      <c r="G88" s="82">
        <v>174543</v>
      </c>
      <c r="H88" s="82">
        <v>154159.98000000001</v>
      </c>
      <c r="I88" s="410">
        <v>1</v>
      </c>
      <c r="J88" s="85"/>
      <c r="K88" s="85"/>
      <c r="L88" s="839">
        <v>1</v>
      </c>
      <c r="M88" s="845"/>
      <c r="N88" s="825"/>
      <c r="O88" s="825"/>
      <c r="P88" s="825"/>
      <c r="Q88" s="825"/>
      <c r="R88" s="825"/>
      <c r="S88" s="825"/>
      <c r="T88" s="103"/>
      <c r="U88" s="103"/>
      <c r="V88" s="846"/>
      <c r="W88" s="103"/>
      <c r="X88" s="103"/>
    </row>
    <row r="89" spans="1:25" ht="93" customHeight="1" x14ac:dyDescent="0.3">
      <c r="A89" s="861">
        <v>1516030</v>
      </c>
      <c r="B89" s="862">
        <v>6030</v>
      </c>
      <c r="C89" s="863" t="s">
        <v>26</v>
      </c>
      <c r="D89" s="1089" t="s">
        <v>27</v>
      </c>
      <c r="E89" s="1035" t="s">
        <v>497</v>
      </c>
      <c r="F89" s="370" t="s">
        <v>478</v>
      </c>
      <c r="G89" s="76">
        <v>49800</v>
      </c>
      <c r="H89" s="76">
        <v>0</v>
      </c>
      <c r="I89" s="409">
        <v>0</v>
      </c>
      <c r="J89" s="843">
        <v>49800</v>
      </c>
      <c r="K89" s="843">
        <v>49800</v>
      </c>
      <c r="L89" s="837">
        <v>1</v>
      </c>
      <c r="M89" s="845"/>
      <c r="N89" s="825"/>
      <c r="O89" s="825"/>
      <c r="P89" s="825"/>
      <c r="Q89" s="825"/>
      <c r="R89" s="825"/>
      <c r="S89" s="825"/>
      <c r="T89" s="103"/>
      <c r="U89" s="103"/>
      <c r="V89" s="846"/>
      <c r="W89" s="103"/>
      <c r="X89" s="103"/>
    </row>
    <row r="90" spans="1:25" ht="125.25" customHeight="1" x14ac:dyDescent="0.3">
      <c r="A90" s="1352">
        <v>1516030</v>
      </c>
      <c r="B90" s="1353">
        <v>6030</v>
      </c>
      <c r="C90" s="1350" t="s">
        <v>26</v>
      </c>
      <c r="D90" s="1342" t="s">
        <v>27</v>
      </c>
      <c r="E90" s="1035" t="s">
        <v>708</v>
      </c>
      <c r="F90" s="1338" t="s">
        <v>478</v>
      </c>
      <c r="G90" s="76">
        <v>3600539</v>
      </c>
      <c r="H90" s="76">
        <v>0</v>
      </c>
      <c r="I90" s="409">
        <v>0</v>
      </c>
      <c r="J90" s="110">
        <v>100539</v>
      </c>
      <c r="K90" s="110">
        <f>K91</f>
        <v>98826.39</v>
      </c>
      <c r="L90" s="837">
        <f>K90/G90*100%</f>
        <v>2.7447665474530342E-2</v>
      </c>
      <c r="M90" s="845"/>
      <c r="N90" s="825"/>
      <c r="O90" s="825"/>
      <c r="P90" s="825"/>
      <c r="Q90" s="825"/>
      <c r="R90" s="825"/>
      <c r="S90" s="825"/>
      <c r="T90" s="103"/>
      <c r="U90" s="103"/>
      <c r="V90" s="846"/>
      <c r="W90" s="103"/>
      <c r="X90" s="103"/>
    </row>
    <row r="91" spans="1:25" ht="20.25" x14ac:dyDescent="0.3">
      <c r="A91" s="1352"/>
      <c r="B91" s="1353"/>
      <c r="C91" s="1350"/>
      <c r="D91" s="1342"/>
      <c r="E91" s="1047" t="s">
        <v>475</v>
      </c>
      <c r="F91" s="1338"/>
      <c r="G91" s="82">
        <v>100539</v>
      </c>
      <c r="H91" s="82"/>
      <c r="I91" s="410">
        <v>0</v>
      </c>
      <c r="J91" s="85">
        <v>100539</v>
      </c>
      <c r="K91" s="85">
        <v>98826.39</v>
      </c>
      <c r="L91" s="839">
        <v>1</v>
      </c>
      <c r="M91" s="845"/>
      <c r="N91" s="825"/>
      <c r="O91" s="825"/>
      <c r="P91" s="825"/>
      <c r="Q91" s="825"/>
      <c r="R91" s="825"/>
      <c r="S91" s="825"/>
      <c r="T91" s="103"/>
      <c r="U91" s="103"/>
      <c r="V91" s="846"/>
      <c r="W91" s="103"/>
      <c r="X91" s="103"/>
    </row>
    <row r="92" spans="1:25" ht="100.5" customHeight="1" x14ac:dyDescent="0.3">
      <c r="A92" s="1352">
        <v>1516030</v>
      </c>
      <c r="B92" s="1353">
        <v>6030</v>
      </c>
      <c r="C92" s="1350" t="s">
        <v>26</v>
      </c>
      <c r="D92" s="1342" t="s">
        <v>27</v>
      </c>
      <c r="E92" s="1035" t="s">
        <v>709</v>
      </c>
      <c r="F92" s="1338" t="s">
        <v>478</v>
      </c>
      <c r="G92" s="76">
        <v>11533080</v>
      </c>
      <c r="H92" s="76">
        <v>0</v>
      </c>
      <c r="I92" s="409">
        <v>0</v>
      </c>
      <c r="J92" s="110">
        <v>15000</v>
      </c>
      <c r="K92" s="110"/>
      <c r="L92" s="837">
        <f>J92/G92</f>
        <v>1.3006066029196018E-3</v>
      </c>
      <c r="M92" s="845"/>
      <c r="N92" s="825"/>
      <c r="O92" s="825"/>
      <c r="P92" s="825"/>
      <c r="Q92" s="825"/>
      <c r="R92" s="825"/>
      <c r="S92" s="825"/>
      <c r="T92" s="103"/>
      <c r="U92" s="103"/>
      <c r="V92" s="846"/>
      <c r="W92" s="103"/>
      <c r="X92" s="103"/>
    </row>
    <row r="93" spans="1:25" ht="20.25" x14ac:dyDescent="0.3">
      <c r="A93" s="1352"/>
      <c r="B93" s="1353"/>
      <c r="C93" s="1350"/>
      <c r="D93" s="1342"/>
      <c r="E93" s="1047" t="s">
        <v>475</v>
      </c>
      <c r="F93" s="1338"/>
      <c r="G93" s="82">
        <v>971364</v>
      </c>
      <c r="H93" s="82"/>
      <c r="I93" s="410">
        <v>0</v>
      </c>
      <c r="J93" s="85">
        <v>15000</v>
      </c>
      <c r="K93" s="85"/>
      <c r="L93" s="839">
        <v>0</v>
      </c>
      <c r="M93" s="845"/>
      <c r="N93" s="825"/>
      <c r="O93" s="825"/>
      <c r="P93" s="825"/>
      <c r="Q93" s="825"/>
      <c r="R93" s="825"/>
      <c r="S93" s="825"/>
      <c r="T93" s="103"/>
      <c r="U93" s="103"/>
      <c r="V93" s="846"/>
      <c r="W93" s="103"/>
      <c r="X93" s="103"/>
    </row>
    <row r="94" spans="1:25" s="835" customFormat="1" ht="60.75" x14ac:dyDescent="0.3">
      <c r="A94" s="1358" t="s">
        <v>498</v>
      </c>
      <c r="B94" s="1360" t="s">
        <v>129</v>
      </c>
      <c r="C94" s="1360" t="s">
        <v>130</v>
      </c>
      <c r="D94" s="1362" t="s">
        <v>131</v>
      </c>
      <c r="E94" s="1036" t="s">
        <v>499</v>
      </c>
      <c r="F94" s="1356" t="s">
        <v>500</v>
      </c>
      <c r="G94" s="111">
        <f>45050824-45050824+41614646</f>
        <v>41614646</v>
      </c>
      <c r="H94" s="411">
        <f>2753824+7531097-2799508-7485413+2902210</f>
        <v>2902210</v>
      </c>
      <c r="I94" s="416">
        <f>H94/G94*100%</f>
        <v>6.9740110248685039E-2</v>
      </c>
      <c r="J94" s="411">
        <f>2799508-2799508+4991926+490356+1007036+997461+40114</f>
        <v>7526893</v>
      </c>
      <c r="K94" s="411">
        <f>K95</f>
        <v>6955994.1799999997</v>
      </c>
      <c r="L94" s="1095">
        <f>(K94+H94)/G94*100%</f>
        <v>0.23689265985826238</v>
      </c>
      <c r="M94" s="62"/>
      <c r="N94" s="17"/>
      <c r="O94" s="62"/>
    </row>
    <row r="95" spans="1:25" s="835" customFormat="1" ht="61.5" thickBot="1" x14ac:dyDescent="0.3">
      <c r="A95" s="1359"/>
      <c r="B95" s="1361"/>
      <c r="C95" s="1361"/>
      <c r="D95" s="1363"/>
      <c r="E95" s="1117" t="s">
        <v>501</v>
      </c>
      <c r="F95" s="1364"/>
      <c r="G95" s="417">
        <f>10458431-10458431+10463759</f>
        <v>10463759</v>
      </c>
      <c r="H95" s="418">
        <f>7531097-2799508-4731589+2902210</f>
        <v>2902210</v>
      </c>
      <c r="I95" s="419">
        <f>H95/G95*100%</f>
        <v>0.27735826102264016</v>
      </c>
      <c r="J95" s="418">
        <f>2799508-2799508+4991926+490356+1007036+997461+40114</f>
        <v>7526893</v>
      </c>
      <c r="K95" s="418">
        <v>6955994.1799999997</v>
      </c>
      <c r="L95" s="420">
        <f>(K95+H95)/G95*100%</f>
        <v>0.94212836706197067</v>
      </c>
      <c r="M95" s="62"/>
      <c r="N95" s="62"/>
      <c r="O95" s="62"/>
    </row>
    <row r="96" spans="1:25" s="17" customFormat="1" ht="61.5" thickBot="1" x14ac:dyDescent="0.35">
      <c r="A96" s="421" t="s">
        <v>179</v>
      </c>
      <c r="B96" s="422" t="s">
        <v>14</v>
      </c>
      <c r="C96" s="422" t="s">
        <v>14</v>
      </c>
      <c r="D96" s="1090" t="s">
        <v>710</v>
      </c>
      <c r="E96" s="1048"/>
      <c r="F96" s="423"/>
      <c r="G96" s="424"/>
      <c r="H96" s="425"/>
      <c r="I96" s="426"/>
      <c r="J96" s="407">
        <f>J97</f>
        <v>9670744</v>
      </c>
      <c r="K96" s="407">
        <f>K97</f>
        <v>9099315.0199999996</v>
      </c>
      <c r="L96" s="864"/>
      <c r="M96" s="62"/>
      <c r="N96" s="62"/>
      <c r="O96" s="62"/>
    </row>
    <row r="97" spans="1:15" s="102" customFormat="1" ht="60.75" x14ac:dyDescent="0.35">
      <c r="A97" s="1123" t="s">
        <v>181</v>
      </c>
      <c r="B97" s="1124" t="s">
        <v>14</v>
      </c>
      <c r="C97" s="1124" t="s">
        <v>14</v>
      </c>
      <c r="D97" s="1125" t="s">
        <v>710</v>
      </c>
      <c r="E97" s="1072"/>
      <c r="F97" s="1126"/>
      <c r="G97" s="1127"/>
      <c r="H97" s="1128"/>
      <c r="I97" s="1129"/>
      <c r="J97" s="1128">
        <f>J98</f>
        <v>9670744</v>
      </c>
      <c r="K97" s="1128">
        <f>K98</f>
        <v>9099315.0199999996</v>
      </c>
      <c r="L97" s="1151"/>
      <c r="M97" s="62"/>
      <c r="N97" s="62"/>
      <c r="O97" s="62"/>
    </row>
    <row r="98" spans="1:15" s="103" customFormat="1" ht="57.75" customHeight="1" thickBot="1" x14ac:dyDescent="0.35">
      <c r="A98" s="865" t="s">
        <v>502</v>
      </c>
      <c r="B98" s="866" t="s">
        <v>503</v>
      </c>
      <c r="C98" s="866" t="s">
        <v>256</v>
      </c>
      <c r="D98" s="1071" t="s">
        <v>504</v>
      </c>
      <c r="E98" s="1053" t="s">
        <v>505</v>
      </c>
      <c r="F98" s="938"/>
      <c r="G98" s="427"/>
      <c r="H98" s="428"/>
      <c r="I98" s="429"/>
      <c r="J98" s="719">
        <f>1031901+206381+2798176+5062858+571428</f>
        <v>9670744</v>
      </c>
      <c r="K98" s="719">
        <v>9099315.0199999996</v>
      </c>
      <c r="L98" s="1118"/>
      <c r="M98" s="62"/>
      <c r="N98" s="62"/>
      <c r="O98" s="62"/>
    </row>
    <row r="99" spans="1:15" ht="47.25" customHeight="1" thickBot="1" x14ac:dyDescent="0.3">
      <c r="A99" s="421">
        <v>2700000</v>
      </c>
      <c r="B99" s="422" t="s">
        <v>14</v>
      </c>
      <c r="C99" s="422" t="s">
        <v>14</v>
      </c>
      <c r="D99" s="1090" t="s">
        <v>711</v>
      </c>
      <c r="E99" s="1048"/>
      <c r="F99" s="423"/>
      <c r="G99" s="424"/>
      <c r="H99" s="425"/>
      <c r="I99" s="426"/>
      <c r="J99" s="407">
        <f>J100</f>
        <v>58780</v>
      </c>
      <c r="K99" s="407">
        <f>K100</f>
        <v>58780</v>
      </c>
      <c r="L99" s="867"/>
    </row>
    <row r="100" spans="1:15" ht="40.5" x14ac:dyDescent="0.25">
      <c r="A100" s="1123">
        <v>2710000</v>
      </c>
      <c r="B100" s="1124" t="s">
        <v>14</v>
      </c>
      <c r="C100" s="1124" t="s">
        <v>14</v>
      </c>
      <c r="D100" s="1125" t="s">
        <v>711</v>
      </c>
      <c r="E100" s="1072"/>
      <c r="F100" s="1126"/>
      <c r="G100" s="1127"/>
      <c r="H100" s="1128"/>
      <c r="I100" s="1129"/>
      <c r="J100" s="1128">
        <f>J101</f>
        <v>58780</v>
      </c>
      <c r="K100" s="1128">
        <f>K101</f>
        <v>58780</v>
      </c>
      <c r="L100" s="1131"/>
    </row>
    <row r="101" spans="1:15" ht="52.5" customHeight="1" thickBot="1" x14ac:dyDescent="0.3">
      <c r="A101" s="935" t="s">
        <v>186</v>
      </c>
      <c r="B101" s="937" t="s">
        <v>42</v>
      </c>
      <c r="C101" s="937" t="s">
        <v>16</v>
      </c>
      <c r="D101" s="1107" t="s">
        <v>156</v>
      </c>
      <c r="E101" s="1071" t="s">
        <v>251</v>
      </c>
      <c r="F101" s="933"/>
      <c r="G101" s="390"/>
      <c r="H101" s="390"/>
      <c r="I101" s="390"/>
      <c r="J101" s="391">
        <v>58780</v>
      </c>
      <c r="K101" s="390">
        <v>58780</v>
      </c>
      <c r="L101" s="1119"/>
    </row>
    <row r="102" spans="1:15" ht="41.25" thickBot="1" x14ac:dyDescent="0.3">
      <c r="A102" s="421">
        <v>3100000</v>
      </c>
      <c r="B102" s="422" t="s">
        <v>14</v>
      </c>
      <c r="C102" s="422" t="s">
        <v>14</v>
      </c>
      <c r="D102" s="1090" t="s">
        <v>443</v>
      </c>
      <c r="E102" s="1048"/>
      <c r="F102" s="423"/>
      <c r="G102" s="424"/>
      <c r="H102" s="425"/>
      <c r="I102" s="426"/>
      <c r="J102" s="407">
        <f>J103</f>
        <v>38000</v>
      </c>
      <c r="K102" s="407">
        <f>K103</f>
        <v>38000</v>
      </c>
      <c r="L102" s="868"/>
    </row>
    <row r="103" spans="1:15" ht="39" customHeight="1" x14ac:dyDescent="0.25">
      <c r="A103" s="1123">
        <v>3110000</v>
      </c>
      <c r="B103" s="1124" t="s">
        <v>14</v>
      </c>
      <c r="C103" s="1124" t="s">
        <v>14</v>
      </c>
      <c r="D103" s="1125" t="s">
        <v>443</v>
      </c>
      <c r="E103" s="1072"/>
      <c r="F103" s="1126"/>
      <c r="G103" s="1127"/>
      <c r="H103" s="1128"/>
      <c r="I103" s="1129"/>
      <c r="J103" s="1128">
        <f>J104</f>
        <v>38000</v>
      </c>
      <c r="K103" s="1128">
        <f>K104</f>
        <v>38000</v>
      </c>
      <c r="L103" s="1130"/>
    </row>
    <row r="104" spans="1:15" ht="100.5" customHeight="1" thickBot="1" x14ac:dyDescent="0.3">
      <c r="A104" s="935" t="s">
        <v>696</v>
      </c>
      <c r="B104" s="937" t="s">
        <v>218</v>
      </c>
      <c r="C104" s="937" t="s">
        <v>152</v>
      </c>
      <c r="D104" s="1053" t="s">
        <v>219</v>
      </c>
      <c r="E104" s="1071" t="s">
        <v>712</v>
      </c>
      <c r="F104" s="933"/>
      <c r="G104" s="390"/>
      <c r="H104" s="390"/>
      <c r="I104" s="390"/>
      <c r="J104" s="391">
        <v>38000</v>
      </c>
      <c r="K104" s="1120">
        <v>38000</v>
      </c>
      <c r="L104" s="1119"/>
    </row>
    <row r="105" spans="1:15" ht="44.25" customHeight="1" thickBot="1" x14ac:dyDescent="0.3">
      <c r="A105" s="421">
        <v>3700000</v>
      </c>
      <c r="B105" s="422" t="s">
        <v>14</v>
      </c>
      <c r="C105" s="422" t="s">
        <v>14</v>
      </c>
      <c r="D105" s="1090" t="s">
        <v>713</v>
      </c>
      <c r="E105" s="1048"/>
      <c r="F105" s="423"/>
      <c r="G105" s="424"/>
      <c r="H105" s="425"/>
      <c r="I105" s="426"/>
      <c r="J105" s="407">
        <f>J106</f>
        <v>45530</v>
      </c>
      <c r="K105" s="407">
        <f>K106</f>
        <v>45530</v>
      </c>
      <c r="L105" s="868"/>
    </row>
    <row r="106" spans="1:15" ht="40.5" x14ac:dyDescent="0.25">
      <c r="A106" s="1123">
        <v>3710000</v>
      </c>
      <c r="B106" s="1124" t="s">
        <v>14</v>
      </c>
      <c r="C106" s="1124" t="s">
        <v>14</v>
      </c>
      <c r="D106" s="1125" t="s">
        <v>449</v>
      </c>
      <c r="E106" s="1072"/>
      <c r="F106" s="1126"/>
      <c r="G106" s="1127"/>
      <c r="H106" s="1128"/>
      <c r="I106" s="1129"/>
      <c r="J106" s="1128">
        <f>J107</f>
        <v>45530</v>
      </c>
      <c r="K106" s="1128">
        <f>K107</f>
        <v>45530</v>
      </c>
      <c r="L106" s="1130"/>
    </row>
    <row r="107" spans="1:15" ht="51" customHeight="1" thickBot="1" x14ac:dyDescent="0.3">
      <c r="A107" s="935" t="s">
        <v>192</v>
      </c>
      <c r="B107" s="937" t="s">
        <v>42</v>
      </c>
      <c r="C107" s="937" t="s">
        <v>16</v>
      </c>
      <c r="D107" s="1107" t="s">
        <v>156</v>
      </c>
      <c r="E107" s="1038" t="s">
        <v>251</v>
      </c>
      <c r="F107" s="933"/>
      <c r="G107" s="390"/>
      <c r="H107" s="390"/>
      <c r="I107" s="390"/>
      <c r="J107" s="391">
        <v>45530</v>
      </c>
      <c r="K107" s="390">
        <v>45530</v>
      </c>
      <c r="L107" s="1119"/>
    </row>
    <row r="108" spans="1:15" ht="21" thickBot="1" x14ac:dyDescent="0.3">
      <c r="A108" s="1121" t="s">
        <v>255</v>
      </c>
      <c r="B108" s="75" t="s">
        <v>255</v>
      </c>
      <c r="C108" s="75" t="s">
        <v>255</v>
      </c>
      <c r="D108" s="74" t="s">
        <v>138</v>
      </c>
      <c r="E108" s="86" t="s">
        <v>255</v>
      </c>
      <c r="F108" s="87" t="s">
        <v>255</v>
      </c>
      <c r="G108" s="88" t="s">
        <v>255</v>
      </c>
      <c r="H108" s="88" t="s">
        <v>255</v>
      </c>
      <c r="I108" s="88" t="s">
        <v>255</v>
      </c>
      <c r="J108" s="1122">
        <f>J16+J34+J42+J47+J51+J39+J96+J25+J99+J105+J102</f>
        <v>108496161</v>
      </c>
      <c r="K108" s="1122">
        <f>K16+K34+K42+K47+K51+K39+K96+K25+K99+K105+K102</f>
        <v>91227532.989999995</v>
      </c>
      <c r="L108" s="868"/>
    </row>
    <row r="109" spans="1:15" ht="20.25" x14ac:dyDescent="0.25">
      <c r="A109" s="90"/>
      <c r="B109" s="91"/>
      <c r="C109" s="91"/>
      <c r="D109" s="92"/>
      <c r="E109" s="93"/>
      <c r="F109" s="94"/>
      <c r="G109" s="95"/>
      <c r="H109" s="95"/>
      <c r="I109" s="95"/>
      <c r="J109" s="96"/>
      <c r="K109" s="97"/>
    </row>
    <row r="111" spans="1:15" ht="18.75" customHeight="1" x14ac:dyDescent="0.3">
      <c r="A111" s="1302" t="s">
        <v>506</v>
      </c>
      <c r="B111" s="1302"/>
      <c r="C111" s="1302"/>
      <c r="D111" s="1302"/>
      <c r="E111" s="1152"/>
      <c r="F111" s="1152"/>
      <c r="G111" s="1152"/>
      <c r="H111" s="1302" t="s">
        <v>410</v>
      </c>
      <c r="I111" s="1302"/>
      <c r="J111" s="1302"/>
      <c r="K111" s="825"/>
    </row>
  </sheetData>
  <mergeCells count="98">
    <mergeCell ref="A111:D111"/>
    <mergeCell ref="H111:J111"/>
    <mergeCell ref="J3:K3"/>
    <mergeCell ref="F92:F93"/>
    <mergeCell ref="A94:A95"/>
    <mergeCell ref="B94:B95"/>
    <mergeCell ref="C94:C95"/>
    <mergeCell ref="D94:D95"/>
    <mergeCell ref="F94:F95"/>
    <mergeCell ref="A84:A85"/>
    <mergeCell ref="B84:B85"/>
    <mergeCell ref="C84:C85"/>
    <mergeCell ref="D84:D85"/>
    <mergeCell ref="F84:F85"/>
    <mergeCell ref="A78:A79"/>
    <mergeCell ref="B78:B79"/>
    <mergeCell ref="B72:B73"/>
    <mergeCell ref="C72:C73"/>
    <mergeCell ref="D72:D73"/>
    <mergeCell ref="F72:F73"/>
    <mergeCell ref="A74:A75"/>
    <mergeCell ref="B74:B75"/>
    <mergeCell ref="C74:C75"/>
    <mergeCell ref="D74:D75"/>
    <mergeCell ref="F74:F75"/>
    <mergeCell ref="A72:A73"/>
    <mergeCell ref="A56:A58"/>
    <mergeCell ref="B56:B58"/>
    <mergeCell ref="C56:C58"/>
    <mergeCell ref="D56:D58"/>
    <mergeCell ref="F56:F57"/>
    <mergeCell ref="A80:A83"/>
    <mergeCell ref="B80:B83"/>
    <mergeCell ref="C80:C83"/>
    <mergeCell ref="D80:D83"/>
    <mergeCell ref="F90:F91"/>
    <mergeCell ref="F80:F83"/>
    <mergeCell ref="C78:C79"/>
    <mergeCell ref="D78:D79"/>
    <mergeCell ref="F78:F79"/>
    <mergeCell ref="A92:A93"/>
    <mergeCell ref="A90:A91"/>
    <mergeCell ref="B90:B91"/>
    <mergeCell ref="C90:C91"/>
    <mergeCell ref="D90:D91"/>
    <mergeCell ref="B92:B93"/>
    <mergeCell ref="C92:C93"/>
    <mergeCell ref="D92:D93"/>
    <mergeCell ref="A87:A88"/>
    <mergeCell ref="B87:B88"/>
    <mergeCell ref="C87:C88"/>
    <mergeCell ref="D87:D88"/>
    <mergeCell ref="A70:A71"/>
    <mergeCell ref="B70:B71"/>
    <mergeCell ref="C70:C71"/>
    <mergeCell ref="D70:D71"/>
    <mergeCell ref="F70:F71"/>
    <mergeCell ref="A66:A69"/>
    <mergeCell ref="B66:B69"/>
    <mergeCell ref="C66:C69"/>
    <mergeCell ref="D66:D69"/>
    <mergeCell ref="F66:F69"/>
    <mergeCell ref="A59:A60"/>
    <mergeCell ref="B59:B60"/>
    <mergeCell ref="C59:C60"/>
    <mergeCell ref="D59:D60"/>
    <mergeCell ref="A61:A62"/>
    <mergeCell ref="B61:B62"/>
    <mergeCell ref="C61:C62"/>
    <mergeCell ref="D61:D62"/>
    <mergeCell ref="F61:F62"/>
    <mergeCell ref="A63:A64"/>
    <mergeCell ref="B63:B64"/>
    <mergeCell ref="C63:C64"/>
    <mergeCell ref="D63:D64"/>
    <mergeCell ref="F63:F64"/>
    <mergeCell ref="A54:A55"/>
    <mergeCell ref="B54:B55"/>
    <mergeCell ref="C54:C55"/>
    <mergeCell ref="D54:D55"/>
    <mergeCell ref="F54:F55"/>
    <mergeCell ref="L13:L14"/>
    <mergeCell ref="F13:F14"/>
    <mergeCell ref="G13:G14"/>
    <mergeCell ref="H13:H14"/>
    <mergeCell ref="I13:I14"/>
    <mergeCell ref="J13:J14"/>
    <mergeCell ref="K13:K14"/>
    <mergeCell ref="I6:J6"/>
    <mergeCell ref="A10:L10"/>
    <mergeCell ref="A11:C11"/>
    <mergeCell ref="D11:L11"/>
    <mergeCell ref="A12:C12"/>
    <mergeCell ref="A13:A14"/>
    <mergeCell ref="B13:B14"/>
    <mergeCell ref="C13:C14"/>
    <mergeCell ref="D13:D14"/>
    <mergeCell ref="E13:E14"/>
  </mergeCells>
  <hyperlinks>
    <hyperlink ref="D31" r:id="rId1" location="n8" display="https://zakon.rada.gov.ua/rada/show/988-2016-%D1%80 - n8"/>
    <hyperlink ref="D32" r:id="rId2" location="n8" display="https://zakon.rada.gov.ua/rada/show/988-2016-%D1%80 - n8"/>
  </hyperlinks>
  <pageMargins left="0.70866141732283472" right="0.70866141732283472" top="0.74803149606299213" bottom="0.74803149606299213" header="0.31496062992125984" footer="0.31496062992125984"/>
  <pageSetup paperSize="9" scale="42" orientation="landscape" r:id="rId3"/>
  <rowBreaks count="5" manualBreakCount="5">
    <brk id="28" max="11" man="1"/>
    <brk id="58" max="11" man="1"/>
    <brk id="71" max="11" man="1"/>
    <brk id="86" max="11" man="1"/>
    <brk id="95"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4"/>
  <sheetViews>
    <sheetView view="pageBreakPreview" zoomScaleNormal="100" zoomScaleSheetLayoutView="100" workbookViewId="0">
      <selection activeCell="F6" sqref="F6"/>
    </sheetView>
  </sheetViews>
  <sheetFormatPr defaultRowHeight="15.75" x14ac:dyDescent="0.25"/>
  <cols>
    <col min="1" max="1" width="18.7109375" style="67" customWidth="1"/>
    <col min="2" max="2" width="17.5703125" style="67" customWidth="1"/>
    <col min="3" max="3" width="17.28515625" style="162" customWidth="1"/>
    <col min="4" max="4" width="33" style="67" customWidth="1"/>
    <col min="5" max="5" width="55" style="67" customWidth="1"/>
    <col min="6" max="6" width="19.140625" style="67" customWidth="1"/>
    <col min="7" max="7" width="15.42578125" style="67" customWidth="1"/>
    <col min="8" max="8" width="13.7109375" style="67" customWidth="1"/>
    <col min="9" max="256" width="9.140625" style="67"/>
    <col min="257" max="257" width="12.85546875" style="67" customWidth="1"/>
    <col min="258" max="258" width="13" style="67" customWidth="1"/>
    <col min="259" max="259" width="13.42578125" style="67" customWidth="1"/>
    <col min="260" max="260" width="25.5703125" style="67" customWidth="1"/>
    <col min="261" max="261" width="50.5703125" style="67" customWidth="1"/>
    <col min="262" max="262" width="19.140625" style="67" customWidth="1"/>
    <col min="263" max="263" width="16.42578125" style="67" customWidth="1"/>
    <col min="264" max="264" width="13.7109375" style="67" customWidth="1"/>
    <col min="265" max="512" width="9.140625" style="67"/>
    <col min="513" max="513" width="12.85546875" style="67" customWidth="1"/>
    <col min="514" max="514" width="13" style="67" customWidth="1"/>
    <col min="515" max="515" width="13.42578125" style="67" customWidth="1"/>
    <col min="516" max="516" width="25.5703125" style="67" customWidth="1"/>
    <col min="517" max="517" width="50.5703125" style="67" customWidth="1"/>
    <col min="518" max="518" width="19.140625" style="67" customWidth="1"/>
    <col min="519" max="519" width="16.42578125" style="67" customWidth="1"/>
    <col min="520" max="520" width="13.7109375" style="67" customWidth="1"/>
    <col min="521" max="768" width="9.140625" style="67"/>
    <col min="769" max="769" width="12.85546875" style="67" customWidth="1"/>
    <col min="770" max="770" width="13" style="67" customWidth="1"/>
    <col min="771" max="771" width="13.42578125" style="67" customWidth="1"/>
    <col min="772" max="772" width="25.5703125" style="67" customWidth="1"/>
    <col min="773" max="773" width="50.5703125" style="67" customWidth="1"/>
    <col min="774" max="774" width="19.140625" style="67" customWidth="1"/>
    <col min="775" max="775" width="16.42578125" style="67" customWidth="1"/>
    <col min="776" max="776" width="13.7109375" style="67" customWidth="1"/>
    <col min="777" max="1024" width="9.140625" style="67"/>
    <col min="1025" max="1025" width="12.85546875" style="67" customWidth="1"/>
    <col min="1026" max="1026" width="13" style="67" customWidth="1"/>
    <col min="1027" max="1027" width="13.42578125" style="67" customWidth="1"/>
    <col min="1028" max="1028" width="25.5703125" style="67" customWidth="1"/>
    <col min="1029" max="1029" width="50.5703125" style="67" customWidth="1"/>
    <col min="1030" max="1030" width="19.140625" style="67" customWidth="1"/>
    <col min="1031" max="1031" width="16.42578125" style="67" customWidth="1"/>
    <col min="1032" max="1032" width="13.7109375" style="67" customWidth="1"/>
    <col min="1033" max="1280" width="9.140625" style="67"/>
    <col min="1281" max="1281" width="12.85546875" style="67" customWidth="1"/>
    <col min="1282" max="1282" width="13" style="67" customWidth="1"/>
    <col min="1283" max="1283" width="13.42578125" style="67" customWidth="1"/>
    <col min="1284" max="1284" width="25.5703125" style="67" customWidth="1"/>
    <col min="1285" max="1285" width="50.5703125" style="67" customWidth="1"/>
    <col min="1286" max="1286" width="19.140625" style="67" customWidth="1"/>
    <col min="1287" max="1287" width="16.42578125" style="67" customWidth="1"/>
    <col min="1288" max="1288" width="13.7109375" style="67" customWidth="1"/>
    <col min="1289" max="1536" width="9.140625" style="67"/>
    <col min="1537" max="1537" width="12.85546875" style="67" customWidth="1"/>
    <col min="1538" max="1538" width="13" style="67" customWidth="1"/>
    <col min="1539" max="1539" width="13.42578125" style="67" customWidth="1"/>
    <col min="1540" max="1540" width="25.5703125" style="67" customWidth="1"/>
    <col min="1541" max="1541" width="50.5703125" style="67" customWidth="1"/>
    <col min="1542" max="1542" width="19.140625" style="67" customWidth="1"/>
    <col min="1543" max="1543" width="16.42578125" style="67" customWidth="1"/>
    <col min="1544" max="1544" width="13.7109375" style="67" customWidth="1"/>
    <col min="1545" max="1792" width="9.140625" style="67"/>
    <col min="1793" max="1793" width="12.85546875" style="67" customWidth="1"/>
    <col min="1794" max="1794" width="13" style="67" customWidth="1"/>
    <col min="1795" max="1795" width="13.42578125" style="67" customWidth="1"/>
    <col min="1796" max="1796" width="25.5703125" style="67" customWidth="1"/>
    <col min="1797" max="1797" width="50.5703125" style="67" customWidth="1"/>
    <col min="1798" max="1798" width="19.140625" style="67" customWidth="1"/>
    <col min="1799" max="1799" width="16.42578125" style="67" customWidth="1"/>
    <col min="1800" max="1800" width="13.7109375" style="67" customWidth="1"/>
    <col min="1801" max="2048" width="9.140625" style="67"/>
    <col min="2049" max="2049" width="12.85546875" style="67" customWidth="1"/>
    <col min="2050" max="2050" width="13" style="67" customWidth="1"/>
    <col min="2051" max="2051" width="13.42578125" style="67" customWidth="1"/>
    <col min="2052" max="2052" width="25.5703125" style="67" customWidth="1"/>
    <col min="2053" max="2053" width="50.5703125" style="67" customWidth="1"/>
    <col min="2054" max="2054" width="19.140625" style="67" customWidth="1"/>
    <col min="2055" max="2055" width="16.42578125" style="67" customWidth="1"/>
    <col min="2056" max="2056" width="13.7109375" style="67" customWidth="1"/>
    <col min="2057" max="2304" width="9.140625" style="67"/>
    <col min="2305" max="2305" width="12.85546875" style="67" customWidth="1"/>
    <col min="2306" max="2306" width="13" style="67" customWidth="1"/>
    <col min="2307" max="2307" width="13.42578125" style="67" customWidth="1"/>
    <col min="2308" max="2308" width="25.5703125" style="67" customWidth="1"/>
    <col min="2309" max="2309" width="50.5703125" style="67" customWidth="1"/>
    <col min="2310" max="2310" width="19.140625" style="67" customWidth="1"/>
    <col min="2311" max="2311" width="16.42578125" style="67" customWidth="1"/>
    <col min="2312" max="2312" width="13.7109375" style="67" customWidth="1"/>
    <col min="2313" max="2560" width="9.140625" style="67"/>
    <col min="2561" max="2561" width="12.85546875" style="67" customWidth="1"/>
    <col min="2562" max="2562" width="13" style="67" customWidth="1"/>
    <col min="2563" max="2563" width="13.42578125" style="67" customWidth="1"/>
    <col min="2564" max="2564" width="25.5703125" style="67" customWidth="1"/>
    <col min="2565" max="2565" width="50.5703125" style="67" customWidth="1"/>
    <col min="2566" max="2566" width="19.140625" style="67" customWidth="1"/>
    <col min="2567" max="2567" width="16.42578125" style="67" customWidth="1"/>
    <col min="2568" max="2568" width="13.7109375" style="67" customWidth="1"/>
    <col min="2569" max="2816" width="9.140625" style="67"/>
    <col min="2817" max="2817" width="12.85546875" style="67" customWidth="1"/>
    <col min="2818" max="2818" width="13" style="67" customWidth="1"/>
    <col min="2819" max="2819" width="13.42578125" style="67" customWidth="1"/>
    <col min="2820" max="2820" width="25.5703125" style="67" customWidth="1"/>
    <col min="2821" max="2821" width="50.5703125" style="67" customWidth="1"/>
    <col min="2822" max="2822" width="19.140625" style="67" customWidth="1"/>
    <col min="2823" max="2823" width="16.42578125" style="67" customWidth="1"/>
    <col min="2824" max="2824" width="13.7109375" style="67" customWidth="1"/>
    <col min="2825" max="3072" width="9.140625" style="67"/>
    <col min="3073" max="3073" width="12.85546875" style="67" customWidth="1"/>
    <col min="3074" max="3074" width="13" style="67" customWidth="1"/>
    <col min="3075" max="3075" width="13.42578125" style="67" customWidth="1"/>
    <col min="3076" max="3076" width="25.5703125" style="67" customWidth="1"/>
    <col min="3077" max="3077" width="50.5703125" style="67" customWidth="1"/>
    <col min="3078" max="3078" width="19.140625" style="67" customWidth="1"/>
    <col min="3079" max="3079" width="16.42578125" style="67" customWidth="1"/>
    <col min="3080" max="3080" width="13.7109375" style="67" customWidth="1"/>
    <col min="3081" max="3328" width="9.140625" style="67"/>
    <col min="3329" max="3329" width="12.85546875" style="67" customWidth="1"/>
    <col min="3330" max="3330" width="13" style="67" customWidth="1"/>
    <col min="3331" max="3331" width="13.42578125" style="67" customWidth="1"/>
    <col min="3332" max="3332" width="25.5703125" style="67" customWidth="1"/>
    <col min="3333" max="3333" width="50.5703125" style="67" customWidth="1"/>
    <col min="3334" max="3334" width="19.140625" style="67" customWidth="1"/>
    <col min="3335" max="3335" width="16.42578125" style="67" customWidth="1"/>
    <col min="3336" max="3336" width="13.7109375" style="67" customWidth="1"/>
    <col min="3337" max="3584" width="9.140625" style="67"/>
    <col min="3585" max="3585" width="12.85546875" style="67" customWidth="1"/>
    <col min="3586" max="3586" width="13" style="67" customWidth="1"/>
    <col min="3587" max="3587" width="13.42578125" style="67" customWidth="1"/>
    <col min="3588" max="3588" width="25.5703125" style="67" customWidth="1"/>
    <col min="3589" max="3589" width="50.5703125" style="67" customWidth="1"/>
    <col min="3590" max="3590" width="19.140625" style="67" customWidth="1"/>
    <col min="3591" max="3591" width="16.42578125" style="67" customWidth="1"/>
    <col min="3592" max="3592" width="13.7109375" style="67" customWidth="1"/>
    <col min="3593" max="3840" width="9.140625" style="67"/>
    <col min="3841" max="3841" width="12.85546875" style="67" customWidth="1"/>
    <col min="3842" max="3842" width="13" style="67" customWidth="1"/>
    <col min="3843" max="3843" width="13.42578125" style="67" customWidth="1"/>
    <col min="3844" max="3844" width="25.5703125" style="67" customWidth="1"/>
    <col min="3845" max="3845" width="50.5703125" style="67" customWidth="1"/>
    <col min="3846" max="3846" width="19.140625" style="67" customWidth="1"/>
    <col min="3847" max="3847" width="16.42578125" style="67" customWidth="1"/>
    <col min="3848" max="3848" width="13.7109375" style="67" customWidth="1"/>
    <col min="3849" max="4096" width="9.140625" style="67"/>
    <col min="4097" max="4097" width="12.85546875" style="67" customWidth="1"/>
    <col min="4098" max="4098" width="13" style="67" customWidth="1"/>
    <col min="4099" max="4099" width="13.42578125" style="67" customWidth="1"/>
    <col min="4100" max="4100" width="25.5703125" style="67" customWidth="1"/>
    <col min="4101" max="4101" width="50.5703125" style="67" customWidth="1"/>
    <col min="4102" max="4102" width="19.140625" style="67" customWidth="1"/>
    <col min="4103" max="4103" width="16.42578125" style="67" customWidth="1"/>
    <col min="4104" max="4104" width="13.7109375" style="67" customWidth="1"/>
    <col min="4105" max="4352" width="9.140625" style="67"/>
    <col min="4353" max="4353" width="12.85546875" style="67" customWidth="1"/>
    <col min="4354" max="4354" width="13" style="67" customWidth="1"/>
    <col min="4355" max="4355" width="13.42578125" style="67" customWidth="1"/>
    <col min="4356" max="4356" width="25.5703125" style="67" customWidth="1"/>
    <col min="4357" max="4357" width="50.5703125" style="67" customWidth="1"/>
    <col min="4358" max="4358" width="19.140625" style="67" customWidth="1"/>
    <col min="4359" max="4359" width="16.42578125" style="67" customWidth="1"/>
    <col min="4360" max="4360" width="13.7109375" style="67" customWidth="1"/>
    <col min="4361" max="4608" width="9.140625" style="67"/>
    <col min="4609" max="4609" width="12.85546875" style="67" customWidth="1"/>
    <col min="4610" max="4610" width="13" style="67" customWidth="1"/>
    <col min="4611" max="4611" width="13.42578125" style="67" customWidth="1"/>
    <col min="4612" max="4612" width="25.5703125" style="67" customWidth="1"/>
    <col min="4613" max="4613" width="50.5703125" style="67" customWidth="1"/>
    <col min="4614" max="4614" width="19.140625" style="67" customWidth="1"/>
    <col min="4615" max="4615" width="16.42578125" style="67" customWidth="1"/>
    <col min="4616" max="4616" width="13.7109375" style="67" customWidth="1"/>
    <col min="4617" max="4864" width="9.140625" style="67"/>
    <col min="4865" max="4865" width="12.85546875" style="67" customWidth="1"/>
    <col min="4866" max="4866" width="13" style="67" customWidth="1"/>
    <col min="4867" max="4867" width="13.42578125" style="67" customWidth="1"/>
    <col min="4868" max="4868" width="25.5703125" style="67" customWidth="1"/>
    <col min="4869" max="4869" width="50.5703125" style="67" customWidth="1"/>
    <col min="4870" max="4870" width="19.140625" style="67" customWidth="1"/>
    <col min="4871" max="4871" width="16.42578125" style="67" customWidth="1"/>
    <col min="4872" max="4872" width="13.7109375" style="67" customWidth="1"/>
    <col min="4873" max="5120" width="9.140625" style="67"/>
    <col min="5121" max="5121" width="12.85546875" style="67" customWidth="1"/>
    <col min="5122" max="5122" width="13" style="67" customWidth="1"/>
    <col min="5123" max="5123" width="13.42578125" style="67" customWidth="1"/>
    <col min="5124" max="5124" width="25.5703125" style="67" customWidth="1"/>
    <col min="5125" max="5125" width="50.5703125" style="67" customWidth="1"/>
    <col min="5126" max="5126" width="19.140625" style="67" customWidth="1"/>
    <col min="5127" max="5127" width="16.42578125" style="67" customWidth="1"/>
    <col min="5128" max="5128" width="13.7109375" style="67" customWidth="1"/>
    <col min="5129" max="5376" width="9.140625" style="67"/>
    <col min="5377" max="5377" width="12.85546875" style="67" customWidth="1"/>
    <col min="5378" max="5378" width="13" style="67" customWidth="1"/>
    <col min="5379" max="5379" width="13.42578125" style="67" customWidth="1"/>
    <col min="5380" max="5380" width="25.5703125" style="67" customWidth="1"/>
    <col min="5381" max="5381" width="50.5703125" style="67" customWidth="1"/>
    <col min="5382" max="5382" width="19.140625" style="67" customWidth="1"/>
    <col min="5383" max="5383" width="16.42578125" style="67" customWidth="1"/>
    <col min="5384" max="5384" width="13.7109375" style="67" customWidth="1"/>
    <col min="5385" max="5632" width="9.140625" style="67"/>
    <col min="5633" max="5633" width="12.85546875" style="67" customWidth="1"/>
    <col min="5634" max="5634" width="13" style="67" customWidth="1"/>
    <col min="5635" max="5635" width="13.42578125" style="67" customWidth="1"/>
    <col min="5636" max="5636" width="25.5703125" style="67" customWidth="1"/>
    <col min="5637" max="5637" width="50.5703125" style="67" customWidth="1"/>
    <col min="5638" max="5638" width="19.140625" style="67" customWidth="1"/>
    <col min="5639" max="5639" width="16.42578125" style="67" customWidth="1"/>
    <col min="5640" max="5640" width="13.7109375" style="67" customWidth="1"/>
    <col min="5641" max="5888" width="9.140625" style="67"/>
    <col min="5889" max="5889" width="12.85546875" style="67" customWidth="1"/>
    <col min="5890" max="5890" width="13" style="67" customWidth="1"/>
    <col min="5891" max="5891" width="13.42578125" style="67" customWidth="1"/>
    <col min="5892" max="5892" width="25.5703125" style="67" customWidth="1"/>
    <col min="5893" max="5893" width="50.5703125" style="67" customWidth="1"/>
    <col min="5894" max="5894" width="19.140625" style="67" customWidth="1"/>
    <col min="5895" max="5895" width="16.42578125" style="67" customWidth="1"/>
    <col min="5896" max="5896" width="13.7109375" style="67" customWidth="1"/>
    <col min="5897" max="6144" width="9.140625" style="67"/>
    <col min="6145" max="6145" width="12.85546875" style="67" customWidth="1"/>
    <col min="6146" max="6146" width="13" style="67" customWidth="1"/>
    <col min="6147" max="6147" width="13.42578125" style="67" customWidth="1"/>
    <col min="6148" max="6148" width="25.5703125" style="67" customWidth="1"/>
    <col min="6149" max="6149" width="50.5703125" style="67" customWidth="1"/>
    <col min="6150" max="6150" width="19.140625" style="67" customWidth="1"/>
    <col min="6151" max="6151" width="16.42578125" style="67" customWidth="1"/>
    <col min="6152" max="6152" width="13.7109375" style="67" customWidth="1"/>
    <col min="6153" max="6400" width="9.140625" style="67"/>
    <col min="6401" max="6401" width="12.85546875" style="67" customWidth="1"/>
    <col min="6402" max="6402" width="13" style="67" customWidth="1"/>
    <col min="6403" max="6403" width="13.42578125" style="67" customWidth="1"/>
    <col min="6404" max="6404" width="25.5703125" style="67" customWidth="1"/>
    <col min="6405" max="6405" width="50.5703125" style="67" customWidth="1"/>
    <col min="6406" max="6406" width="19.140625" style="67" customWidth="1"/>
    <col min="6407" max="6407" width="16.42578125" style="67" customWidth="1"/>
    <col min="6408" max="6408" width="13.7109375" style="67" customWidth="1"/>
    <col min="6409" max="6656" width="9.140625" style="67"/>
    <col min="6657" max="6657" width="12.85546875" style="67" customWidth="1"/>
    <col min="6658" max="6658" width="13" style="67" customWidth="1"/>
    <col min="6659" max="6659" width="13.42578125" style="67" customWidth="1"/>
    <col min="6660" max="6660" width="25.5703125" style="67" customWidth="1"/>
    <col min="6661" max="6661" width="50.5703125" style="67" customWidth="1"/>
    <col min="6662" max="6662" width="19.140625" style="67" customWidth="1"/>
    <col min="6663" max="6663" width="16.42578125" style="67" customWidth="1"/>
    <col min="6664" max="6664" width="13.7109375" style="67" customWidth="1"/>
    <col min="6665" max="6912" width="9.140625" style="67"/>
    <col min="6913" max="6913" width="12.85546875" style="67" customWidth="1"/>
    <col min="6914" max="6914" width="13" style="67" customWidth="1"/>
    <col min="6915" max="6915" width="13.42578125" style="67" customWidth="1"/>
    <col min="6916" max="6916" width="25.5703125" style="67" customWidth="1"/>
    <col min="6917" max="6917" width="50.5703125" style="67" customWidth="1"/>
    <col min="6918" max="6918" width="19.140625" style="67" customWidth="1"/>
    <col min="6919" max="6919" width="16.42578125" style="67" customWidth="1"/>
    <col min="6920" max="6920" width="13.7109375" style="67" customWidth="1"/>
    <col min="6921" max="7168" width="9.140625" style="67"/>
    <col min="7169" max="7169" width="12.85546875" style="67" customWidth="1"/>
    <col min="7170" max="7170" width="13" style="67" customWidth="1"/>
    <col min="7171" max="7171" width="13.42578125" style="67" customWidth="1"/>
    <col min="7172" max="7172" width="25.5703125" style="67" customWidth="1"/>
    <col min="7173" max="7173" width="50.5703125" style="67" customWidth="1"/>
    <col min="7174" max="7174" width="19.140625" style="67" customWidth="1"/>
    <col min="7175" max="7175" width="16.42578125" style="67" customWidth="1"/>
    <col min="7176" max="7176" width="13.7109375" style="67" customWidth="1"/>
    <col min="7177" max="7424" width="9.140625" style="67"/>
    <col min="7425" max="7425" width="12.85546875" style="67" customWidth="1"/>
    <col min="7426" max="7426" width="13" style="67" customWidth="1"/>
    <col min="7427" max="7427" width="13.42578125" style="67" customWidth="1"/>
    <col min="7428" max="7428" width="25.5703125" style="67" customWidth="1"/>
    <col min="7429" max="7429" width="50.5703125" style="67" customWidth="1"/>
    <col min="7430" max="7430" width="19.140625" style="67" customWidth="1"/>
    <col min="7431" max="7431" width="16.42578125" style="67" customWidth="1"/>
    <col min="7432" max="7432" width="13.7109375" style="67" customWidth="1"/>
    <col min="7433" max="7680" width="9.140625" style="67"/>
    <col min="7681" max="7681" width="12.85546875" style="67" customWidth="1"/>
    <col min="7682" max="7682" width="13" style="67" customWidth="1"/>
    <col min="7683" max="7683" width="13.42578125" style="67" customWidth="1"/>
    <col min="7684" max="7684" width="25.5703125" style="67" customWidth="1"/>
    <col min="7685" max="7685" width="50.5703125" style="67" customWidth="1"/>
    <col min="7686" max="7686" width="19.140625" style="67" customWidth="1"/>
    <col min="7687" max="7687" width="16.42578125" style="67" customWidth="1"/>
    <col min="7688" max="7688" width="13.7109375" style="67" customWidth="1"/>
    <col min="7689" max="7936" width="9.140625" style="67"/>
    <col min="7937" max="7937" width="12.85546875" style="67" customWidth="1"/>
    <col min="7938" max="7938" width="13" style="67" customWidth="1"/>
    <col min="7939" max="7939" width="13.42578125" style="67" customWidth="1"/>
    <col min="7940" max="7940" width="25.5703125" style="67" customWidth="1"/>
    <col min="7941" max="7941" width="50.5703125" style="67" customWidth="1"/>
    <col min="7942" max="7942" width="19.140625" style="67" customWidth="1"/>
    <col min="7943" max="7943" width="16.42578125" style="67" customWidth="1"/>
    <col min="7944" max="7944" width="13.7109375" style="67" customWidth="1"/>
    <col min="7945" max="8192" width="9.140625" style="67"/>
    <col min="8193" max="8193" width="12.85546875" style="67" customWidth="1"/>
    <col min="8194" max="8194" width="13" style="67" customWidth="1"/>
    <col min="8195" max="8195" width="13.42578125" style="67" customWidth="1"/>
    <col min="8196" max="8196" width="25.5703125" style="67" customWidth="1"/>
    <col min="8197" max="8197" width="50.5703125" style="67" customWidth="1"/>
    <col min="8198" max="8198" width="19.140625" style="67" customWidth="1"/>
    <col min="8199" max="8199" width="16.42578125" style="67" customWidth="1"/>
    <col min="8200" max="8200" width="13.7109375" style="67" customWidth="1"/>
    <col min="8201" max="8448" width="9.140625" style="67"/>
    <col min="8449" max="8449" width="12.85546875" style="67" customWidth="1"/>
    <col min="8450" max="8450" width="13" style="67" customWidth="1"/>
    <col min="8451" max="8451" width="13.42578125" style="67" customWidth="1"/>
    <col min="8452" max="8452" width="25.5703125" style="67" customWidth="1"/>
    <col min="8453" max="8453" width="50.5703125" style="67" customWidth="1"/>
    <col min="8454" max="8454" width="19.140625" style="67" customWidth="1"/>
    <col min="8455" max="8455" width="16.42578125" style="67" customWidth="1"/>
    <col min="8456" max="8456" width="13.7109375" style="67" customWidth="1"/>
    <col min="8457" max="8704" width="9.140625" style="67"/>
    <col min="8705" max="8705" width="12.85546875" style="67" customWidth="1"/>
    <col min="8706" max="8706" width="13" style="67" customWidth="1"/>
    <col min="8707" max="8707" width="13.42578125" style="67" customWidth="1"/>
    <col min="8708" max="8708" width="25.5703125" style="67" customWidth="1"/>
    <col min="8709" max="8709" width="50.5703125" style="67" customWidth="1"/>
    <col min="8710" max="8710" width="19.140625" style="67" customWidth="1"/>
    <col min="8711" max="8711" width="16.42578125" style="67" customWidth="1"/>
    <col min="8712" max="8712" width="13.7109375" style="67" customWidth="1"/>
    <col min="8713" max="8960" width="9.140625" style="67"/>
    <col min="8961" max="8961" width="12.85546875" style="67" customWidth="1"/>
    <col min="8962" max="8962" width="13" style="67" customWidth="1"/>
    <col min="8963" max="8963" width="13.42578125" style="67" customWidth="1"/>
    <col min="8964" max="8964" width="25.5703125" style="67" customWidth="1"/>
    <col min="8965" max="8965" width="50.5703125" style="67" customWidth="1"/>
    <col min="8966" max="8966" width="19.140625" style="67" customWidth="1"/>
    <col min="8967" max="8967" width="16.42578125" style="67" customWidth="1"/>
    <col min="8968" max="8968" width="13.7109375" style="67" customWidth="1"/>
    <col min="8969" max="9216" width="9.140625" style="67"/>
    <col min="9217" max="9217" width="12.85546875" style="67" customWidth="1"/>
    <col min="9218" max="9218" width="13" style="67" customWidth="1"/>
    <col min="9219" max="9219" width="13.42578125" style="67" customWidth="1"/>
    <col min="9220" max="9220" width="25.5703125" style="67" customWidth="1"/>
    <col min="9221" max="9221" width="50.5703125" style="67" customWidth="1"/>
    <col min="9222" max="9222" width="19.140625" style="67" customWidth="1"/>
    <col min="9223" max="9223" width="16.42578125" style="67" customWidth="1"/>
    <col min="9224" max="9224" width="13.7109375" style="67" customWidth="1"/>
    <col min="9225" max="9472" width="9.140625" style="67"/>
    <col min="9473" max="9473" width="12.85546875" style="67" customWidth="1"/>
    <col min="9474" max="9474" width="13" style="67" customWidth="1"/>
    <col min="9475" max="9475" width="13.42578125" style="67" customWidth="1"/>
    <col min="9476" max="9476" width="25.5703125" style="67" customWidth="1"/>
    <col min="9477" max="9477" width="50.5703125" style="67" customWidth="1"/>
    <col min="9478" max="9478" width="19.140625" style="67" customWidth="1"/>
    <col min="9479" max="9479" width="16.42578125" style="67" customWidth="1"/>
    <col min="9480" max="9480" width="13.7109375" style="67" customWidth="1"/>
    <col min="9481" max="9728" width="9.140625" style="67"/>
    <col min="9729" max="9729" width="12.85546875" style="67" customWidth="1"/>
    <col min="9730" max="9730" width="13" style="67" customWidth="1"/>
    <col min="9731" max="9731" width="13.42578125" style="67" customWidth="1"/>
    <col min="9732" max="9732" width="25.5703125" style="67" customWidth="1"/>
    <col min="9733" max="9733" width="50.5703125" style="67" customWidth="1"/>
    <col min="9734" max="9734" width="19.140625" style="67" customWidth="1"/>
    <col min="9735" max="9735" width="16.42578125" style="67" customWidth="1"/>
    <col min="9736" max="9736" width="13.7109375" style="67" customWidth="1"/>
    <col min="9737" max="9984" width="9.140625" style="67"/>
    <col min="9985" max="9985" width="12.85546875" style="67" customWidth="1"/>
    <col min="9986" max="9986" width="13" style="67" customWidth="1"/>
    <col min="9987" max="9987" width="13.42578125" style="67" customWidth="1"/>
    <col min="9988" max="9988" width="25.5703125" style="67" customWidth="1"/>
    <col min="9989" max="9989" width="50.5703125" style="67" customWidth="1"/>
    <col min="9990" max="9990" width="19.140625" style="67" customWidth="1"/>
    <col min="9991" max="9991" width="16.42578125" style="67" customWidth="1"/>
    <col min="9992" max="9992" width="13.7109375" style="67" customWidth="1"/>
    <col min="9993" max="10240" width="9.140625" style="67"/>
    <col min="10241" max="10241" width="12.85546875" style="67" customWidth="1"/>
    <col min="10242" max="10242" width="13" style="67" customWidth="1"/>
    <col min="10243" max="10243" width="13.42578125" style="67" customWidth="1"/>
    <col min="10244" max="10244" width="25.5703125" style="67" customWidth="1"/>
    <col min="10245" max="10245" width="50.5703125" style="67" customWidth="1"/>
    <col min="10246" max="10246" width="19.140625" style="67" customWidth="1"/>
    <col min="10247" max="10247" width="16.42578125" style="67" customWidth="1"/>
    <col min="10248" max="10248" width="13.7109375" style="67" customWidth="1"/>
    <col min="10249" max="10496" width="9.140625" style="67"/>
    <col min="10497" max="10497" width="12.85546875" style="67" customWidth="1"/>
    <col min="10498" max="10498" width="13" style="67" customWidth="1"/>
    <col min="10499" max="10499" width="13.42578125" style="67" customWidth="1"/>
    <col min="10500" max="10500" width="25.5703125" style="67" customWidth="1"/>
    <col min="10501" max="10501" width="50.5703125" style="67" customWidth="1"/>
    <col min="10502" max="10502" width="19.140625" style="67" customWidth="1"/>
    <col min="10503" max="10503" width="16.42578125" style="67" customWidth="1"/>
    <col min="10504" max="10504" width="13.7109375" style="67" customWidth="1"/>
    <col min="10505" max="10752" width="9.140625" style="67"/>
    <col min="10753" max="10753" width="12.85546875" style="67" customWidth="1"/>
    <col min="10754" max="10754" width="13" style="67" customWidth="1"/>
    <col min="10755" max="10755" width="13.42578125" style="67" customWidth="1"/>
    <col min="10756" max="10756" width="25.5703125" style="67" customWidth="1"/>
    <col min="10757" max="10757" width="50.5703125" style="67" customWidth="1"/>
    <col min="10758" max="10758" width="19.140625" style="67" customWidth="1"/>
    <col min="10759" max="10759" width="16.42578125" style="67" customWidth="1"/>
    <col min="10760" max="10760" width="13.7109375" style="67" customWidth="1"/>
    <col min="10761" max="11008" width="9.140625" style="67"/>
    <col min="11009" max="11009" width="12.85546875" style="67" customWidth="1"/>
    <col min="11010" max="11010" width="13" style="67" customWidth="1"/>
    <col min="11011" max="11011" width="13.42578125" style="67" customWidth="1"/>
    <col min="11012" max="11012" width="25.5703125" style="67" customWidth="1"/>
    <col min="11013" max="11013" width="50.5703125" style="67" customWidth="1"/>
    <col min="11014" max="11014" width="19.140625" style="67" customWidth="1"/>
    <col min="11015" max="11015" width="16.42578125" style="67" customWidth="1"/>
    <col min="11016" max="11016" width="13.7109375" style="67" customWidth="1"/>
    <col min="11017" max="11264" width="9.140625" style="67"/>
    <col min="11265" max="11265" width="12.85546875" style="67" customWidth="1"/>
    <col min="11266" max="11266" width="13" style="67" customWidth="1"/>
    <col min="11267" max="11267" width="13.42578125" style="67" customWidth="1"/>
    <col min="11268" max="11268" width="25.5703125" style="67" customWidth="1"/>
    <col min="11269" max="11269" width="50.5703125" style="67" customWidth="1"/>
    <col min="11270" max="11270" width="19.140625" style="67" customWidth="1"/>
    <col min="11271" max="11271" width="16.42578125" style="67" customWidth="1"/>
    <col min="11272" max="11272" width="13.7109375" style="67" customWidth="1"/>
    <col min="11273" max="11520" width="9.140625" style="67"/>
    <col min="11521" max="11521" width="12.85546875" style="67" customWidth="1"/>
    <col min="11522" max="11522" width="13" style="67" customWidth="1"/>
    <col min="11523" max="11523" width="13.42578125" style="67" customWidth="1"/>
    <col min="11524" max="11524" width="25.5703125" style="67" customWidth="1"/>
    <col min="11525" max="11525" width="50.5703125" style="67" customWidth="1"/>
    <col min="11526" max="11526" width="19.140625" style="67" customWidth="1"/>
    <col min="11527" max="11527" width="16.42578125" style="67" customWidth="1"/>
    <col min="11528" max="11528" width="13.7109375" style="67" customWidth="1"/>
    <col min="11529" max="11776" width="9.140625" style="67"/>
    <col min="11777" max="11777" width="12.85546875" style="67" customWidth="1"/>
    <col min="11778" max="11778" width="13" style="67" customWidth="1"/>
    <col min="11779" max="11779" width="13.42578125" style="67" customWidth="1"/>
    <col min="11780" max="11780" width="25.5703125" style="67" customWidth="1"/>
    <col min="11781" max="11781" width="50.5703125" style="67" customWidth="1"/>
    <col min="11782" max="11782" width="19.140625" style="67" customWidth="1"/>
    <col min="11783" max="11783" width="16.42578125" style="67" customWidth="1"/>
    <col min="11784" max="11784" width="13.7109375" style="67" customWidth="1"/>
    <col min="11785" max="12032" width="9.140625" style="67"/>
    <col min="12033" max="12033" width="12.85546875" style="67" customWidth="1"/>
    <col min="12034" max="12034" width="13" style="67" customWidth="1"/>
    <col min="12035" max="12035" width="13.42578125" style="67" customWidth="1"/>
    <col min="12036" max="12036" width="25.5703125" style="67" customWidth="1"/>
    <col min="12037" max="12037" width="50.5703125" style="67" customWidth="1"/>
    <col min="12038" max="12038" width="19.140625" style="67" customWidth="1"/>
    <col min="12039" max="12039" width="16.42578125" style="67" customWidth="1"/>
    <col min="12040" max="12040" width="13.7109375" style="67" customWidth="1"/>
    <col min="12041" max="12288" width="9.140625" style="67"/>
    <col min="12289" max="12289" width="12.85546875" style="67" customWidth="1"/>
    <col min="12290" max="12290" width="13" style="67" customWidth="1"/>
    <col min="12291" max="12291" width="13.42578125" style="67" customWidth="1"/>
    <col min="12292" max="12292" width="25.5703125" style="67" customWidth="1"/>
    <col min="12293" max="12293" width="50.5703125" style="67" customWidth="1"/>
    <col min="12294" max="12294" width="19.140625" style="67" customWidth="1"/>
    <col min="12295" max="12295" width="16.42578125" style="67" customWidth="1"/>
    <col min="12296" max="12296" width="13.7109375" style="67" customWidth="1"/>
    <col min="12297" max="12544" width="9.140625" style="67"/>
    <col min="12545" max="12545" width="12.85546875" style="67" customWidth="1"/>
    <col min="12546" max="12546" width="13" style="67" customWidth="1"/>
    <col min="12547" max="12547" width="13.42578125" style="67" customWidth="1"/>
    <col min="12548" max="12548" width="25.5703125" style="67" customWidth="1"/>
    <col min="12549" max="12549" width="50.5703125" style="67" customWidth="1"/>
    <col min="12550" max="12550" width="19.140625" style="67" customWidth="1"/>
    <col min="12551" max="12551" width="16.42578125" style="67" customWidth="1"/>
    <col min="12552" max="12552" width="13.7109375" style="67" customWidth="1"/>
    <col min="12553" max="12800" width="9.140625" style="67"/>
    <col min="12801" max="12801" width="12.85546875" style="67" customWidth="1"/>
    <col min="12802" max="12802" width="13" style="67" customWidth="1"/>
    <col min="12803" max="12803" width="13.42578125" style="67" customWidth="1"/>
    <col min="12804" max="12804" width="25.5703125" style="67" customWidth="1"/>
    <col min="12805" max="12805" width="50.5703125" style="67" customWidth="1"/>
    <col min="12806" max="12806" width="19.140625" style="67" customWidth="1"/>
    <col min="12807" max="12807" width="16.42578125" style="67" customWidth="1"/>
    <col min="12808" max="12808" width="13.7109375" style="67" customWidth="1"/>
    <col min="12809" max="13056" width="9.140625" style="67"/>
    <col min="13057" max="13057" width="12.85546875" style="67" customWidth="1"/>
    <col min="13058" max="13058" width="13" style="67" customWidth="1"/>
    <col min="13059" max="13059" width="13.42578125" style="67" customWidth="1"/>
    <col min="13060" max="13060" width="25.5703125" style="67" customWidth="1"/>
    <col min="13061" max="13061" width="50.5703125" style="67" customWidth="1"/>
    <col min="13062" max="13062" width="19.140625" style="67" customWidth="1"/>
    <col min="13063" max="13063" width="16.42578125" style="67" customWidth="1"/>
    <col min="13064" max="13064" width="13.7109375" style="67" customWidth="1"/>
    <col min="13065" max="13312" width="9.140625" style="67"/>
    <col min="13313" max="13313" width="12.85546875" style="67" customWidth="1"/>
    <col min="13314" max="13314" width="13" style="67" customWidth="1"/>
    <col min="13315" max="13315" width="13.42578125" style="67" customWidth="1"/>
    <col min="13316" max="13316" width="25.5703125" style="67" customWidth="1"/>
    <col min="13317" max="13317" width="50.5703125" style="67" customWidth="1"/>
    <col min="13318" max="13318" width="19.140625" style="67" customWidth="1"/>
    <col min="13319" max="13319" width="16.42578125" style="67" customWidth="1"/>
    <col min="13320" max="13320" width="13.7109375" style="67" customWidth="1"/>
    <col min="13321" max="13568" width="9.140625" style="67"/>
    <col min="13569" max="13569" width="12.85546875" style="67" customWidth="1"/>
    <col min="13570" max="13570" width="13" style="67" customWidth="1"/>
    <col min="13571" max="13571" width="13.42578125" style="67" customWidth="1"/>
    <col min="13572" max="13572" width="25.5703125" style="67" customWidth="1"/>
    <col min="13573" max="13573" width="50.5703125" style="67" customWidth="1"/>
    <col min="13574" max="13574" width="19.140625" style="67" customWidth="1"/>
    <col min="13575" max="13575" width="16.42578125" style="67" customWidth="1"/>
    <col min="13576" max="13576" width="13.7109375" style="67" customWidth="1"/>
    <col min="13577" max="13824" width="9.140625" style="67"/>
    <col min="13825" max="13825" width="12.85546875" style="67" customWidth="1"/>
    <col min="13826" max="13826" width="13" style="67" customWidth="1"/>
    <col min="13827" max="13827" width="13.42578125" style="67" customWidth="1"/>
    <col min="13828" max="13828" width="25.5703125" style="67" customWidth="1"/>
    <col min="13829" max="13829" width="50.5703125" style="67" customWidth="1"/>
    <col min="13830" max="13830" width="19.140625" style="67" customWidth="1"/>
    <col min="13831" max="13831" width="16.42578125" style="67" customWidth="1"/>
    <col min="13832" max="13832" width="13.7109375" style="67" customWidth="1"/>
    <col min="13833" max="14080" width="9.140625" style="67"/>
    <col min="14081" max="14081" width="12.85546875" style="67" customWidth="1"/>
    <col min="14082" max="14082" width="13" style="67" customWidth="1"/>
    <col min="14083" max="14083" width="13.42578125" style="67" customWidth="1"/>
    <col min="14084" max="14084" width="25.5703125" style="67" customWidth="1"/>
    <col min="14085" max="14085" width="50.5703125" style="67" customWidth="1"/>
    <col min="14086" max="14086" width="19.140625" style="67" customWidth="1"/>
    <col min="14087" max="14087" width="16.42578125" style="67" customWidth="1"/>
    <col min="14088" max="14088" width="13.7109375" style="67" customWidth="1"/>
    <col min="14089" max="14336" width="9.140625" style="67"/>
    <col min="14337" max="14337" width="12.85546875" style="67" customWidth="1"/>
    <col min="14338" max="14338" width="13" style="67" customWidth="1"/>
    <col min="14339" max="14339" width="13.42578125" style="67" customWidth="1"/>
    <col min="14340" max="14340" width="25.5703125" style="67" customWidth="1"/>
    <col min="14341" max="14341" width="50.5703125" style="67" customWidth="1"/>
    <col min="14342" max="14342" width="19.140625" style="67" customWidth="1"/>
    <col min="14343" max="14343" width="16.42578125" style="67" customWidth="1"/>
    <col min="14344" max="14344" width="13.7109375" style="67" customWidth="1"/>
    <col min="14345" max="14592" width="9.140625" style="67"/>
    <col min="14593" max="14593" width="12.85546875" style="67" customWidth="1"/>
    <col min="14594" max="14594" width="13" style="67" customWidth="1"/>
    <col min="14595" max="14595" width="13.42578125" style="67" customWidth="1"/>
    <col min="14596" max="14596" width="25.5703125" style="67" customWidth="1"/>
    <col min="14597" max="14597" width="50.5703125" style="67" customWidth="1"/>
    <col min="14598" max="14598" width="19.140625" style="67" customWidth="1"/>
    <col min="14599" max="14599" width="16.42578125" style="67" customWidth="1"/>
    <col min="14600" max="14600" width="13.7109375" style="67" customWidth="1"/>
    <col min="14601" max="14848" width="9.140625" style="67"/>
    <col min="14849" max="14849" width="12.85546875" style="67" customWidth="1"/>
    <col min="14850" max="14850" width="13" style="67" customWidth="1"/>
    <col min="14851" max="14851" width="13.42578125" style="67" customWidth="1"/>
    <col min="14852" max="14852" width="25.5703125" style="67" customWidth="1"/>
    <col min="14853" max="14853" width="50.5703125" style="67" customWidth="1"/>
    <col min="14854" max="14854" width="19.140625" style="67" customWidth="1"/>
    <col min="14855" max="14855" width="16.42578125" style="67" customWidth="1"/>
    <col min="14856" max="14856" width="13.7109375" style="67" customWidth="1"/>
    <col min="14857" max="15104" width="9.140625" style="67"/>
    <col min="15105" max="15105" width="12.85546875" style="67" customWidth="1"/>
    <col min="15106" max="15106" width="13" style="67" customWidth="1"/>
    <col min="15107" max="15107" width="13.42578125" style="67" customWidth="1"/>
    <col min="15108" max="15108" width="25.5703125" style="67" customWidth="1"/>
    <col min="15109" max="15109" width="50.5703125" style="67" customWidth="1"/>
    <col min="15110" max="15110" width="19.140625" style="67" customWidth="1"/>
    <col min="15111" max="15111" width="16.42578125" style="67" customWidth="1"/>
    <col min="15112" max="15112" width="13.7109375" style="67" customWidth="1"/>
    <col min="15113" max="15360" width="9.140625" style="67"/>
    <col min="15361" max="15361" width="12.85546875" style="67" customWidth="1"/>
    <col min="15362" max="15362" width="13" style="67" customWidth="1"/>
    <col min="15363" max="15363" width="13.42578125" style="67" customWidth="1"/>
    <col min="15364" max="15364" width="25.5703125" style="67" customWidth="1"/>
    <col min="15365" max="15365" width="50.5703125" style="67" customWidth="1"/>
    <col min="15366" max="15366" width="19.140625" style="67" customWidth="1"/>
    <col min="15367" max="15367" width="16.42578125" style="67" customWidth="1"/>
    <col min="15368" max="15368" width="13.7109375" style="67" customWidth="1"/>
    <col min="15369" max="15616" width="9.140625" style="67"/>
    <col min="15617" max="15617" width="12.85546875" style="67" customWidth="1"/>
    <col min="15618" max="15618" width="13" style="67" customWidth="1"/>
    <col min="15619" max="15619" width="13.42578125" style="67" customWidth="1"/>
    <col min="15620" max="15620" width="25.5703125" style="67" customWidth="1"/>
    <col min="15621" max="15621" width="50.5703125" style="67" customWidth="1"/>
    <col min="15622" max="15622" width="19.140625" style="67" customWidth="1"/>
    <col min="15623" max="15623" width="16.42578125" style="67" customWidth="1"/>
    <col min="15624" max="15624" width="13.7109375" style="67" customWidth="1"/>
    <col min="15625" max="15872" width="9.140625" style="67"/>
    <col min="15873" max="15873" width="12.85546875" style="67" customWidth="1"/>
    <col min="15874" max="15874" width="13" style="67" customWidth="1"/>
    <col min="15875" max="15875" width="13.42578125" style="67" customWidth="1"/>
    <col min="15876" max="15876" width="25.5703125" style="67" customWidth="1"/>
    <col min="15877" max="15877" width="50.5703125" style="67" customWidth="1"/>
    <col min="15878" max="15878" width="19.140625" style="67" customWidth="1"/>
    <col min="15879" max="15879" width="16.42578125" style="67" customWidth="1"/>
    <col min="15880" max="15880" width="13.7109375" style="67" customWidth="1"/>
    <col min="15881" max="16128" width="9.140625" style="67"/>
    <col min="16129" max="16129" width="12.85546875" style="67" customWidth="1"/>
    <col min="16130" max="16130" width="13" style="67" customWidth="1"/>
    <col min="16131" max="16131" width="13.42578125" style="67" customWidth="1"/>
    <col min="16132" max="16132" width="25.5703125" style="67" customWidth="1"/>
    <col min="16133" max="16133" width="50.5703125" style="67" customWidth="1"/>
    <col min="16134" max="16134" width="19.140625" style="67" customWidth="1"/>
    <col min="16135" max="16135" width="16.42578125" style="67" customWidth="1"/>
    <col min="16136" max="16136" width="13.7109375" style="67" customWidth="1"/>
    <col min="16137" max="16384" width="9.140625" style="67"/>
  </cols>
  <sheetData>
    <row r="1" spans="1:8" x14ac:dyDescent="0.25">
      <c r="F1" s="216" t="s">
        <v>549</v>
      </c>
      <c r="G1" s="65"/>
      <c r="H1" s="65"/>
    </row>
    <row r="2" spans="1:8" ht="15.6" customHeight="1" x14ac:dyDescent="0.25">
      <c r="F2" s="1192" t="s">
        <v>453</v>
      </c>
      <c r="G2" s="1192"/>
      <c r="H2" s="1192"/>
    </row>
    <row r="3" spans="1:8" ht="15.6" customHeight="1" x14ac:dyDescent="0.25">
      <c r="F3" s="1192" t="s">
        <v>619</v>
      </c>
      <c r="G3" s="1192"/>
      <c r="H3" s="1192"/>
    </row>
    <row r="4" spans="1:8" ht="15" customHeight="1" x14ac:dyDescent="0.25">
      <c r="F4" s="217" t="s">
        <v>740</v>
      </c>
      <c r="G4" s="218"/>
      <c r="H4" s="218"/>
    </row>
    <row r="5" spans="1:8" x14ac:dyDescent="0.25">
      <c r="F5" s="69" t="s">
        <v>741</v>
      </c>
      <c r="G5" s="219"/>
      <c r="H5" s="219"/>
    </row>
    <row r="6" spans="1:8" ht="15.6" customHeight="1" x14ac:dyDescent="0.25"/>
    <row r="7" spans="1:8" s="164" customFormat="1" ht="36" customHeight="1" x14ac:dyDescent="0.3">
      <c r="A7" s="1366" t="s">
        <v>714</v>
      </c>
      <c r="B7" s="1366"/>
      <c r="C7" s="1366"/>
      <c r="D7" s="1366"/>
      <c r="E7" s="1366"/>
      <c r="F7" s="1366"/>
      <c r="G7" s="1366"/>
      <c r="H7" s="1366"/>
    </row>
    <row r="8" spans="1:8" s="164" customFormat="1" ht="12.6" customHeight="1" x14ac:dyDescent="0.3">
      <c r="A8" s="1317">
        <v>15591000000</v>
      </c>
      <c r="B8" s="1317"/>
      <c r="C8" s="1317"/>
      <c r="D8" s="829"/>
      <c r="E8" s="829"/>
      <c r="F8" s="829"/>
    </row>
    <row r="9" spans="1:8" s="164" customFormat="1" ht="13.15" customHeight="1" x14ac:dyDescent="0.3">
      <c r="A9" s="1305" t="s">
        <v>0</v>
      </c>
      <c r="B9" s="1305"/>
      <c r="C9" s="1305"/>
      <c r="D9" s="829"/>
      <c r="E9" s="829"/>
      <c r="F9" s="829"/>
    </row>
    <row r="10" spans="1:8" ht="15.6" customHeight="1" thickBot="1" x14ac:dyDescent="0.3">
      <c r="A10" s="220"/>
      <c r="B10" s="220"/>
      <c r="C10" s="220"/>
      <c r="D10" s="220"/>
      <c r="E10" s="220"/>
      <c r="G10" s="165" t="s">
        <v>235</v>
      </c>
    </row>
    <row r="11" spans="1:8" ht="55.5" customHeight="1" x14ac:dyDescent="0.25">
      <c r="A11" s="1367" t="s">
        <v>8</v>
      </c>
      <c r="B11" s="1369" t="s">
        <v>9</v>
      </c>
      <c r="C11" s="1371" t="s">
        <v>236</v>
      </c>
      <c r="D11" s="1373" t="s">
        <v>237</v>
      </c>
      <c r="E11" s="1371" t="s">
        <v>398</v>
      </c>
      <c r="F11" s="1375" t="s">
        <v>399</v>
      </c>
      <c r="G11" s="1377" t="s">
        <v>717</v>
      </c>
      <c r="H11" s="1379" t="s">
        <v>402</v>
      </c>
    </row>
    <row r="12" spans="1:8" s="164" customFormat="1" ht="65.45" customHeight="1" thickBot="1" x14ac:dyDescent="0.35">
      <c r="A12" s="1368"/>
      <c r="B12" s="1370"/>
      <c r="C12" s="1372"/>
      <c r="D12" s="1374"/>
      <c r="E12" s="1372"/>
      <c r="F12" s="1376"/>
      <c r="G12" s="1378"/>
      <c r="H12" s="1380"/>
    </row>
    <row r="13" spans="1:8" s="726" customFormat="1" ht="20.25" customHeight="1" thickBot="1" x14ac:dyDescent="0.25">
      <c r="A13" s="166" t="s">
        <v>243</v>
      </c>
      <c r="B13" s="167" t="s">
        <v>244</v>
      </c>
      <c r="C13" s="168" t="s">
        <v>245</v>
      </c>
      <c r="D13" s="168" t="s">
        <v>400</v>
      </c>
      <c r="E13" s="168" t="s">
        <v>246</v>
      </c>
      <c r="F13" s="723" t="s">
        <v>247</v>
      </c>
      <c r="G13" s="724">
        <v>7</v>
      </c>
      <c r="H13" s="725">
        <v>8</v>
      </c>
    </row>
    <row r="14" spans="1:8" s="221" customFormat="1" ht="30" customHeight="1" thickBot="1" x14ac:dyDescent="0.35">
      <c r="A14" s="224">
        <v>1200000</v>
      </c>
      <c r="B14" s="225"/>
      <c r="C14" s="226"/>
      <c r="D14" s="1365" t="s">
        <v>715</v>
      </c>
      <c r="E14" s="1365"/>
      <c r="F14" s="727">
        <f>F15</f>
        <v>394100</v>
      </c>
      <c r="G14" s="728">
        <f>G15</f>
        <v>316750</v>
      </c>
      <c r="H14" s="729">
        <v>0.81</v>
      </c>
    </row>
    <row r="15" spans="1:8" s="164" customFormat="1" ht="34.5" customHeight="1" thickBot="1" x14ac:dyDescent="0.35">
      <c r="A15" s="172">
        <v>1210000</v>
      </c>
      <c r="B15" s="173"/>
      <c r="C15" s="174"/>
      <c r="D15" s="1381" t="s">
        <v>716</v>
      </c>
      <c r="E15" s="1381"/>
      <c r="F15" s="222">
        <f>F16+F19</f>
        <v>394100</v>
      </c>
      <c r="G15" s="222">
        <f>G16+G19</f>
        <v>316750</v>
      </c>
      <c r="H15" s="729">
        <v>0.81</v>
      </c>
    </row>
    <row r="16" spans="1:8" s="164" customFormat="1" ht="30" customHeight="1" x14ac:dyDescent="0.3">
      <c r="A16" s="1382" t="s">
        <v>132</v>
      </c>
      <c r="B16" s="1383">
        <v>8340</v>
      </c>
      <c r="C16" s="1384" t="s">
        <v>134</v>
      </c>
      <c r="D16" s="1385" t="s">
        <v>135</v>
      </c>
      <c r="E16" s="227" t="s">
        <v>401</v>
      </c>
      <c r="F16" s="228">
        <f>F17+F18</f>
        <v>345500</v>
      </c>
      <c r="G16" s="1155">
        <f>G17+G18</f>
        <v>270250</v>
      </c>
      <c r="H16" s="730">
        <v>1</v>
      </c>
    </row>
    <row r="17" spans="1:8" ht="17.25" customHeight="1" x14ac:dyDescent="0.25">
      <c r="A17" s="1382"/>
      <c r="B17" s="1383"/>
      <c r="C17" s="1384"/>
      <c r="D17" s="1385"/>
      <c r="E17" s="175" t="s">
        <v>12</v>
      </c>
      <c r="F17" s="432">
        <f>210500+62956</f>
        <v>273456</v>
      </c>
      <c r="G17" s="1156">
        <f>207900+62350</f>
        <v>270250</v>
      </c>
      <c r="H17" s="730">
        <v>1</v>
      </c>
    </row>
    <row r="18" spans="1:8" ht="17.25" customHeight="1" x14ac:dyDescent="0.25">
      <c r="A18" s="1382"/>
      <c r="B18" s="1383"/>
      <c r="C18" s="1384"/>
      <c r="D18" s="1385"/>
      <c r="E18" s="175" t="s">
        <v>409</v>
      </c>
      <c r="F18" s="432">
        <v>72044</v>
      </c>
      <c r="G18" s="1156">
        <v>0</v>
      </c>
      <c r="H18" s="731">
        <f t="shared" ref="H18" si="0">G18/F18*100%</f>
        <v>0</v>
      </c>
    </row>
    <row r="19" spans="1:8" ht="30" customHeight="1" x14ac:dyDescent="0.25">
      <c r="A19" s="1382"/>
      <c r="B19" s="1383"/>
      <c r="C19" s="1384"/>
      <c r="D19" s="1385"/>
      <c r="E19" s="25" t="s">
        <v>507</v>
      </c>
      <c r="F19" s="223">
        <f>F20</f>
        <v>48600</v>
      </c>
      <c r="G19" s="1157">
        <f>G20</f>
        <v>46500</v>
      </c>
      <c r="H19" s="732">
        <f>H20</f>
        <v>1</v>
      </c>
    </row>
    <row r="20" spans="1:8" ht="18.75" customHeight="1" thickBot="1" x14ac:dyDescent="0.3">
      <c r="A20" s="1382"/>
      <c r="B20" s="1383"/>
      <c r="C20" s="1384"/>
      <c r="D20" s="1385"/>
      <c r="E20" s="603" t="s">
        <v>12</v>
      </c>
      <c r="F20" s="433">
        <v>48600</v>
      </c>
      <c r="G20" s="1158">
        <v>46500</v>
      </c>
      <c r="H20" s="733">
        <v>1</v>
      </c>
    </row>
    <row r="21" spans="1:8" ht="16.5" thickBot="1" x14ac:dyDescent="0.3">
      <c r="A21" s="169" t="s">
        <v>255</v>
      </c>
      <c r="B21" s="170" t="s">
        <v>255</v>
      </c>
      <c r="C21" s="171" t="s">
        <v>255</v>
      </c>
      <c r="D21" s="176" t="s">
        <v>138</v>
      </c>
      <c r="E21" s="177" t="s">
        <v>255</v>
      </c>
      <c r="F21" s="734">
        <f>F14</f>
        <v>394100</v>
      </c>
      <c r="G21" s="735">
        <f>G20+G18+G17</f>
        <v>316750</v>
      </c>
      <c r="H21" s="729">
        <f>81%</f>
        <v>0.81</v>
      </c>
    </row>
    <row r="22" spans="1:8" x14ac:dyDescent="0.25">
      <c r="A22" s="869"/>
      <c r="B22" s="870"/>
      <c r="C22" s="871"/>
      <c r="D22" s="872"/>
      <c r="E22" s="873"/>
      <c r="F22" s="874"/>
      <c r="G22" s="875"/>
      <c r="H22" s="876"/>
    </row>
    <row r="23" spans="1:8" x14ac:dyDescent="0.25">
      <c r="A23" s="869"/>
      <c r="B23" s="870"/>
      <c r="C23" s="871"/>
      <c r="D23" s="872"/>
      <c r="E23" s="873"/>
      <c r="F23" s="874"/>
      <c r="G23" s="875"/>
      <c r="H23" s="876"/>
    </row>
    <row r="24" spans="1:8" x14ac:dyDescent="0.25">
      <c r="A24" s="869"/>
      <c r="B24" s="870"/>
      <c r="C24" s="871"/>
      <c r="D24" s="872"/>
      <c r="E24" s="873"/>
      <c r="F24" s="874"/>
      <c r="G24" s="875"/>
      <c r="H24" s="876"/>
    </row>
    <row r="25" spans="1:8" x14ac:dyDescent="0.25">
      <c r="A25" s="828"/>
      <c r="B25" s="180"/>
      <c r="C25" s="181"/>
      <c r="D25" s="182"/>
      <c r="E25" s="183"/>
      <c r="F25" s="184"/>
    </row>
    <row r="26" spans="1:8" customFormat="1" ht="18.75" x14ac:dyDescent="0.25">
      <c r="A26" s="23" t="s">
        <v>435</v>
      </c>
      <c r="B26" s="23"/>
      <c r="D26" s="67"/>
      <c r="F26" s="178" t="s">
        <v>410</v>
      </c>
    </row>
    <row r="34" spans="5:5" x14ac:dyDescent="0.25">
      <c r="E34" s="163"/>
    </row>
  </sheetData>
  <mergeCells count="19">
    <mergeCell ref="D15:E15"/>
    <mergeCell ref="A16:A20"/>
    <mergeCell ref="B16:B20"/>
    <mergeCell ref="C16:C20"/>
    <mergeCell ref="D16:D20"/>
    <mergeCell ref="D14:E14"/>
    <mergeCell ref="F2:H2"/>
    <mergeCell ref="A7:H7"/>
    <mergeCell ref="A8:C8"/>
    <mergeCell ref="A9:C9"/>
    <mergeCell ref="A11:A12"/>
    <mergeCell ref="B11:B12"/>
    <mergeCell ref="C11:C12"/>
    <mergeCell ref="D11:D12"/>
    <mergeCell ref="E11:E12"/>
    <mergeCell ref="F11:F12"/>
    <mergeCell ref="G11:G12"/>
    <mergeCell ref="H11:H12"/>
    <mergeCell ref="F3:H3"/>
  </mergeCells>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9</vt:i4>
      </vt:variant>
      <vt:variant>
        <vt:lpstr>Іменовані діапазони</vt:lpstr>
      </vt:variant>
      <vt:variant>
        <vt:i4>12</vt:i4>
      </vt:variant>
    </vt:vector>
  </HeadingPairs>
  <TitlesOfParts>
    <vt:vector size="21" baseType="lpstr">
      <vt:lpstr>дод 1 Доходи</vt:lpstr>
      <vt:lpstr>дод 2 Джерела</vt:lpstr>
      <vt:lpstr>дод 3 Видатки</vt:lpstr>
      <vt:lpstr>дод 4 Кредитування</vt:lpstr>
      <vt:lpstr>дод 5 Трансферти</vt:lpstr>
      <vt:lpstr>дод 6 Капітальні вкладення</vt:lpstr>
      <vt:lpstr>дод 7 Програми</vt:lpstr>
      <vt:lpstr>дод 8 Бюджет розвитку</vt:lpstr>
      <vt:lpstr>дод 9 ФОНС </vt:lpstr>
      <vt:lpstr>'дод 1 Доходи'!Заголовки_для_друку</vt:lpstr>
      <vt:lpstr>'дод 3 Видатки'!Заголовки_для_друку</vt:lpstr>
      <vt:lpstr>'дод 6 Капітальні вкладення'!Заголовки_для_друку</vt:lpstr>
      <vt:lpstr>'дод 8 Бюджет розвитку'!Заголовки_для_друку</vt:lpstr>
      <vt:lpstr>'дод 1 Доходи'!Область_друку</vt:lpstr>
      <vt:lpstr>'дод 2 Джерела'!Область_друку</vt:lpstr>
      <vt:lpstr>'дод 3 Видатки'!Область_друку</vt:lpstr>
      <vt:lpstr>'дод 5 Трансферти'!Область_друку</vt:lpstr>
      <vt:lpstr>'дод 6 Капітальні вкладення'!Область_друку</vt:lpstr>
      <vt:lpstr>'дод 7 Програми'!Область_друку</vt:lpstr>
      <vt:lpstr>'дод 8 Бюджет розвитку'!Область_друку</vt:lpstr>
      <vt:lpstr>'дод 9 ФОНС '!Область_друку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polzovatel</dc:creator>
  <cp:lastModifiedBy>User</cp:lastModifiedBy>
  <cp:lastPrinted>2026-03-20T08:26:21Z</cp:lastPrinted>
  <dcterms:created xsi:type="dcterms:W3CDTF">2021-12-17T13:26:15Z</dcterms:created>
  <dcterms:modified xsi:type="dcterms:W3CDTF">2026-03-20T08:26:37Z</dcterms:modified>
</cp:coreProperties>
</file>