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E03777F-3212-4C49-9223-CE4A12526E28}" xr6:coauthVersionLast="47" xr6:coauthVersionMax="47" xr10:uidLastSave="{00000000-0000-0000-0000-000000000000}"/>
  <bookViews>
    <workbookView xWindow="-108" yWindow="-108" windowWidth="23256" windowHeight="12456" tabRatio="711" activeTab="3" xr2:uid="{00000000-000D-0000-FFFF-FFFF00000000}"/>
  </bookViews>
  <sheets>
    <sheet name="ФІН.ПЛАН 2026" sheetId="9" r:id="rId1"/>
    <sheet name="2 ФІНПЛАН откорег 2026" sheetId="27" r:id="rId2"/>
    <sheet name="ФП з 010726" sheetId="28" r:id="rId3"/>
    <sheet name="2.1 ЗМІНИ ДО ФІНПЛАНУ 2026" sheetId="26" r:id="rId4"/>
    <sheet name="розрахунок помісячний_2026" sheetId="25" r:id="rId5"/>
    <sheet name="розрахунок_2026" sheetId="24" r:id="rId6"/>
    <sheet name="ФОП_2026_25% " sheetId="21" r:id="rId7"/>
    <sheet name="штат_8230_2026" sheetId="20" r:id="rId8"/>
  </sheets>
  <definedNames>
    <definedName name="_xlnm.Print_Titles" localSheetId="4">'розрахунок помісячний_2026'!$29:$30</definedName>
    <definedName name="_xlnm.Print_Titles" localSheetId="5">розрахунок_2026!$34:$35</definedName>
    <definedName name="_xlnm.Print_Titles" localSheetId="0">'ФІН.ПЛАН 2026'!$27:$28</definedName>
    <definedName name="_xlnm.Print_Area" localSheetId="4">'розрахунок помісячний_2026'!$A$1:$S$98</definedName>
    <definedName name="_xlnm.Print_Area" localSheetId="5">розрахунок_2026!$A$1:$G$125</definedName>
    <definedName name="_xlnm.Print_Area" localSheetId="0">'ФІН.ПЛАН 2026'!$A$1:$I$91</definedName>
    <definedName name="_xlnm.Print_Area" localSheetId="6">'ФОП_2026_25% '!$A$1:$Q$40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26" l="1"/>
  <c r="H56" i="26"/>
  <c r="G56" i="26"/>
  <c r="I57" i="26"/>
  <c r="H57" i="26"/>
  <c r="G57" i="26"/>
  <c r="F57" i="26"/>
  <c r="G59" i="26"/>
  <c r="E60" i="27"/>
  <c r="G57" i="28"/>
  <c r="J57" i="28"/>
  <c r="K57" i="28"/>
  <c r="J37" i="28"/>
  <c r="K56" i="28"/>
  <c r="G56" i="28"/>
  <c r="J56" i="28"/>
  <c r="I56" i="28"/>
  <c r="H56" i="28"/>
  <c r="L56" i="28"/>
  <c r="H57" i="28"/>
  <c r="I57" i="28"/>
  <c r="L57" i="28"/>
  <c r="H58" i="28" l="1"/>
  <c r="H55" i="28" s="1"/>
  <c r="H54" i="28" s="1"/>
  <c r="H53" i="28" s="1"/>
  <c r="H43" i="28" s="1"/>
  <c r="H42" i="28" s="1"/>
  <c r="H65" i="28" s="1"/>
  <c r="I80" i="28"/>
  <c r="H80" i="28"/>
  <c r="G80" i="28"/>
  <c r="F80" i="28"/>
  <c r="E80" i="28"/>
  <c r="D80" i="28"/>
  <c r="C65" i="28"/>
  <c r="E61" i="28"/>
  <c r="E59" i="28"/>
  <c r="E57" i="28"/>
  <c r="E56" i="28"/>
  <c r="I55" i="28"/>
  <c r="I54" i="28" s="1"/>
  <c r="I53" i="28" s="1"/>
  <c r="I43" i="28" s="1"/>
  <c r="I42" i="28" s="1"/>
  <c r="I65" i="28" s="1"/>
  <c r="G55" i="28"/>
  <c r="G54" i="28" s="1"/>
  <c r="G53" i="28" s="1"/>
  <c r="G43" i="28" s="1"/>
  <c r="G42" i="28" s="1"/>
  <c r="G65" i="28" s="1"/>
  <c r="F55" i="28"/>
  <c r="F54" i="28" s="1"/>
  <c r="F53" i="28" s="1"/>
  <c r="D55" i="28"/>
  <c r="D54" i="28" s="1"/>
  <c r="D53" i="28" s="1"/>
  <c r="D43" i="28" s="1"/>
  <c r="D42" i="28" s="1"/>
  <c r="D65" i="28" s="1"/>
  <c r="C55" i="28"/>
  <c r="C54" i="28" s="1"/>
  <c r="C53" i="28" s="1"/>
  <c r="E49" i="28"/>
  <c r="D40" i="28"/>
  <c r="C40" i="28"/>
  <c r="E39" i="28"/>
  <c r="K1" i="28"/>
  <c r="I1" i="28"/>
  <c r="F1" i="28"/>
  <c r="C1" i="28"/>
  <c r="E58" i="28" l="1"/>
  <c r="F43" i="28"/>
  <c r="F42" i="28" s="1"/>
  <c r="F65" i="28" s="1"/>
  <c r="F37" i="28"/>
  <c r="F40" i="28" s="1"/>
  <c r="H37" i="28"/>
  <c r="H40" i="28" s="1"/>
  <c r="G37" i="28"/>
  <c r="G40" i="28" s="1"/>
  <c r="I37" i="28"/>
  <c r="I40" i="28" s="1"/>
  <c r="E55" i="28"/>
  <c r="E54" i="28" s="1"/>
  <c r="E53" i="28" s="1"/>
  <c r="E43" i="28" s="1"/>
  <c r="E42" i="28" s="1"/>
  <c r="E65" i="28" s="1"/>
  <c r="I58" i="26"/>
  <c r="H58" i="26"/>
  <c r="E37" i="28" l="1"/>
  <c r="E40" i="28" s="1"/>
  <c r="F56" i="26"/>
  <c r="D55" i="26" l="1"/>
  <c r="H55" i="27" l="1"/>
  <c r="D55" i="27"/>
  <c r="D54" i="27" s="1"/>
  <c r="D53" i="27" s="1"/>
  <c r="D43" i="27" s="1"/>
  <c r="D42" i="27" s="1"/>
  <c r="D65" i="27" s="1"/>
  <c r="I80" i="27"/>
  <c r="H80" i="27"/>
  <c r="G80" i="27"/>
  <c r="F80" i="27"/>
  <c r="E80" i="27"/>
  <c r="D80" i="27"/>
  <c r="C65" i="27"/>
  <c r="E61" i="27"/>
  <c r="E59" i="27"/>
  <c r="E58" i="27"/>
  <c r="E57" i="27"/>
  <c r="E56" i="27"/>
  <c r="E55" i="27" s="1"/>
  <c r="I55" i="27"/>
  <c r="I54" i="27" s="1"/>
  <c r="I53" i="27" s="1"/>
  <c r="I43" i="27" s="1"/>
  <c r="I42" i="27" s="1"/>
  <c r="I65" i="27" s="1"/>
  <c r="H54" i="27"/>
  <c r="H53" i="27" s="1"/>
  <c r="H43" i="27" s="1"/>
  <c r="H42" i="27" s="1"/>
  <c r="H65" i="27" s="1"/>
  <c r="G55" i="27"/>
  <c r="G54" i="27" s="1"/>
  <c r="G53" i="27" s="1"/>
  <c r="G43" i="27" s="1"/>
  <c r="G42" i="27" s="1"/>
  <c r="G65" i="27" s="1"/>
  <c r="F55" i="27"/>
  <c r="F54" i="27" s="1"/>
  <c r="F53" i="27" s="1"/>
  <c r="F43" i="27" s="1"/>
  <c r="F42" i="27" s="1"/>
  <c r="F65" i="27" s="1"/>
  <c r="C55" i="27"/>
  <c r="C54" i="27" s="1"/>
  <c r="C53" i="27" s="1"/>
  <c r="E49" i="27"/>
  <c r="I40" i="27"/>
  <c r="H40" i="27"/>
  <c r="G40" i="27"/>
  <c r="F40" i="27"/>
  <c r="D40" i="27"/>
  <c r="C40" i="27"/>
  <c r="E39" i="27"/>
  <c r="E37" i="27"/>
  <c r="K1" i="27"/>
  <c r="I1" i="27"/>
  <c r="F1" i="27"/>
  <c r="C1" i="27"/>
  <c r="I80" i="26"/>
  <c r="H80" i="26"/>
  <c r="G80" i="26"/>
  <c r="F80" i="26"/>
  <c r="E80" i="26"/>
  <c r="D80" i="26"/>
  <c r="C65" i="26"/>
  <c r="E61" i="26"/>
  <c r="E59" i="26"/>
  <c r="E58" i="26"/>
  <c r="E57" i="26"/>
  <c r="E56" i="26"/>
  <c r="I55" i="26"/>
  <c r="I54" i="26" s="1"/>
  <c r="I53" i="26" s="1"/>
  <c r="I37" i="26" s="1"/>
  <c r="H55" i="26"/>
  <c r="H54" i="26" s="1"/>
  <c r="H53" i="26" s="1"/>
  <c r="H37" i="26" s="1"/>
  <c r="G55" i="26"/>
  <c r="G54" i="26" s="1"/>
  <c r="G53" i="26" s="1"/>
  <c r="F55" i="26"/>
  <c r="F54" i="26" s="1"/>
  <c r="F53" i="26" s="1"/>
  <c r="D54" i="26"/>
  <c r="D53" i="26" s="1"/>
  <c r="D43" i="26" s="1"/>
  <c r="D42" i="26" s="1"/>
  <c r="C55" i="26"/>
  <c r="C54" i="26" s="1"/>
  <c r="C53" i="26" s="1"/>
  <c r="E49" i="26"/>
  <c r="C40" i="26"/>
  <c r="E39" i="26"/>
  <c r="K1" i="26"/>
  <c r="I1" i="26"/>
  <c r="F1" i="26"/>
  <c r="C1" i="26"/>
  <c r="D55" i="9"/>
  <c r="E58" i="9"/>
  <c r="F55" i="9"/>
  <c r="G55" i="9"/>
  <c r="H55" i="9"/>
  <c r="I55" i="9"/>
  <c r="E49" i="9"/>
  <c r="E39" i="9"/>
  <c r="E37" i="9"/>
  <c r="E40" i="27" l="1"/>
  <c r="E54" i="27"/>
  <c r="E53" i="27" s="1"/>
  <c r="E43" i="27" s="1"/>
  <c r="E42" i="27" s="1"/>
  <c r="E65" i="27" s="1"/>
  <c r="G43" i="26"/>
  <c r="G42" i="26" s="1"/>
  <c r="G65" i="26" s="1"/>
  <c r="G37" i="26"/>
  <c r="G40" i="26" s="1"/>
  <c r="F43" i="26"/>
  <c r="F42" i="26" s="1"/>
  <c r="F65" i="26" s="1"/>
  <c r="F37" i="26"/>
  <c r="F40" i="26" s="1"/>
  <c r="I43" i="26"/>
  <c r="I42" i="26" s="1"/>
  <c r="I65" i="26" s="1"/>
  <c r="I40" i="26"/>
  <c r="H43" i="26"/>
  <c r="H42" i="26" s="1"/>
  <c r="H65" i="26" s="1"/>
  <c r="E55" i="26"/>
  <c r="E54" i="26" s="1"/>
  <c r="E53" i="26" s="1"/>
  <c r="E43" i="26" s="1"/>
  <c r="E42" i="26" s="1"/>
  <c r="E65" i="26" s="1"/>
  <c r="D65" i="26"/>
  <c r="D37" i="26"/>
  <c r="D40" i="26" s="1"/>
  <c r="J50" i="25"/>
  <c r="N50" i="25" s="1"/>
  <c r="C55" i="9"/>
  <c r="C54" i="9" s="1"/>
  <c r="C53" i="9" s="1"/>
  <c r="C40" i="9"/>
  <c r="E37" i="26" l="1"/>
  <c r="E40" i="26" s="1"/>
  <c r="H40" i="26"/>
  <c r="Q50" i="25"/>
  <c r="M50" i="25"/>
  <c r="R50" i="25"/>
  <c r="S50" i="25"/>
  <c r="O50" i="25"/>
  <c r="K50" i="25"/>
  <c r="P50" i="25"/>
  <c r="L50" i="25"/>
  <c r="D40" i="9"/>
  <c r="D54" i="9" l="1"/>
  <c r="D53" i="9"/>
  <c r="D43" i="9" s="1"/>
  <c r="D42" i="9" s="1"/>
  <c r="D65" i="9" s="1"/>
  <c r="R34" i="25"/>
  <c r="L34" i="25"/>
  <c r="R33" i="25"/>
  <c r="L33" i="25"/>
  <c r="S27" i="25"/>
  <c r="R27" i="25"/>
  <c r="Q27" i="25"/>
  <c r="M89" i="25"/>
  <c r="L89" i="25"/>
  <c r="K89" i="25"/>
  <c r="J89" i="25"/>
  <c r="I89" i="25"/>
  <c r="M88" i="25"/>
  <c r="L88" i="25"/>
  <c r="K88" i="25"/>
  <c r="J88" i="25"/>
  <c r="I88" i="25"/>
  <c r="P87" i="25"/>
  <c r="O87" i="25"/>
  <c r="N87" i="25"/>
  <c r="M87" i="25"/>
  <c r="S87" i="25"/>
  <c r="R87" i="25"/>
  <c r="Q87" i="25"/>
  <c r="L87" i="25"/>
  <c r="J87" i="25"/>
  <c r="I87" i="25"/>
  <c r="S86" i="25"/>
  <c r="M86" i="25"/>
  <c r="N86" i="25"/>
  <c r="O86" i="25"/>
  <c r="P86" i="25"/>
  <c r="L86" i="25"/>
  <c r="J86" i="25"/>
  <c r="R86" i="25"/>
  <c r="Q86" i="25"/>
  <c r="I86" i="25"/>
  <c r="S84" i="25"/>
  <c r="R84" i="25"/>
  <c r="K82" i="25"/>
  <c r="L81" i="25"/>
  <c r="N81" i="25"/>
  <c r="O81" i="25"/>
  <c r="P81" i="25"/>
  <c r="Q81" i="25"/>
  <c r="R81" i="25"/>
  <c r="S81" i="25"/>
  <c r="N82" i="25"/>
  <c r="O82" i="25"/>
  <c r="P82" i="25"/>
  <c r="Q82" i="25"/>
  <c r="R82" i="25"/>
  <c r="S82" i="25"/>
  <c r="M82" i="25"/>
  <c r="L82" i="25"/>
  <c r="M81" i="25"/>
  <c r="J81" i="25"/>
  <c r="K81" i="25"/>
  <c r="J82" i="25"/>
  <c r="I82" i="25"/>
  <c r="I81" i="25"/>
  <c r="S79" i="25"/>
  <c r="R79" i="25"/>
  <c r="K79" i="25"/>
  <c r="L79" i="25"/>
  <c r="M79" i="25"/>
  <c r="N79" i="25"/>
  <c r="O79" i="25"/>
  <c r="P79" i="25"/>
  <c r="Q84" i="25"/>
  <c r="P84" i="25"/>
  <c r="O84" i="25"/>
  <c r="J84" i="25"/>
  <c r="K84" i="25"/>
  <c r="L84" i="25"/>
  <c r="M84" i="25"/>
  <c r="N84" i="25"/>
  <c r="I84" i="25"/>
  <c r="S83" i="25"/>
  <c r="J83" i="25"/>
  <c r="K83" i="25"/>
  <c r="L83" i="25"/>
  <c r="M83" i="25"/>
  <c r="N83" i="25"/>
  <c r="O83" i="25"/>
  <c r="P83" i="25"/>
  <c r="Q83" i="25"/>
  <c r="R83" i="25"/>
  <c r="I83" i="25"/>
  <c r="Q79" i="25"/>
  <c r="J79" i="25"/>
  <c r="I79" i="25"/>
  <c r="L78" i="25"/>
  <c r="N78" i="25" s="1"/>
  <c r="J78" i="25"/>
  <c r="K78" i="25"/>
  <c r="I78" i="25"/>
  <c r="J63" i="25"/>
  <c r="K63" i="25"/>
  <c r="L63" i="25"/>
  <c r="M63" i="25"/>
  <c r="I63" i="25"/>
  <c r="M60" i="25"/>
  <c r="M61" i="25"/>
  <c r="J60" i="25"/>
  <c r="K60" i="25"/>
  <c r="L60" i="25"/>
  <c r="J61" i="25"/>
  <c r="K61" i="25"/>
  <c r="L61" i="25"/>
  <c r="I61" i="25"/>
  <c r="I60" i="25"/>
  <c r="J57" i="25"/>
  <c r="K57" i="25"/>
  <c r="L57" i="25"/>
  <c r="M57" i="25"/>
  <c r="N57" i="25"/>
  <c r="O57" i="25"/>
  <c r="P57" i="25"/>
  <c r="Q57" i="25"/>
  <c r="R57" i="25"/>
  <c r="S57" i="25"/>
  <c r="I57" i="25"/>
  <c r="J56" i="25"/>
  <c r="K56" i="25"/>
  <c r="L56" i="25"/>
  <c r="M56" i="25"/>
  <c r="N56" i="25"/>
  <c r="O56" i="25"/>
  <c r="P56" i="25"/>
  <c r="Q56" i="25"/>
  <c r="R56" i="25"/>
  <c r="S56" i="25"/>
  <c r="I56" i="25"/>
  <c r="I50" i="25"/>
  <c r="T50" i="25" s="1"/>
  <c r="T49" i="25" s="1"/>
  <c r="O34" i="25"/>
  <c r="O33" i="25"/>
  <c r="P25" i="25"/>
  <c r="O25" i="25"/>
  <c r="Q25" i="25"/>
  <c r="S25" i="25"/>
  <c r="R25" i="25"/>
  <c r="J27" i="25"/>
  <c r="K27" i="25"/>
  <c r="L27" i="25"/>
  <c r="M27" i="25"/>
  <c r="N27" i="25"/>
  <c r="O27" i="25"/>
  <c r="P27" i="25"/>
  <c r="I27" i="25"/>
  <c r="T77" i="25"/>
  <c r="T74" i="25"/>
  <c r="T73" i="25" s="1"/>
  <c r="T72" i="25"/>
  <c r="T71" i="25" s="1"/>
  <c r="T70" i="25"/>
  <c r="T69" i="25"/>
  <c r="T68" i="25"/>
  <c r="T67" i="25"/>
  <c r="T66" i="25"/>
  <c r="T65" i="25"/>
  <c r="T58" i="25"/>
  <c r="T48" i="25"/>
  <c r="T47" i="25"/>
  <c r="T46" i="25"/>
  <c r="T45" i="25"/>
  <c r="T42" i="25"/>
  <c r="T41" i="25"/>
  <c r="T40" i="25"/>
  <c r="T39" i="25"/>
  <c r="T38" i="25"/>
  <c r="T36" i="25"/>
  <c r="T35" i="25"/>
  <c r="J25" i="25"/>
  <c r="K25" i="25"/>
  <c r="L25" i="25"/>
  <c r="M25" i="25"/>
  <c r="N25" i="25"/>
  <c r="I25" i="25"/>
  <c r="J20" i="25"/>
  <c r="I20" i="25"/>
  <c r="I21" i="25"/>
  <c r="I22" i="25"/>
  <c r="J23" i="25"/>
  <c r="K23" i="25"/>
  <c r="L23" i="25"/>
  <c r="M23" i="25"/>
  <c r="N23" i="25"/>
  <c r="O23" i="25"/>
  <c r="P23" i="25"/>
  <c r="Q23" i="25"/>
  <c r="R23" i="25"/>
  <c r="S23" i="25"/>
  <c r="I23" i="25"/>
  <c r="K22" i="25"/>
  <c r="L22" i="25"/>
  <c r="M22" i="25"/>
  <c r="N22" i="25"/>
  <c r="O22" i="25"/>
  <c r="P22" i="25"/>
  <c r="Q22" i="25"/>
  <c r="R22" i="25"/>
  <c r="S22" i="25"/>
  <c r="J22" i="25"/>
  <c r="K21" i="25"/>
  <c r="L21" i="25"/>
  <c r="M21" i="25"/>
  <c r="N21" i="25"/>
  <c r="O21" i="25"/>
  <c r="P21" i="25"/>
  <c r="Q21" i="25"/>
  <c r="R21" i="25"/>
  <c r="S21" i="25"/>
  <c r="J21" i="25"/>
  <c r="L20" i="25"/>
  <c r="M20" i="25"/>
  <c r="N20" i="25"/>
  <c r="O20" i="25"/>
  <c r="P20" i="25"/>
  <c r="Q20" i="25"/>
  <c r="R20" i="25"/>
  <c r="S20" i="25"/>
  <c r="K20" i="25"/>
  <c r="T27" i="25" l="1"/>
  <c r="T26" i="25" s="1"/>
  <c r="T56" i="25"/>
  <c r="T57" i="25"/>
  <c r="T20" i="25"/>
  <c r="T22" i="25"/>
  <c r="S78" i="25"/>
  <c r="O78" i="25"/>
  <c r="M78" i="25"/>
  <c r="P78" i="25"/>
  <c r="Q78" i="25"/>
  <c r="T83" i="25"/>
  <c r="T23" i="25"/>
  <c r="T61" i="25"/>
  <c r="R78" i="25"/>
  <c r="T34" i="25"/>
  <c r="T89" i="25"/>
  <c r="T88" i="25"/>
  <c r="T87" i="25"/>
  <c r="T86" i="25"/>
  <c r="T81" i="25"/>
  <c r="T82" i="25"/>
  <c r="T84" i="25"/>
  <c r="T79" i="25"/>
  <c r="T64" i="25"/>
  <c r="T63" i="25"/>
  <c r="T62" i="25" s="1"/>
  <c r="T60" i="25"/>
  <c r="T44" i="25"/>
  <c r="T37" i="25"/>
  <c r="T33" i="25"/>
  <c r="T25" i="25"/>
  <c r="T21" i="25"/>
  <c r="T59" i="25" l="1"/>
  <c r="T24" i="25"/>
  <c r="T55" i="25"/>
  <c r="T78" i="25"/>
  <c r="T76" i="25" s="1"/>
  <c r="T32" i="25"/>
  <c r="T31" i="25" s="1"/>
  <c r="T85" i="25"/>
  <c r="T80" i="25"/>
  <c r="T43" i="25"/>
  <c r="T19" i="25"/>
  <c r="T75" i="25" l="1"/>
  <c r="T90" i="25" s="1"/>
  <c r="T18" i="25" l="1"/>
  <c r="I85" i="25"/>
  <c r="J85" i="25"/>
  <c r="K85" i="25"/>
  <c r="L85" i="25"/>
  <c r="M85" i="25"/>
  <c r="N85" i="25"/>
  <c r="O85" i="25"/>
  <c r="P85" i="25"/>
  <c r="Q85" i="25"/>
  <c r="R85" i="25"/>
  <c r="S85" i="25"/>
  <c r="H85" i="25"/>
  <c r="H80" i="25"/>
  <c r="I80" i="25"/>
  <c r="J80" i="25"/>
  <c r="K80" i="25"/>
  <c r="L80" i="25"/>
  <c r="M80" i="25"/>
  <c r="N80" i="25"/>
  <c r="O80" i="25"/>
  <c r="P80" i="25"/>
  <c r="Q80" i="25"/>
  <c r="R80" i="25"/>
  <c r="S80" i="25"/>
  <c r="H76" i="25"/>
  <c r="I76" i="25"/>
  <c r="J76" i="25"/>
  <c r="K76" i="25"/>
  <c r="L76" i="25"/>
  <c r="M76" i="25"/>
  <c r="N76" i="25"/>
  <c r="O76" i="25"/>
  <c r="P76" i="25"/>
  <c r="Q76" i="25"/>
  <c r="R76" i="25"/>
  <c r="S76" i="25"/>
  <c r="H73" i="25"/>
  <c r="I73" i="25"/>
  <c r="J73" i="25"/>
  <c r="K73" i="25"/>
  <c r="L73" i="25"/>
  <c r="M73" i="25"/>
  <c r="N73" i="25"/>
  <c r="O73" i="25"/>
  <c r="P73" i="25"/>
  <c r="Q73" i="25"/>
  <c r="R73" i="25"/>
  <c r="S73" i="25"/>
  <c r="H71" i="25"/>
  <c r="I71" i="25"/>
  <c r="J71" i="25"/>
  <c r="K71" i="25"/>
  <c r="L71" i="25"/>
  <c r="M71" i="25"/>
  <c r="N71" i="25"/>
  <c r="O71" i="25"/>
  <c r="P71" i="25"/>
  <c r="Q71" i="25"/>
  <c r="R71" i="25"/>
  <c r="S71" i="25"/>
  <c r="H64" i="25"/>
  <c r="I64" i="25"/>
  <c r="J64" i="25"/>
  <c r="K64" i="25"/>
  <c r="L64" i="25"/>
  <c r="M64" i="25"/>
  <c r="N64" i="25"/>
  <c r="O64" i="25"/>
  <c r="P64" i="25"/>
  <c r="Q64" i="25"/>
  <c r="R64" i="25"/>
  <c r="S64" i="25"/>
  <c r="H62" i="25"/>
  <c r="I62" i="25"/>
  <c r="J62" i="25"/>
  <c r="K62" i="25"/>
  <c r="L62" i="25"/>
  <c r="M62" i="25"/>
  <c r="N62" i="25"/>
  <c r="O62" i="25"/>
  <c r="P62" i="25"/>
  <c r="Q62" i="25"/>
  <c r="R62" i="25"/>
  <c r="S62" i="25"/>
  <c r="H59" i="25"/>
  <c r="I59" i="25"/>
  <c r="J59" i="25"/>
  <c r="K59" i="25"/>
  <c r="L59" i="25"/>
  <c r="M59" i="25"/>
  <c r="N59" i="25"/>
  <c r="O59" i="25"/>
  <c r="P59" i="25"/>
  <c r="Q59" i="25"/>
  <c r="R59" i="25"/>
  <c r="S59" i="25"/>
  <c r="H55" i="25"/>
  <c r="I55" i="25"/>
  <c r="J55" i="25"/>
  <c r="K55" i="25"/>
  <c r="L55" i="25"/>
  <c r="M55" i="25"/>
  <c r="N55" i="25"/>
  <c r="O55" i="25"/>
  <c r="P55" i="25"/>
  <c r="Q55" i="25"/>
  <c r="R55" i="25"/>
  <c r="S55" i="25"/>
  <c r="H49" i="25"/>
  <c r="I49" i="25"/>
  <c r="J49" i="25"/>
  <c r="K49" i="25"/>
  <c r="L49" i="25"/>
  <c r="M49" i="25"/>
  <c r="N49" i="25"/>
  <c r="O49" i="25"/>
  <c r="P49" i="25"/>
  <c r="Q49" i="25"/>
  <c r="R49" i="25"/>
  <c r="S49" i="25"/>
  <c r="H44" i="25"/>
  <c r="I44" i="25"/>
  <c r="J44" i="25"/>
  <c r="K44" i="25"/>
  <c r="L44" i="25"/>
  <c r="L43" i="25" s="1"/>
  <c r="M44" i="25"/>
  <c r="N44" i="25"/>
  <c r="O44" i="25"/>
  <c r="P44" i="25"/>
  <c r="Q44" i="25"/>
  <c r="R44" i="25"/>
  <c r="S44" i="25"/>
  <c r="H37" i="25"/>
  <c r="I37" i="25"/>
  <c r="J37" i="25"/>
  <c r="K37" i="25"/>
  <c r="L37" i="25"/>
  <c r="M37" i="25"/>
  <c r="N37" i="25"/>
  <c r="O37" i="25"/>
  <c r="P37" i="25"/>
  <c r="Q37" i="25"/>
  <c r="R37" i="25"/>
  <c r="S37" i="25"/>
  <c r="H32" i="25"/>
  <c r="I32" i="25"/>
  <c r="J32" i="25"/>
  <c r="J31" i="25" s="1"/>
  <c r="K32" i="25"/>
  <c r="K31" i="25" s="1"/>
  <c r="L32" i="25"/>
  <c r="M32" i="25"/>
  <c r="M31" i="25" s="1"/>
  <c r="N32" i="25"/>
  <c r="O32" i="25"/>
  <c r="P32" i="25"/>
  <c r="Q32" i="25"/>
  <c r="R32" i="25"/>
  <c r="S32" i="25"/>
  <c r="S31" i="25" s="1"/>
  <c r="H26" i="25"/>
  <c r="I26" i="25"/>
  <c r="J26" i="25"/>
  <c r="K26" i="25"/>
  <c r="L26" i="25"/>
  <c r="M26" i="25"/>
  <c r="N26" i="25"/>
  <c r="O26" i="25"/>
  <c r="P26" i="25"/>
  <c r="Q26" i="25"/>
  <c r="R26" i="25"/>
  <c r="S26" i="25"/>
  <c r="H24" i="25"/>
  <c r="I24" i="25"/>
  <c r="J24" i="25"/>
  <c r="J19" i="25" s="1"/>
  <c r="K24" i="25"/>
  <c r="K19" i="25" s="1"/>
  <c r="L24" i="25"/>
  <c r="L19" i="25" s="1"/>
  <c r="M24" i="25"/>
  <c r="M19" i="25" s="1"/>
  <c r="N24" i="25"/>
  <c r="O24" i="25"/>
  <c r="O19" i="25" s="1"/>
  <c r="P24" i="25"/>
  <c r="P19" i="25" s="1"/>
  <c r="Q24" i="25"/>
  <c r="Q19" i="25" s="1"/>
  <c r="R24" i="25"/>
  <c r="R19" i="25" s="1"/>
  <c r="S24" i="25"/>
  <c r="S19" i="25" s="1"/>
  <c r="H19" i="25"/>
  <c r="I19" i="25"/>
  <c r="N19" i="25"/>
  <c r="Q31" i="25" l="1"/>
  <c r="H31" i="25"/>
  <c r="I31" i="25"/>
  <c r="P31" i="25"/>
  <c r="O31" i="25"/>
  <c r="P43" i="25"/>
  <c r="N31" i="25"/>
  <c r="R43" i="25"/>
  <c r="S43" i="25"/>
  <c r="Q43" i="25"/>
  <c r="M43" i="25"/>
  <c r="J43" i="25"/>
  <c r="K43" i="25"/>
  <c r="I43" i="25"/>
  <c r="O43" i="25"/>
  <c r="H43" i="25"/>
  <c r="N75" i="25"/>
  <c r="J75" i="25"/>
  <c r="R75" i="25"/>
  <c r="R31" i="25"/>
  <c r="L31" i="25"/>
  <c r="N43" i="25"/>
  <c r="P75" i="25"/>
  <c r="P18" i="25" s="1"/>
  <c r="L75" i="25"/>
  <c r="S75" i="25"/>
  <c r="S18" i="25" s="1"/>
  <c r="O75" i="25"/>
  <c r="K75" i="25"/>
  <c r="Q75" i="25"/>
  <c r="Q18" i="25" s="1"/>
  <c r="M75" i="25"/>
  <c r="I75" i="25"/>
  <c r="I18" i="25" s="1"/>
  <c r="H75" i="25"/>
  <c r="G89" i="25"/>
  <c r="F88" i="25"/>
  <c r="G88" i="25" s="1"/>
  <c r="G87" i="25"/>
  <c r="F86" i="25"/>
  <c r="G86" i="25" s="1"/>
  <c r="G84" i="25"/>
  <c r="G83" i="25"/>
  <c r="G82" i="25"/>
  <c r="G81" i="25"/>
  <c r="E79" i="25"/>
  <c r="G79" i="25" s="1"/>
  <c r="G78" i="25"/>
  <c r="G77" i="25"/>
  <c r="G74" i="25"/>
  <c r="G73" i="25" s="1"/>
  <c r="G72" i="25"/>
  <c r="G71" i="25" s="1"/>
  <c r="G70" i="25"/>
  <c r="G69" i="25"/>
  <c r="G68" i="25"/>
  <c r="G67" i="25"/>
  <c r="G66" i="25"/>
  <c r="G65" i="25"/>
  <c r="G63" i="25"/>
  <c r="G62" i="25" s="1"/>
  <c r="G61" i="25"/>
  <c r="G60" i="25"/>
  <c r="G58" i="25"/>
  <c r="G57" i="25"/>
  <c r="G56" i="25"/>
  <c r="G51" i="25"/>
  <c r="G50" i="25"/>
  <c r="G49" i="25" s="1"/>
  <c r="G48" i="25"/>
  <c r="G47" i="25"/>
  <c r="G46" i="25"/>
  <c r="G45" i="25"/>
  <c r="G42" i="25"/>
  <c r="G41" i="25"/>
  <c r="G40" i="25"/>
  <c r="G39" i="25"/>
  <c r="G38" i="25"/>
  <c r="G36" i="25"/>
  <c r="G35" i="25"/>
  <c r="G34" i="25"/>
  <c r="G33" i="25"/>
  <c r="G118" i="24"/>
  <c r="J90" i="25" l="1"/>
  <c r="M18" i="25"/>
  <c r="H18" i="25"/>
  <c r="K18" i="25"/>
  <c r="O18" i="25"/>
  <c r="N90" i="25"/>
  <c r="J18" i="25"/>
  <c r="R18" i="25"/>
  <c r="L90" i="25"/>
  <c r="N18" i="25"/>
  <c r="R90" i="25"/>
  <c r="L18" i="25"/>
  <c r="Q90" i="25"/>
  <c r="K90" i="25"/>
  <c r="O90" i="25"/>
  <c r="P90" i="25"/>
  <c r="S90" i="25"/>
  <c r="I90" i="25"/>
  <c r="H90" i="25"/>
  <c r="M90" i="25"/>
  <c r="G64" i="25"/>
  <c r="G76" i="25"/>
  <c r="G59" i="25"/>
  <c r="G37" i="25"/>
  <c r="G80" i="25"/>
  <c r="G32" i="25"/>
  <c r="G55" i="25"/>
  <c r="G44" i="25"/>
  <c r="G85" i="25"/>
  <c r="F117" i="24"/>
  <c r="G117" i="24" s="1"/>
  <c r="G116" i="24"/>
  <c r="F115" i="24"/>
  <c r="G115" i="24" s="1"/>
  <c r="G113" i="24"/>
  <c r="G112" i="24"/>
  <c r="G111" i="24"/>
  <c r="G110" i="24"/>
  <c r="E108" i="24"/>
  <c r="G108" i="24" s="1"/>
  <c r="G107" i="24"/>
  <c r="G106" i="24"/>
  <c r="G103" i="24"/>
  <c r="G102" i="24" s="1"/>
  <c r="G101" i="24"/>
  <c r="G100" i="24" s="1"/>
  <c r="G99" i="24"/>
  <c r="G98" i="24"/>
  <c r="G97" i="24"/>
  <c r="G96" i="24"/>
  <c r="G95" i="24"/>
  <c r="G94" i="24"/>
  <c r="G92" i="24"/>
  <c r="G91" i="24" s="1"/>
  <c r="G90" i="24"/>
  <c r="G89" i="24"/>
  <c r="G87" i="24"/>
  <c r="G86" i="24"/>
  <c r="G85" i="24"/>
  <c r="G80" i="24"/>
  <c r="G79" i="24"/>
  <c r="G78" i="24" s="1"/>
  <c r="G77" i="24"/>
  <c r="G76" i="24"/>
  <c r="G75" i="24"/>
  <c r="G74" i="24"/>
  <c r="G71" i="24"/>
  <c r="G70" i="24"/>
  <c r="G69" i="24"/>
  <c r="G68" i="24"/>
  <c r="G67" i="24"/>
  <c r="G65" i="24"/>
  <c r="G64" i="24"/>
  <c r="G63" i="24"/>
  <c r="G62" i="24"/>
  <c r="G58" i="24"/>
  <c r="E57" i="24"/>
  <c r="G49" i="24"/>
  <c r="G37" i="24"/>
  <c r="G114" i="24" l="1"/>
  <c r="G31" i="25"/>
  <c r="G73" i="24"/>
  <c r="G105" i="24"/>
  <c r="G93" i="24"/>
  <c r="G109" i="24"/>
  <c r="G66" i="24"/>
  <c r="G61" i="24"/>
  <c r="G84" i="24"/>
  <c r="G75" i="25"/>
  <c r="G43" i="25"/>
  <c r="G88" i="24"/>
  <c r="G72" i="24" l="1"/>
  <c r="G36" i="24"/>
  <c r="G104" i="24"/>
  <c r="I28" i="21"/>
  <c r="I27" i="21"/>
  <c r="I24" i="21"/>
  <c r="I23" i="21"/>
  <c r="J29" i="21" l="1"/>
  <c r="I20" i="21" l="1"/>
  <c r="I21" i="21" s="1"/>
  <c r="J30" i="21"/>
  <c r="G29" i="21"/>
  <c r="C29" i="21"/>
  <c r="P28" i="21"/>
  <c r="L28" i="21"/>
  <c r="M28" i="21" s="1"/>
  <c r="N28" i="21" s="1"/>
  <c r="P27" i="21"/>
  <c r="L27" i="21"/>
  <c r="G25" i="21"/>
  <c r="C25" i="21"/>
  <c r="P24" i="21"/>
  <c r="L24" i="21"/>
  <c r="P23" i="21"/>
  <c r="L23" i="21"/>
  <c r="L25" i="21" s="1"/>
  <c r="G21" i="21"/>
  <c r="C21" i="21"/>
  <c r="P20" i="21"/>
  <c r="L20" i="21"/>
  <c r="P19" i="21"/>
  <c r="L19" i="21"/>
  <c r="M19" i="21" s="1"/>
  <c r="N19" i="21" s="1"/>
  <c r="O19" i="21" s="1"/>
  <c r="P18" i="21"/>
  <c r="N18" i="21"/>
  <c r="I24" i="20"/>
  <c r="J23" i="20"/>
  <c r="J22" i="20"/>
  <c r="I20" i="20"/>
  <c r="J19" i="20"/>
  <c r="J18" i="20"/>
  <c r="I16" i="20"/>
  <c r="J15" i="20"/>
  <c r="J14" i="20"/>
  <c r="L29" i="21" l="1"/>
  <c r="M20" i="21"/>
  <c r="N20" i="21" s="1"/>
  <c r="G22" i="25"/>
  <c r="F22" i="25" s="1"/>
  <c r="G27" i="24"/>
  <c r="F27" i="24" s="1"/>
  <c r="P25" i="21"/>
  <c r="P21" i="21"/>
  <c r="Q19" i="21"/>
  <c r="I25" i="21"/>
  <c r="M24" i="21"/>
  <c r="N24" i="21" s="1"/>
  <c r="O24" i="21" s="1"/>
  <c r="Q24" i="21" s="1"/>
  <c r="I29" i="21"/>
  <c r="C30" i="21"/>
  <c r="M23" i="21"/>
  <c r="N23" i="21" s="1"/>
  <c r="P29" i="21"/>
  <c r="G30" i="21"/>
  <c r="J16" i="20"/>
  <c r="J24" i="20"/>
  <c r="J20" i="20"/>
  <c r="I25" i="20"/>
  <c r="M27" i="21"/>
  <c r="N27" i="21" s="1"/>
  <c r="O18" i="21"/>
  <c r="L21" i="21"/>
  <c r="L30" i="21" s="1"/>
  <c r="I30" i="21" l="1"/>
  <c r="O20" i="21"/>
  <c r="Q20" i="21" s="1"/>
  <c r="N21" i="21"/>
  <c r="G21" i="25"/>
  <c r="F21" i="25" s="1"/>
  <c r="G26" i="24"/>
  <c r="F26" i="24" s="1"/>
  <c r="G20" i="25"/>
  <c r="G25" i="24"/>
  <c r="G23" i="25"/>
  <c r="F23" i="25" s="1"/>
  <c r="G28" i="24"/>
  <c r="F28" i="24" s="1"/>
  <c r="O28" i="21"/>
  <c r="Q28" i="21" s="1"/>
  <c r="P30" i="21"/>
  <c r="N25" i="21"/>
  <c r="O23" i="21"/>
  <c r="O25" i="21" s="1"/>
  <c r="J25" i="20"/>
  <c r="Q18" i="21"/>
  <c r="Q21" i="21" s="1"/>
  <c r="O21" i="21"/>
  <c r="O27" i="21"/>
  <c r="E34" i="21" l="1"/>
  <c r="G25" i="25"/>
  <c r="F25" i="25" s="1"/>
  <c r="G30" i="24"/>
  <c r="F30" i="24" s="1"/>
  <c r="F25" i="24"/>
  <c r="G29" i="24"/>
  <c r="F20" i="25"/>
  <c r="G24" i="25"/>
  <c r="N29" i="21"/>
  <c r="N30" i="21" s="1"/>
  <c r="Q23" i="21"/>
  <c r="Q25" i="21" s="1"/>
  <c r="O29" i="21"/>
  <c r="O30" i="21" s="1"/>
  <c r="E33" i="21" s="1"/>
  <c r="N33" i="21" s="1"/>
  <c r="Q27" i="21"/>
  <c r="Q29" i="21" s="1"/>
  <c r="G24" i="24" l="1"/>
  <c r="G27" i="25"/>
  <c r="G26" i="25" s="1"/>
  <c r="G32" i="24"/>
  <c r="G31" i="24" s="1"/>
  <c r="G23" i="24" s="1"/>
  <c r="G19" i="25"/>
  <c r="Q30" i="21"/>
  <c r="N34" i="21"/>
  <c r="G119" i="24" l="1"/>
  <c r="G3" i="24" s="1"/>
  <c r="G18" i="25"/>
  <c r="G90" i="25"/>
  <c r="G3" i="25" s="1"/>
  <c r="E57" i="9"/>
  <c r="E56" i="9"/>
  <c r="I40" i="9" l="1"/>
  <c r="I54" i="9"/>
  <c r="I53" i="9" s="1"/>
  <c r="I43" i="9" s="1"/>
  <c r="I42" i="9" s="1"/>
  <c r="I65" i="9" s="1"/>
  <c r="E59" i="9" l="1"/>
  <c r="E61" i="9"/>
  <c r="F54" i="9"/>
  <c r="F53" i="9" s="1"/>
  <c r="F43" i="9" s="1"/>
  <c r="E55" i="9" l="1"/>
  <c r="E54" i="9"/>
  <c r="E53" i="9" s="1"/>
  <c r="E43" i="9" s="1"/>
  <c r="G54" i="9"/>
  <c r="G53" i="9" s="1"/>
  <c r="G43" i="9" s="1"/>
  <c r="G42" i="9" s="1"/>
  <c r="G65" i="9" s="1"/>
  <c r="F40" i="9"/>
  <c r="H54" i="9"/>
  <c r="H53" i="9" s="1"/>
  <c r="H43" i="9" s="1"/>
  <c r="H42" i="9" s="1"/>
  <c r="H65" i="9" s="1"/>
  <c r="F42" i="9"/>
  <c r="F65" i="9" s="1"/>
  <c r="H40" i="9" l="1"/>
  <c r="G40" i="9"/>
  <c r="E42" i="9"/>
  <c r="E65" i="9" s="1"/>
  <c r="E40" i="9" l="1"/>
  <c r="E80" i="9" l="1"/>
  <c r="F80" i="9"/>
  <c r="G80" i="9"/>
  <c r="H80" i="9"/>
  <c r="I80" i="9"/>
  <c r="C65" i="9" l="1"/>
  <c r="D80" i="9"/>
  <c r="K1" i="9"/>
  <c r="I1" i="9"/>
  <c r="F1" i="9"/>
  <c r="C1" i="9"/>
</calcChain>
</file>

<file path=xl/sharedStrings.xml><?xml version="1.0" encoding="utf-8"?>
<sst xmlns="http://schemas.openxmlformats.org/spreadsheetml/2006/main" count="1216" uniqueCount="418">
  <si>
    <t>X</t>
  </si>
  <si>
    <t>030</t>
  </si>
  <si>
    <t xml:space="preserve">                                                                                                                                  </t>
  </si>
  <si>
    <t xml:space="preserve">за ЄДРПОУ </t>
  </si>
  <si>
    <t xml:space="preserve">за  КВЕД  </t>
  </si>
  <si>
    <t>022</t>
  </si>
  <si>
    <t>023</t>
  </si>
  <si>
    <t>024</t>
  </si>
  <si>
    <t>025</t>
  </si>
  <si>
    <t>026</t>
  </si>
  <si>
    <t>027</t>
  </si>
  <si>
    <t>028</t>
  </si>
  <si>
    <t>029</t>
  </si>
  <si>
    <t>за КОПФГ</t>
  </si>
  <si>
    <t>001</t>
  </si>
  <si>
    <t>002</t>
  </si>
  <si>
    <t>003</t>
  </si>
  <si>
    <t>004</t>
  </si>
  <si>
    <t>Усього витрати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</si>
  <si>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</si>
  <si>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</si>
  <si>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</si>
  <si>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Організаційно-правова форма </t>
  </si>
  <si>
    <t xml:space="preserve">Галузь     </t>
  </si>
  <si>
    <t xml:space="preserve">Код рядка </t>
  </si>
  <si>
    <t>011</t>
  </si>
  <si>
    <t>012</t>
  </si>
  <si>
    <t>013</t>
  </si>
  <si>
    <t>014</t>
  </si>
  <si>
    <t>015</t>
  </si>
  <si>
    <t>податок на додану вартість</t>
  </si>
  <si>
    <t>016</t>
  </si>
  <si>
    <t>Усього доходів</t>
  </si>
  <si>
    <t>коди</t>
  </si>
  <si>
    <t>Рік</t>
  </si>
  <si>
    <t>Територія</t>
  </si>
  <si>
    <t>за КОАТУУ</t>
  </si>
  <si>
    <t>Форма власності</t>
  </si>
  <si>
    <t>Чисельність працівників</t>
  </si>
  <si>
    <t>Основні фінансові показники підприємства</t>
  </si>
  <si>
    <t>І. Формування прибутку підприємства</t>
  </si>
  <si>
    <t>інші непрямі податки</t>
  </si>
  <si>
    <t>005</t>
  </si>
  <si>
    <t>006</t>
  </si>
  <si>
    <t>007</t>
  </si>
  <si>
    <t>008</t>
  </si>
  <si>
    <t>009</t>
  </si>
  <si>
    <t>017</t>
  </si>
  <si>
    <t>018</t>
  </si>
  <si>
    <t>019</t>
  </si>
  <si>
    <t>Доходи</t>
  </si>
  <si>
    <t>Витрати</t>
  </si>
  <si>
    <t>Фінансові результати діяльності:</t>
  </si>
  <si>
    <t>Валовий прибуток (збиток)</t>
  </si>
  <si>
    <t>Чистий  прибуток (збиток), у тому числі:</t>
  </si>
  <si>
    <t xml:space="preserve">прибуток </t>
  </si>
  <si>
    <t>збиток</t>
  </si>
  <si>
    <t>ІІ. Розподіл чистого прибутку</t>
  </si>
  <si>
    <t xml:space="preserve">Відрахування частини прибутку:  </t>
  </si>
  <si>
    <t>Резервний фонд</t>
  </si>
  <si>
    <t>031</t>
  </si>
  <si>
    <t>032</t>
  </si>
  <si>
    <t>033</t>
  </si>
  <si>
    <t>034</t>
  </si>
  <si>
    <t>035</t>
  </si>
  <si>
    <t>місцеві податки та збори</t>
  </si>
  <si>
    <t>Комунальне підприємство</t>
  </si>
  <si>
    <t>84.11</t>
  </si>
  <si>
    <t>007/1</t>
  </si>
  <si>
    <t>018/1</t>
  </si>
  <si>
    <t xml:space="preserve">Фонд розвитку виробництва (%)  </t>
  </si>
  <si>
    <t>Обов’язкові платежі, у тому числі:</t>
  </si>
  <si>
    <t>до Порядку затвердження фінансового плану</t>
  </si>
  <si>
    <t>Комунальних підпрприємств</t>
  </si>
  <si>
    <t>м. Южне</t>
  </si>
  <si>
    <t>Витрати за рахунок доходів із місцевого бюджету за цільовими програмами, у т.ч:</t>
  </si>
  <si>
    <t>018/2</t>
  </si>
  <si>
    <t>018/3</t>
  </si>
  <si>
    <t>018/4</t>
  </si>
  <si>
    <t>018/5</t>
  </si>
  <si>
    <t>018/6</t>
  </si>
  <si>
    <t>018/7</t>
  </si>
  <si>
    <t xml:space="preserve"> - інши витрати </t>
  </si>
  <si>
    <t>018/8</t>
  </si>
  <si>
    <t>018/9</t>
  </si>
  <si>
    <t xml:space="preserve"> - адміністративні     </t>
  </si>
  <si>
    <t xml:space="preserve"> - загальновиробничі </t>
  </si>
  <si>
    <r>
      <t xml:space="preserve">Орган  управління  </t>
    </r>
    <r>
      <rPr>
        <b/>
        <i/>
        <sz val="12"/>
        <rFont val="Times New Roman Cyr"/>
        <family val="1"/>
        <charset val="204"/>
      </rPr>
      <t xml:space="preserve"> </t>
    </r>
  </si>
  <si>
    <t>Охорона діяльність</t>
  </si>
  <si>
    <t xml:space="preserve">Одиниця виміру: </t>
  </si>
  <si>
    <t>тис.грн</t>
  </si>
  <si>
    <t>комунальна</t>
  </si>
  <si>
    <r>
      <rPr>
        <sz val="12"/>
        <rFont val="Times New Roman"/>
        <family val="1"/>
        <charset val="204"/>
      </rPr>
      <t>Втрати на збут</t>
    </r>
    <r>
      <rPr>
        <i/>
        <sz val="12"/>
        <rFont val="Times New Roman"/>
        <family val="1"/>
        <charset val="204"/>
      </rPr>
      <t xml:space="preserve"> (розшифрування)</t>
    </r>
  </si>
  <si>
    <t>010</t>
  </si>
  <si>
    <t xml:space="preserve"> - заробітна плата (згідно додатку)</t>
  </si>
  <si>
    <t xml:space="preserve"> - нарахування ЄСВ (згідно додатку)</t>
  </si>
  <si>
    <t xml:space="preserve"> - матеріальні витрати  (згідно додатку)</t>
  </si>
  <si>
    <t xml:space="preserve">Фінансовий результат від операційної діяльності       прибуток                                                                       </t>
  </si>
  <si>
    <t xml:space="preserve">   збиток</t>
  </si>
  <si>
    <t>Податок на прибуток від звичайної діяльності</t>
  </si>
  <si>
    <t>Фонд матеріального заохочення (%)</t>
  </si>
  <si>
    <r>
      <t xml:space="preserve">Інші вирахування з доходу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</si>
  <si>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Інші операційні доходи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</si>
  <si>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Інші фінансові доходи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</si>
  <si>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Витрати на оплату праці </t>
    </r>
    <r>
      <rPr>
        <i/>
        <sz val="12"/>
        <rFont val="Times New Roman"/>
        <family val="1"/>
        <charset val="204"/>
      </rPr>
      <t xml:space="preserve">(згідно додатку),з них:                                                                     </t>
    </r>
  </si>
  <si>
    <r>
      <t xml:space="preserve">Витрати на соціальні заходи </t>
    </r>
    <r>
      <rPr>
        <i/>
        <sz val="12"/>
        <rFont val="Times New Roman"/>
        <family val="1"/>
        <charset val="204"/>
      </rPr>
      <t>(згідно додатку)</t>
    </r>
  </si>
  <si>
    <r>
      <t xml:space="preserve">Інші операційні витрати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</si>
  <si>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 - інші операційні витрати,(</t>
    </r>
    <r>
      <rPr>
        <b/>
        <i/>
        <sz val="12"/>
        <rFont val="Times New Roman"/>
        <family val="1"/>
        <charset val="204"/>
      </rPr>
      <t>оплата послуг крім комунальних</t>
    </r>
    <r>
      <rPr>
        <i/>
        <sz val="12"/>
        <rFont val="Times New Roman"/>
        <family val="1"/>
        <charset val="204"/>
      </rPr>
      <t xml:space="preserve"> (розшифрування))</t>
    </r>
  </si>
  <si>
    <r>
      <t xml:space="preserve"> - </t>
    </r>
    <r>
      <rPr>
        <b/>
        <i/>
        <sz val="12"/>
        <rFont val="Times New Roman"/>
        <family val="1"/>
        <charset val="204"/>
      </rPr>
      <t>оплата комунальних послуг,</t>
    </r>
    <r>
      <rPr>
        <i/>
        <sz val="12"/>
        <rFont val="Times New Roman"/>
        <family val="1"/>
        <charset val="204"/>
      </rPr>
      <t xml:space="preserve"> (згідно додатку)</t>
    </r>
  </si>
  <si>
    <r>
      <t xml:space="preserve">Інші витрати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</si>
  <si>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Інші фонди </t>
    </r>
    <r>
      <rPr>
        <b/>
        <i/>
        <sz val="12"/>
        <rFont val="Times New Roman"/>
        <family val="1"/>
        <charset val="204"/>
      </rPr>
      <t>(розшифрувати)</t>
    </r>
  </si>
  <si>
    <t>(посада)</t>
  </si>
  <si>
    <t>(підпис)</t>
  </si>
  <si>
    <t>М.П.</t>
  </si>
  <si>
    <t>грн.</t>
  </si>
  <si>
    <t>№ з/п</t>
  </si>
  <si>
    <t>Назва послуг, матеріалів, інше</t>
  </si>
  <si>
    <t>Од.ви-міру</t>
  </si>
  <si>
    <t>К-ть штатних одиниць</t>
  </si>
  <si>
    <t>1.</t>
  </si>
  <si>
    <t>Заробітна плата</t>
  </si>
  <si>
    <t>Посадовий оклад</t>
  </si>
  <si>
    <t>шт.од.</t>
  </si>
  <si>
    <t xml:space="preserve">Фонд преміювання </t>
  </si>
  <si>
    <t>Нічні</t>
  </si>
  <si>
    <t>Надбавка за виконання особливо важливої роботи на певний термін (до 50%)</t>
  </si>
  <si>
    <t>2.</t>
  </si>
  <si>
    <t>Нарахування на оплату праці</t>
  </si>
  <si>
    <t>Згідно Закону України від 08.07.2010 року № 2464-VІ «Про збір та облік єдиного внеску на загальнообов’язкове державне соціальне страхування» (22%)</t>
  </si>
  <si>
    <t>К-ть</t>
  </si>
  <si>
    <t>Ціна</t>
  </si>
  <si>
    <t>Сума</t>
  </si>
  <si>
    <t>3.</t>
  </si>
  <si>
    <t>Предмети, матеріали, обладнання та інвентар</t>
  </si>
  <si>
    <t>3.1</t>
  </si>
  <si>
    <t>Канцелярські товари</t>
  </si>
  <si>
    <t>шт</t>
  </si>
  <si>
    <t>4.</t>
  </si>
  <si>
    <t>Оплата послуг (крім комунальних)</t>
  </si>
  <si>
    <t>4.1</t>
  </si>
  <si>
    <t>Перезарядка спеціальних тонер-картриджів збільшеної ємності</t>
  </si>
  <si>
    <t>посл.</t>
  </si>
  <si>
    <t>Відновлення тонер-картриджів</t>
  </si>
  <si>
    <t>4.2</t>
  </si>
  <si>
    <t>Відшкодування експлуатаційних витрат</t>
  </si>
  <si>
    <t>м.кв</t>
  </si>
  <si>
    <t>4.3</t>
  </si>
  <si>
    <t>4.4</t>
  </si>
  <si>
    <t>Телекомунікаційні послуги</t>
  </si>
  <si>
    <t>міс.</t>
  </si>
  <si>
    <t xml:space="preserve">Налаштування обладнання </t>
  </si>
  <si>
    <t>Оплата комунальних послуг та енергоносіїв</t>
  </si>
  <si>
    <t>Оплата теплопостачання</t>
  </si>
  <si>
    <t>Гкал</t>
  </si>
  <si>
    <t>Бухгалтер</t>
  </si>
  <si>
    <t xml:space="preserve">ЗАГАЛЬНИЙ ФОНД </t>
  </si>
  <si>
    <t xml:space="preserve">КЕКВ </t>
  </si>
  <si>
    <t xml:space="preserve"> «Субсидії та поточні трансферти підприємствам (установам, організаціям)»</t>
  </si>
  <si>
    <t>3.2</t>
  </si>
  <si>
    <t>3.3</t>
  </si>
  <si>
    <t>Перезарядка тонер-картриджів стандартної ємності</t>
  </si>
  <si>
    <t>Технічне обслуговування копіювальних апаратів та принтерів</t>
  </si>
  <si>
    <t xml:space="preserve">Абонплата згідно тарифу «ІНТЕРНЕТ ДЛЯ БІЗНЕСУ 100» швидкість 100/100 Мбіт/с </t>
  </si>
  <si>
    <t>Постійна ІР-адреса</t>
  </si>
  <si>
    <t>ПОГОДЖЕНО</t>
  </si>
  <si>
    <t>ЗАТВЕРДЖЕНО</t>
  </si>
  <si>
    <t>___________</t>
  </si>
  <si>
    <t>прож.мінім.</t>
  </si>
  <si>
    <t>Найменування посади</t>
  </si>
  <si>
    <t>Код</t>
  </si>
  <si>
    <t xml:space="preserve">Кількість штатних одиниць </t>
  </si>
  <si>
    <t>Коефіцієнт співвідношення до мінімальної тарифної ставки робітника 1 розряду</t>
  </si>
  <si>
    <t>Посадовий оклад (тарифна ставка)</t>
  </si>
  <si>
    <t>Надбавка за виконання особливо важливої роботи на певний термін (до 50 %)</t>
  </si>
  <si>
    <t>Відповідно до ст.108 КЗпП</t>
  </si>
  <si>
    <t xml:space="preserve">Премія щомісячна, </t>
  </si>
  <si>
    <t>Фонд оплати праці  за посадами        (в місяць на 1 шт.од.)</t>
  </si>
  <si>
    <t>Фонд оплати праці  за посадами на місяць</t>
  </si>
  <si>
    <t>Матеріальна допомога на оздоровлення</t>
  </si>
  <si>
    <t>Коефіцієнт робітника    1 розряду</t>
  </si>
  <si>
    <t>Коефіцієнт за видами робіт</t>
  </si>
  <si>
    <t>Коефіцієнт за професією/ розрядом</t>
  </si>
  <si>
    <t>9                                     (7*8)</t>
  </si>
  <si>
    <t>12                           (7*11)</t>
  </si>
  <si>
    <t>13                           (7+9+10+12)</t>
  </si>
  <si>
    <t xml:space="preserve">    14                                                  (3*13)</t>
  </si>
  <si>
    <t>17                                 (15+16)</t>
  </si>
  <si>
    <t>%</t>
  </si>
  <si>
    <t xml:space="preserve">Начальник </t>
  </si>
  <si>
    <t>1210.1</t>
  </si>
  <si>
    <t>Згідно контракту</t>
  </si>
  <si>
    <t>2411.2</t>
  </si>
  <si>
    <t>Юрисконсульт</t>
  </si>
  <si>
    <t>Всього:</t>
  </si>
  <si>
    <t>Відділ інспекції з благоустрою</t>
  </si>
  <si>
    <t xml:space="preserve">Начальник відділу </t>
  </si>
  <si>
    <t>5-50</t>
  </si>
  <si>
    <t xml:space="preserve">Інспектор </t>
  </si>
  <si>
    <t xml:space="preserve">Всього відділ інспекції з благоустрою: </t>
  </si>
  <si>
    <t>Відділ муніципальної охорони (безпеки)</t>
  </si>
  <si>
    <t xml:space="preserve">Начальник відділу  </t>
  </si>
  <si>
    <t xml:space="preserve">Інспектор                                </t>
  </si>
  <si>
    <t xml:space="preserve">Всього відділ муніципальної охорони (безпеки):            </t>
  </si>
  <si>
    <t>Всього по підприємству:</t>
  </si>
  <si>
    <t>Назва структурного підрозділу та посад</t>
  </si>
  <si>
    <t>Код за класіфікатором професії</t>
  </si>
  <si>
    <t>Розряд</t>
  </si>
  <si>
    <t>Кількість штатних одиниць</t>
  </si>
  <si>
    <t xml:space="preserve">Фонд заробітної плати на місяць, (грн.) </t>
  </si>
  <si>
    <t>Коефіцієнт робітника 1 розряду</t>
  </si>
  <si>
    <t>1.1</t>
  </si>
  <si>
    <t>згідно контракту</t>
  </si>
  <si>
    <t>1.2</t>
  </si>
  <si>
    <t>Бухгалтер (з дипломом спеціаліст)</t>
  </si>
  <si>
    <t>1.3</t>
  </si>
  <si>
    <t>Усього:</t>
  </si>
  <si>
    <t>2.1</t>
  </si>
  <si>
    <t>Начальник відділу</t>
  </si>
  <si>
    <t>2.2</t>
  </si>
  <si>
    <t>Інспектор</t>
  </si>
  <si>
    <t>Усього по відділу інспекції з благоустрою:</t>
  </si>
  <si>
    <t>Усього по відділу муніципальної охорони (безпеки):</t>
  </si>
  <si>
    <t xml:space="preserve">Усього по підприємству: </t>
  </si>
  <si>
    <t>-</t>
  </si>
  <si>
    <t>Фонд соціального розвітку (%)</t>
  </si>
  <si>
    <t>Технічне обслуговування системи відеоспостереження</t>
  </si>
  <si>
    <t>ПММ</t>
  </si>
  <si>
    <t>л</t>
  </si>
  <si>
    <t xml:space="preserve">ФІНАНСОВИЙ ПЛАН КОМУНАЛЬНОГО ПІДПРИЄМСТВА  </t>
  </si>
  <si>
    <t>Дизельне пальне</t>
  </si>
  <si>
    <t xml:space="preserve">Розрахунок фонду оплати праці  </t>
  </si>
  <si>
    <t xml:space="preserve">  КПКВК 0218230 «Інші заходи громадського порядку та безпеки» </t>
  </si>
  <si>
    <t>пач</t>
  </si>
  <si>
    <t>Відновлення та заправка картриджів</t>
  </si>
  <si>
    <t>5.</t>
  </si>
  <si>
    <t>Орендна плата</t>
  </si>
  <si>
    <t>Плата з оренди приміщення</t>
  </si>
  <si>
    <t>6.</t>
  </si>
  <si>
    <t>6.1.</t>
  </si>
  <si>
    <t>УСЬОГО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</si>
  <si>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</si>
  <si>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</si>
  <si>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</si>
  <si>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</si>
  <si>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</si>
  <si>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</si>
  <si>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</si>
  <si>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</si>
  <si>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</si>
  <si>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</si>
  <si>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</si>
  <si>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</si>
  <si>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м. Південне</t>
  </si>
  <si>
    <t>Матеріальна допомога на оздоровлення в розмірі посадового окладу</t>
  </si>
  <si>
    <t>Підприємство  ПІВДЕННІВСЬКЕ  КОМУНАЛЬНЕ ПІДПРИЄМСТВО "МУНІЦИПАЛЬНА ВАРТА"</t>
  </si>
  <si>
    <t>Виконавчий комітет Південнівської міської ради</t>
  </si>
  <si>
    <t xml:space="preserve">Додаток до рішення виконавчого комітету                                            від              .2025  № </t>
  </si>
  <si>
    <t>Програма забезпечення діяльності  Південнівського комунального підприємства "Муніципальна варта " на 2025-2027 роки</t>
  </si>
  <si>
    <t xml:space="preserve">ПРОЕКТ ШТАТНОГО РОЗПИСУ на 2026 рік   </t>
  </si>
  <si>
    <t>з 01.01.2026 р. по 31.12.2026 р.</t>
  </si>
  <si>
    <r>
      <t xml:space="preserve">Назва підприємства  </t>
    </r>
    <r>
      <rPr>
        <b/>
        <u/>
        <sz val="11"/>
        <color rgb="FF000000"/>
        <rFont val="Times New Roman"/>
        <family val="1"/>
        <charset val="204"/>
      </rPr>
      <t>ПІВДЕННІВ</t>
    </r>
    <r>
      <rPr>
        <b/>
        <u/>
        <sz val="10"/>
        <color rgb="FF000000"/>
        <rFont val="Times New Roman"/>
        <family val="1"/>
        <charset val="204"/>
      </rPr>
      <t>СЬКЕ КОМУНАЛЬНЕ ПІДПРИЄМСТВО «МУНІЦИПАЛЬНА</t>
    </r>
    <r>
      <rPr>
        <b/>
        <u/>
        <sz val="11"/>
        <color rgb="FF000000"/>
        <rFont val="Times New Roman"/>
        <family val="1"/>
        <charset val="204"/>
      </rPr>
      <t xml:space="preserve"> </t>
    </r>
    <r>
      <rPr>
        <b/>
        <u/>
        <sz val="10"/>
        <color rgb="FF000000"/>
        <rFont val="Times New Roman"/>
        <family val="1"/>
        <charset val="204"/>
      </rPr>
      <t>ВАРТА»</t>
    </r>
  </si>
  <si>
    <t>Начальник ПКП «МУНІЦИПАЛЬНА ВАРТА»</t>
  </si>
  <si>
    <t>Олексій САНДЮК</t>
  </si>
  <si>
    <t xml:space="preserve">Бухгалтер </t>
  </si>
  <si>
    <t>Наталя МУСІЄНКО</t>
  </si>
  <si>
    <t>з 01.01.2026 по 31.12.2026 рік</t>
  </si>
  <si>
    <t>Заступник міського голови з питань діяльності виконавчих органів ради - начальник фінансового управління Південнівської міської ради Одеського району Одеської області</t>
  </si>
  <si>
    <t>В.о. начальника ПКП "МУНІЦИПАЛЬНА ВАРТА"</t>
  </si>
  <si>
    <t>Альона ПРОХОРОВА</t>
  </si>
  <si>
    <t>___________________________________2026 р.</t>
  </si>
  <si>
    <t>2026 р.</t>
  </si>
  <si>
    <t xml:space="preserve">ПІВДЕННІВСЬКОГО КОМУНАЛЬНОГО ПІДПРИЄМСТВА «МУНІЦИПАЛЬНА ВАРТА»  </t>
  </si>
  <si>
    <t xml:space="preserve">  КПКВК 0218230 «Інші заходи громадського порядку  та безпеки»</t>
  </si>
  <si>
    <t>Фонд оплати праці всього за період з 01.01.2026 по 31.12.2026</t>
  </si>
  <si>
    <t>Фонд оплати праці всього, у т.ч. матеріальна допомога на оздоровлення за період з 01.01.2026 по 31.12.2026</t>
  </si>
  <si>
    <t xml:space="preserve"> Нічні щомісячно</t>
  </si>
  <si>
    <t>15                                      (14*10 міс)</t>
  </si>
  <si>
    <t>Бухгалтер (з дипломом магістра)</t>
  </si>
  <si>
    <t>Всього з 01.01.2026р. по 31.12.2026р.</t>
  </si>
  <si>
    <t>Нарахування ЄСВ, 22% з 01.01.2026р. по 31.12.2026р.</t>
  </si>
  <si>
    <t>Матеріальна допомога на оздоровлення з 01.01.2026р. по 31.12.2026р.</t>
  </si>
  <si>
    <t>РАЗОМ з 01.01.2026р. по 31.12.2026р.</t>
  </si>
  <si>
    <t xml:space="preserve">Начальник ПКП «МУНІЦИПАЛЬНА ВАРТА»  </t>
  </si>
  <si>
    <t>ЗАТВЕРДЖЕНИЙ</t>
  </si>
  <si>
    <t xml:space="preserve">у сумі </t>
  </si>
  <si>
    <t xml:space="preserve">Три мільони чотириста п' ятдесят сім тисяч </t>
  </si>
  <si>
    <t xml:space="preserve">гривень 00 копійок </t>
  </si>
  <si>
    <t>(сума літерами і цифрами)</t>
  </si>
  <si>
    <t>Міський голова</t>
  </si>
  <si>
    <t>В.М. Новацький</t>
  </si>
  <si>
    <t>(ініціали і прізвище)</t>
  </si>
  <si>
    <t>23 січня 2015 року</t>
  </si>
  <si>
    <t>(число,місяць,рік)</t>
  </si>
  <si>
    <t xml:space="preserve">ПІВДЕННІВСЬКОГО КОМУНАЛЬНОГО ПІДПРИЄМСТВА «МУНІЦИПАЛЬНА ВАРТА» </t>
  </si>
  <si>
    <t xml:space="preserve">за програмою забезпечення діяльності ПІВДЕННІВСЬКОГО КОМУНАЛЬНОГО ПІДПРИЄМСТВА «МУНІЦИПАЛЬНА ВАРТА» на 2025-2027 роки </t>
  </si>
  <si>
    <t>Середньомісячна зарплата за місяць</t>
  </si>
  <si>
    <t xml:space="preserve">ФОП на 2026 рік </t>
  </si>
  <si>
    <t xml:space="preserve">ФОП на 2024 рік </t>
  </si>
  <si>
    <t>Фарба штемпельна</t>
  </si>
  <si>
    <t>флак</t>
  </si>
  <si>
    <t xml:space="preserve">Папір А4 500 арк. </t>
  </si>
  <si>
    <t>Папка Справа А4 + картон</t>
  </si>
  <si>
    <t>Папка-регистратор А4 50 мм</t>
  </si>
  <si>
    <t>Папка-регистратор А4 75 мм</t>
  </si>
  <si>
    <t>Скоби  для степлера № 10/5</t>
  </si>
  <si>
    <t>Біндер 25 мм, 12 шт</t>
  </si>
  <si>
    <t>паков</t>
  </si>
  <si>
    <t>Скріпки 25 мм, 100 шт</t>
  </si>
  <si>
    <t>Контейнер з чорнилом (70мл)</t>
  </si>
  <si>
    <t>Клей-олівець 8г</t>
  </si>
  <si>
    <t>Спецодяг</t>
  </si>
  <si>
    <t>Костюм тактичний літній</t>
  </si>
  <si>
    <t>к-т</t>
  </si>
  <si>
    <t>Костюм тактичний зимовий</t>
  </si>
  <si>
    <t>Кофта флісова</t>
  </si>
  <si>
    <t>Шапка-феска трикотаж</t>
  </si>
  <si>
    <t xml:space="preserve">Футболка поло </t>
  </si>
  <si>
    <t>Бейсболка</t>
  </si>
  <si>
    <t xml:space="preserve">Ремінь тактичний </t>
  </si>
  <si>
    <t xml:space="preserve">Шеврони </t>
  </si>
  <si>
    <t>Спецвзуття</t>
  </si>
  <si>
    <t>Кросівки тактичні</t>
  </si>
  <si>
    <t>пар</t>
  </si>
  <si>
    <t>Черевики з високими берцами</t>
  </si>
  <si>
    <t>Бензин марки А-95</t>
  </si>
  <si>
    <t>Запчастини (матеріали) для автомобіля</t>
  </si>
  <si>
    <t>Відшкодування експлуатаційних витрат (113 м.кв.*5,40 грн*12 міс)</t>
  </si>
  <si>
    <t>Послуги навчання</t>
  </si>
  <si>
    <t>З питань охорони праці</t>
  </si>
  <si>
    <t>З питань пожежної безпеки</t>
  </si>
  <si>
    <t>Правила електробезпеки</t>
  </si>
  <si>
    <t>Обслуговування Cloud-платформи (віддалено)</t>
  </si>
  <si>
    <t>Обслуговування системи відеоспостереження</t>
  </si>
  <si>
    <t>4.5</t>
  </si>
  <si>
    <t>Телекомунікаційні послуги для обслуговування системи відеоспостереження</t>
  </si>
  <si>
    <t>4.6</t>
  </si>
  <si>
    <t>Технічне обслуговування автомобіля</t>
  </si>
  <si>
    <t>Технічне обслуговування</t>
  </si>
  <si>
    <t>4.7</t>
  </si>
  <si>
    <t>Програмне обслуговування «М.Е.Doc»</t>
  </si>
  <si>
    <t>Постачання примірника та пакетів оновлень (компонентів) компютерної програми «М.Е.Doc» юридичній особі, яка не є платником ПДВ з правом використання на рік (Модуль «Звітність»)</t>
  </si>
  <si>
    <t>Постачання теплової енергії</t>
  </si>
  <si>
    <t>Плата за абонентське обслуговування з ВКО</t>
  </si>
  <si>
    <t>Абонентська плата (з урахуванням витрат на утримання та ремонт ЦТП)</t>
  </si>
  <si>
    <t>Гкал/год</t>
  </si>
  <si>
    <t>6.2.</t>
  </si>
  <si>
    <t>Оплата водопостачання та водовідведення</t>
  </si>
  <si>
    <t>Централізоване водопостачання</t>
  </si>
  <si>
    <t>куб.м.</t>
  </si>
  <si>
    <t>Централізоване водовідведення</t>
  </si>
  <si>
    <t>Плата за абонентське обслуговування на централізоване водопостачання</t>
  </si>
  <si>
    <t>Плата за абонентське обслуговування на централізоване водовідведення</t>
  </si>
  <si>
    <t>6.3.</t>
  </si>
  <si>
    <t>Оплата електричної енергії</t>
  </si>
  <si>
    <t>Електрична енергія (по вул. Шевченка Т.Г., буд. 1, прим. 6)</t>
  </si>
  <si>
    <t>кВт*год</t>
  </si>
  <si>
    <t>кВт</t>
  </si>
  <si>
    <t>Електрична енергія (камери)</t>
  </si>
  <si>
    <t xml:space="preserve">Начальник ПКП  «МУНІЦИПАЛЬНА ВАРТА»    </t>
  </si>
  <si>
    <t xml:space="preserve">___________________    </t>
  </si>
  <si>
    <r>
      <t xml:space="preserve">                                                                                      </t>
    </r>
    <r>
      <rPr>
        <sz val="8"/>
        <color rgb="FF000000"/>
        <rFont val="Times New Roman"/>
        <family val="1"/>
        <charset val="204"/>
      </rPr>
      <t xml:space="preserve"> (назва комунального  підприємства)</t>
    </r>
  </si>
  <si>
    <r>
      <t xml:space="preserve">Прожитковий мінімум – 3 328,00 грн.                     </t>
    </r>
    <r>
      <rPr>
        <sz val="8"/>
        <color rgb="FF000000"/>
        <rFont val="Times New Roman"/>
        <family val="1"/>
        <charset val="204"/>
      </rPr>
      <t xml:space="preserve"> </t>
    </r>
  </si>
  <si>
    <t>Олива моторна HIGHTEC SYNT RS SAE 5W-30 HC-C4 (1L)</t>
  </si>
  <si>
    <t>Олива моторна HIGHTEC SYNT RS SAE 5W-30 HC-C4 (5L)</t>
  </si>
  <si>
    <t>Фільтр масляний</t>
  </si>
  <si>
    <t>Фільтр повітряний (фільтруючий елемент) DACIA DOKKER</t>
  </si>
  <si>
    <t>Фільтр паливний</t>
  </si>
  <si>
    <t>Фільтр повітря у внутрішній простір</t>
  </si>
  <si>
    <t>колодки гальмівні</t>
  </si>
  <si>
    <t xml:space="preserve">Зняття встановлення захисту двигуна </t>
  </si>
  <si>
    <t>Заміна повітряного фільтру салону</t>
  </si>
  <si>
    <t>Заміна фільтра паливного</t>
  </si>
  <si>
    <t>Заміна гальмівних колодок</t>
  </si>
  <si>
    <t>Профілактика гальмівних колодок (дискових)</t>
  </si>
  <si>
    <t xml:space="preserve">Помісячний розрахунок до ФІНАНСОВОГО ПЛАНУ на 2026 рік                           </t>
  </si>
  <si>
    <t>Послуги з розподілу електричної енергії (приміщення)</t>
  </si>
  <si>
    <t>Послуги з розподілу електричної енергії (камери)</t>
  </si>
  <si>
    <t>Сандюк Олексій Володимирович</t>
  </si>
  <si>
    <t>Факт минулого 2024 року</t>
  </si>
  <si>
    <t>Плановий на 2026 рік (усього)</t>
  </si>
  <si>
    <t xml:space="preserve">Вид економічної діяльності за КВЕД   </t>
  </si>
  <si>
    <t>+ 38 (098) 011-03-39</t>
  </si>
  <si>
    <t>Одеська обл., Одеський р-н, м. Південне, вул. Шевченка Т.Г., буд. 1, прим. 6</t>
  </si>
  <si>
    <t>У тому числі по кварталам</t>
  </si>
  <si>
    <t xml:space="preserve">І  </t>
  </si>
  <si>
    <t xml:space="preserve">ІІ  </t>
  </si>
  <si>
    <t xml:space="preserve">ІІІ  </t>
  </si>
  <si>
    <t xml:space="preserve">ІV </t>
  </si>
  <si>
    <t xml:space="preserve">Фінансовий план поточного 2025 року </t>
  </si>
  <si>
    <r>
      <t xml:space="preserve">Дохід (виручка) від реалізації продукції (товарів, робіт, послуг) </t>
    </r>
    <r>
      <rPr>
        <i/>
        <sz val="12"/>
        <rFont val="Times New Roman"/>
        <family val="1"/>
        <charset val="204"/>
      </rPr>
      <t>За видами послуг (розшифрування)</t>
    </r>
  </si>
  <si>
    <r>
      <t xml:space="preserve">Чистий дохід (виручка) від реалізації   продукції (товарів, робіт, послуг)                      </t>
    </r>
    <r>
      <rPr>
        <b/>
        <i/>
        <sz val="12"/>
        <rFont val="Times New Roman"/>
        <family val="1"/>
        <charset val="204"/>
      </rPr>
      <t>(розшифрування)</t>
    </r>
  </si>
  <si>
    <r>
      <t xml:space="preserve">Дохід з місцевого бюджету за цільовими програмами,  у т.ч.          </t>
    </r>
    <r>
      <rPr>
        <i/>
        <sz val="12"/>
        <rFont val="Times New Roman"/>
        <family val="1"/>
        <charset val="204"/>
      </rPr>
      <t xml:space="preserve"> - загальний фонд</t>
    </r>
    <r>
      <rPr>
        <sz val="12"/>
        <rFont val="Times New Roman"/>
        <family val="1"/>
        <charset val="204"/>
      </rPr>
      <t xml:space="preserve">                                                                    </t>
    </r>
  </si>
  <si>
    <r>
      <t xml:space="preserve">  - спец.фонд                 </t>
    </r>
    <r>
      <rPr>
        <i/>
        <sz val="12"/>
        <rFont val="Times New Roman"/>
        <family val="1"/>
        <charset val="204"/>
      </rPr>
      <t xml:space="preserve"> (розшифрування)</t>
    </r>
  </si>
  <si>
    <r>
      <t>Собівартість реалізованої продукції (товарів, робіт та послуг)</t>
    </r>
    <r>
      <rPr>
        <i/>
        <sz val="12"/>
        <rFont val="Times New Roman"/>
        <family val="1"/>
        <charset val="204"/>
      </rPr>
      <t xml:space="preserve">   (розшифрування)</t>
    </r>
  </si>
  <si>
    <t>У   тому числі витрати операційної діяльності:</t>
  </si>
  <si>
    <r>
      <t xml:space="preserve">Інші доходи </t>
    </r>
    <r>
      <rPr>
        <i/>
        <sz val="12"/>
        <rFont val="Times New Roman"/>
        <family val="1"/>
        <charset val="204"/>
      </rPr>
      <t xml:space="preserve">                        (розшифрування)</t>
    </r>
  </si>
  <si>
    <r>
      <t xml:space="preserve">Матеріальні  витрати </t>
    </r>
    <r>
      <rPr>
        <i/>
        <sz val="12"/>
        <rFont val="Times New Roman"/>
        <family val="1"/>
        <charset val="204"/>
      </rPr>
      <t>(розшифрування у додатку)</t>
    </r>
  </si>
  <si>
    <r>
      <rPr>
        <sz val="12"/>
        <rFont val="Times New Roman"/>
        <family val="1"/>
        <charset val="204"/>
      </rPr>
      <t xml:space="preserve">Амортизація </t>
    </r>
    <r>
      <rPr>
        <i/>
        <sz val="12"/>
        <rFont val="Times New Roman"/>
        <family val="1"/>
        <charset val="204"/>
      </rPr>
      <t>(розшифрування згідно додатку)</t>
    </r>
  </si>
  <si>
    <t>Інші фінансові витрати (розшифрування)</t>
  </si>
  <si>
    <r>
      <t xml:space="preserve"> </t>
    </r>
    <r>
      <rPr>
        <b/>
        <sz val="12"/>
        <rFont val="Times New Roman"/>
        <family val="1"/>
        <charset val="204"/>
      </rPr>
      <t>-</t>
    </r>
    <r>
      <rPr>
        <b/>
        <i/>
        <sz val="12"/>
        <rFont val="Times New Roman"/>
        <family val="1"/>
        <charset val="204"/>
      </rPr>
      <t xml:space="preserve"> загальний фонд:</t>
    </r>
    <r>
      <rPr>
        <b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                                                               </t>
    </r>
  </si>
  <si>
    <t xml:space="preserve"> - спеціальний фонд:  </t>
  </si>
  <si>
    <t>020</t>
  </si>
  <si>
    <t>021</t>
  </si>
  <si>
    <t xml:space="preserve">Фінансовий результат від звичайної діяльності до оподаткування                                   прибуток               </t>
  </si>
  <si>
    <t>026/1</t>
  </si>
  <si>
    <t>026/2</t>
  </si>
  <si>
    <t>Залишок нерозподіленого прибутку (непокритого збитку) на початок звітного періоду</t>
  </si>
  <si>
    <t xml:space="preserve">ІІІ. Обов’язкові платежі підприємства </t>
  </si>
  <si>
    <r>
      <t xml:space="preserve">інші платежі </t>
    </r>
    <r>
      <rPr>
        <i/>
        <sz val="12"/>
        <rFont val="Times New Roman"/>
        <family val="1"/>
        <charset val="204"/>
      </rPr>
      <t>(розшифрувати)</t>
    </r>
  </si>
  <si>
    <t xml:space="preserve">Розрахунок до фінансового плану на 2026 рік                              </t>
  </si>
  <si>
    <t>018/10</t>
  </si>
  <si>
    <t>- орендна плата</t>
  </si>
  <si>
    <t xml:space="preserve">Начальник  ПКП «МУНІЦИПАЛЬНА ВАРТА»                                                           </t>
  </si>
  <si>
    <t xml:space="preserve">ПКП "МУНІЦИПАЛЬНА ВАРТА" НА 2026 РІК </t>
  </si>
  <si>
    <t>Додаток до рішення виконавчого комітету Південнівської міської ради                                         від 20.11.2025 № 2533</t>
  </si>
  <si>
    <t xml:space="preserve">Додаток до рішення виконавчого комітету                                            від              .2026  № </t>
  </si>
  <si>
    <t xml:space="preserve">  </t>
  </si>
  <si>
    <t xml:space="preserve"> ФІНАНСОВИЙ ПЛАН КОМУНАЛЬНОГО ПІДПРИЄМСТВА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</si>
</sst>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₴&quot;_-;\-* #,##0.00\ &quot;₴&quot;_-;_-* &quot;-&quot;??\ &quot;₴&quot;_-;_-@_-"/>
    <numFmt numFmtId="164" formatCode="0.0"/>
    <numFmt numFmtId="165" formatCode="#,##0.0"/>
    <numFmt numFmtId="166" formatCode="_-* #,##0.00&quot; ₴&quot;_-;\-* #,##0.00&quot; ₴&quot;_-;_-* \-??&quot; ₴&quot;_-;_-@_-"/>
    <numFmt numFmtId="167" formatCode="#,##0.000000"/>
    <numFmt numFmtId="168" formatCode="#,##0.000"/>
    <numFmt numFmtId="169" formatCode="0.000"/>
  </numFmts>
  <fonts count="7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u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 Cyr"/>
      <family val="2"/>
    </font>
    <font>
      <sz val="12"/>
      <name val="Arial Cyr"/>
      <charset val="204"/>
    </font>
    <font>
      <i/>
      <sz val="12"/>
      <name val="Times New Roman Cyr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2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b/>
      <i/>
      <sz val="12"/>
      <color indexed="8"/>
      <name val="Times New Roman"/>
      <family val="1"/>
      <charset val="204"/>
    </font>
    <font>
      <sz val="10"/>
      <name val="Arial Cyr"/>
      <family val="2"/>
    </font>
    <font>
      <sz val="11"/>
      <name val="Calibri"/>
      <family val="2"/>
      <charset val="204"/>
    </font>
    <font>
      <b/>
      <sz val="13"/>
      <color indexed="8"/>
      <name val="Calibri"/>
      <family val="2"/>
      <charset val="204"/>
    </font>
    <font>
      <sz val="9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family val="2"/>
      <charset val="1"/>
    </font>
    <font>
      <sz val="11"/>
      <color theme="1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theme="1"/>
      <name val="Calibri"/>
      <family val="2"/>
      <charset val="1"/>
    </font>
    <font>
      <b/>
      <sz val="18"/>
      <color rgb="FF000000"/>
      <name val="Times New Roman"/>
      <family val="1"/>
      <charset val="204"/>
    </font>
    <font>
      <sz val="11"/>
      <color theme="1"/>
      <name val="Calibri"/>
      <family val="2"/>
      <charset val="1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99FF6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rgb="FFF2F2F2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0" fontId="20" fillId="0" borderId="0"/>
    <xf numFmtId="0" fontId="8" fillId="0" borderId="0"/>
    <xf numFmtId="0" fontId="7" fillId="0" borderId="0"/>
    <xf numFmtId="0" fontId="7" fillId="0" borderId="0"/>
    <xf numFmtId="0" fontId="20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56" fillId="0" borderId="0"/>
    <xf numFmtId="0" fontId="54" fillId="0" borderId="0"/>
    <xf numFmtId="0" fontId="3" fillId="0" borderId="0"/>
    <xf numFmtId="0" fontId="3" fillId="0" borderId="0"/>
    <xf numFmtId="0" fontId="2" fillId="0" borderId="0"/>
    <xf numFmtId="0" fontId="68" fillId="0" borderId="0"/>
    <xf numFmtId="0" fontId="41" fillId="0" borderId="0" applyBorder="0" applyProtection="0"/>
    <xf numFmtId="44" fontId="2" fillId="0" borderId="0" applyFont="0" applyFill="0" applyBorder="0" applyAlignment="0" applyProtection="0"/>
    <xf numFmtId="166" fontId="69" fillId="0" borderId="0" applyBorder="0" applyProtection="0"/>
    <xf numFmtId="44" fontId="54" fillId="0" borderId="0" applyFont="0" applyFill="0" applyBorder="0" applyAlignment="0" applyProtection="0"/>
    <xf numFmtId="0" fontId="2" fillId="0" borderId="0"/>
    <xf numFmtId="0" fontId="69" fillId="0" borderId="0"/>
    <xf numFmtId="9" fontId="2" fillId="0" borderId="0" applyFont="0" applyFill="0" applyBorder="0" applyAlignment="0" applyProtection="0"/>
    <xf numFmtId="0" fontId="69" fillId="0" borderId="0"/>
    <xf numFmtId="166" fontId="69" fillId="0" borderId="0" applyBorder="0" applyProtection="0"/>
    <xf numFmtId="9" fontId="69" fillId="0" borderId="0" applyBorder="0" applyProtection="0"/>
    <xf numFmtId="0" fontId="74" fillId="0" borderId="0"/>
    <xf numFmtId="0" fontId="69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9" fillId="0" borderId="0"/>
    <xf numFmtId="0" fontId="76" fillId="0" borderId="0"/>
  </cellStyleXfs>
  <cellXfs count="642">
    <xf numFmtId="0" fontId="0" fillId="0" borderId="0" xfId="0"/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2" fillId="0" borderId="3" xfId="0" applyFont="1" applyBorder="1" applyAlignment="1">
      <alignment horizontal="center" wrapText="1"/>
    </xf>
    <xf numFmtId="0" fontId="21" fillId="0" borderId="0" xfId="0" applyFont="1"/>
    <xf numFmtId="0" fontId="14" fillId="0" borderId="0" xfId="0" applyFont="1"/>
    <xf numFmtId="0" fontId="9" fillId="0" borderId="0" xfId="0" applyFont="1"/>
    <xf numFmtId="0" fontId="14" fillId="0" borderId="0" xfId="0" applyFont="1" applyAlignment="1">
      <alignment horizontal="right"/>
    </xf>
    <xf numFmtId="0" fontId="14" fillId="0" borderId="1" xfId="0" applyFont="1" applyBorder="1" applyAlignment="1">
      <alignment horizontal="left" wrapText="1"/>
    </xf>
    <xf numFmtId="0" fontId="10" fillId="0" borderId="0" xfId="0" applyFont="1"/>
    <xf numFmtId="0" fontId="9" fillId="0" borderId="0" xfId="0" applyFont="1" applyAlignment="1">
      <alignment horizontal="left" wrapText="1"/>
    </xf>
    <xf numFmtId="0" fontId="9" fillId="0" borderId="0" xfId="0" quotePrefix="1" applyFont="1" applyAlignment="1">
      <alignment horizontal="center"/>
    </xf>
    <xf numFmtId="0" fontId="9" fillId="0" borderId="0" xfId="0" quotePrefix="1" applyFont="1" applyAlignment="1">
      <alignment horizontal="center" vertical="center" wrapText="1"/>
    </xf>
    <xf numFmtId="3" fontId="11" fillId="0" borderId="0" xfId="0" applyNumberFormat="1" applyFont="1" applyAlignment="1">
      <alignment vertical="center"/>
    </xf>
    <xf numFmtId="4" fontId="9" fillId="0" borderId="0" xfId="0" applyNumberFormat="1" applyFont="1"/>
    <xf numFmtId="4" fontId="12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2" fillId="0" borderId="2" xfId="0" applyFont="1" applyBorder="1" applyAlignment="1">
      <alignment horizontal="center" wrapText="1"/>
    </xf>
    <xf numFmtId="0" fontId="22" fillId="0" borderId="3" xfId="0" applyFont="1" applyBorder="1" applyAlignment="1">
      <alignment wrapText="1"/>
    </xf>
    <xf numFmtId="0" fontId="14" fillId="0" borderId="1" xfId="0" applyFont="1" applyBorder="1"/>
    <xf numFmtId="0" fontId="9" fillId="0" borderId="0" xfId="0" applyFont="1" applyAlignment="1">
      <alignment horizontal="left"/>
    </xf>
    <xf numFmtId="0" fontId="19" fillId="0" borderId="10" xfId="0" applyFont="1" applyBorder="1" applyAlignment="1">
      <alignment horizontal="left" wrapText="1"/>
    </xf>
    <xf numFmtId="0" fontId="19" fillId="0" borderId="11" xfId="0" quotePrefix="1" applyFont="1" applyBorder="1" applyAlignment="1">
      <alignment horizontal="center" vertical="center"/>
    </xf>
    <xf numFmtId="4" fontId="19" fillId="0" borderId="12" xfId="0" applyNumberFormat="1" applyFont="1" applyBorder="1" applyAlignment="1">
      <alignment horizontal="center" vertical="center"/>
    </xf>
    <xf numFmtId="4" fontId="19" fillId="0" borderId="12" xfId="0" applyNumberFormat="1" applyFont="1" applyBorder="1" applyAlignment="1">
      <alignment horizontal="right" vertical="center"/>
    </xf>
    <xf numFmtId="4" fontId="19" fillId="0" borderId="13" xfId="0" applyNumberFormat="1" applyFont="1" applyBorder="1" applyAlignment="1">
      <alignment horizontal="right" vertical="center"/>
    </xf>
    <xf numFmtId="0" fontId="19" fillId="0" borderId="14" xfId="0" applyFont="1" applyBorder="1" applyAlignment="1">
      <alignment horizontal="left"/>
    </xf>
    <xf numFmtId="0" fontId="19" fillId="0" borderId="15" xfId="0" quotePrefix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4" fontId="19" fillId="0" borderId="8" xfId="0" applyNumberFormat="1" applyFont="1" applyBorder="1" applyAlignment="1">
      <alignment horizontal="right" vertical="center"/>
    </xf>
    <xf numFmtId="0" fontId="19" fillId="0" borderId="14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4" fontId="12" fillId="0" borderId="1" xfId="0" applyNumberFormat="1" applyFont="1" applyBorder="1" applyAlignment="1">
      <alignment horizontal="right" vertical="center"/>
    </xf>
    <xf numFmtId="0" fontId="19" fillId="0" borderId="15" xfId="0" quotePrefix="1" applyFont="1" applyBorder="1" applyAlignment="1">
      <alignment horizontal="center"/>
    </xf>
    <xf numFmtId="4" fontId="12" fillId="0" borderId="8" xfId="0" applyNumberFormat="1" applyFont="1" applyBorder="1" applyAlignment="1">
      <alignment horizontal="right" vertical="center"/>
    </xf>
    <xf numFmtId="0" fontId="12" fillId="0" borderId="15" xfId="0" quotePrefix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4" fontId="19" fillId="0" borderId="1" xfId="0" applyNumberFormat="1" applyFont="1" applyBorder="1" applyAlignment="1">
      <alignment horizontal="right"/>
    </xf>
    <xf numFmtId="4" fontId="12" fillId="0" borderId="5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right" vertical="center"/>
    </xf>
    <xf numFmtId="0" fontId="19" fillId="0" borderId="11" xfId="0" quotePrefix="1" applyFont="1" applyBorder="1" applyAlignment="1">
      <alignment horizontal="center"/>
    </xf>
    <xf numFmtId="4" fontId="12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4" fontId="19" fillId="0" borderId="8" xfId="0" applyNumberFormat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0" fontId="19" fillId="0" borderId="7" xfId="0" quotePrefix="1" applyFont="1" applyBorder="1" applyAlignment="1">
      <alignment horizontal="center"/>
    </xf>
    <xf numFmtId="4" fontId="19" fillId="0" borderId="23" xfId="0" applyNumberFormat="1" applyFont="1" applyBorder="1" applyAlignment="1">
      <alignment horizontal="right" vertical="center" wrapText="1"/>
    </xf>
    <xf numFmtId="4" fontId="19" fillId="0" borderId="24" xfId="0" applyNumberFormat="1" applyFont="1" applyBorder="1" applyAlignment="1">
      <alignment horizontal="right" vertical="center" wrapText="1"/>
    </xf>
    <xf numFmtId="4" fontId="19" fillId="0" borderId="6" xfId="0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horizontal="center" wrapText="1"/>
    </xf>
    <xf numFmtId="165" fontId="19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4" fontId="19" fillId="0" borderId="23" xfId="0" applyNumberFormat="1" applyFont="1" applyBorder="1" applyAlignment="1">
      <alignment horizontal="center" vertical="center" wrapText="1"/>
    </xf>
    <xf numFmtId="4" fontId="19" fillId="0" borderId="25" xfId="0" applyNumberFormat="1" applyFont="1" applyBorder="1" applyAlignment="1">
      <alignment horizontal="right" vertical="center" wrapText="1"/>
    </xf>
    <xf numFmtId="0" fontId="19" fillId="0" borderId="20" xfId="0" applyFont="1" applyBorder="1" applyAlignment="1">
      <alignment horizontal="left" wrapText="1"/>
    </xf>
    <xf numFmtId="0" fontId="24" fillId="0" borderId="0" xfId="0" applyFont="1" applyAlignment="1">
      <alignment horizontal="left"/>
    </xf>
    <xf numFmtId="4" fontId="23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/>
    </xf>
    <xf numFmtId="0" fontId="12" fillId="0" borderId="18" xfId="0" applyFont="1" applyBorder="1" applyAlignment="1">
      <alignment horizontal="left"/>
    </xf>
    <xf numFmtId="0" fontId="19" fillId="0" borderId="16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0" fontId="13" fillId="0" borderId="17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3" fillId="0" borderId="14" xfId="0" applyFont="1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/>
    </xf>
    <xf numFmtId="4" fontId="19" fillId="0" borderId="4" xfId="0" applyNumberFormat="1" applyFont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right" vertical="center"/>
    </xf>
    <xf numFmtId="4" fontId="19" fillId="0" borderId="8" xfId="0" applyNumberFormat="1" applyFont="1" applyBorder="1" applyAlignment="1">
      <alignment horizontal="center" wrapText="1"/>
    </xf>
    <xf numFmtId="4" fontId="12" fillId="0" borderId="22" xfId="0" applyNumberFormat="1" applyFont="1" applyBorder="1" applyAlignment="1">
      <alignment horizontal="right" vertical="center"/>
    </xf>
    <xf numFmtId="0" fontId="19" fillId="0" borderId="40" xfId="0" applyFont="1" applyBorder="1" applyAlignment="1">
      <alignment horizontal="left" wrapText="1"/>
    </xf>
    <xf numFmtId="0" fontId="19" fillId="0" borderId="41" xfId="0" applyFont="1" applyBorder="1" applyAlignment="1">
      <alignment horizontal="left" wrapText="1"/>
    </xf>
    <xf numFmtId="0" fontId="12" fillId="0" borderId="42" xfId="0" applyFont="1" applyBorder="1" applyAlignment="1">
      <alignment horizontal="left" wrapText="1"/>
    </xf>
    <xf numFmtId="0" fontId="12" fillId="0" borderId="40" xfId="0" applyFont="1" applyBorder="1" applyAlignment="1">
      <alignment horizontal="left" vertical="center" wrapText="1"/>
    </xf>
    <xf numFmtId="0" fontId="19" fillId="0" borderId="9" xfId="0" quotePrefix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8" xfId="0" quotePrefix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3" borderId="6" xfId="0" quotePrefix="1" applyFont="1" applyFill="1" applyBorder="1" applyAlignment="1">
      <alignment horizontal="center" vertical="center"/>
    </xf>
    <xf numFmtId="0" fontId="19" fillId="0" borderId="6" xfId="0" quotePrefix="1" applyFont="1" applyBorder="1" applyAlignment="1">
      <alignment horizontal="center" vertical="center"/>
    </xf>
    <xf numFmtId="0" fontId="12" fillId="0" borderId="17" xfId="0" applyFont="1" applyBorder="1" applyAlignment="1">
      <alignment horizontal="left" wrapText="1"/>
    </xf>
    <xf numFmtId="0" fontId="19" fillId="0" borderId="17" xfId="0" quotePrefix="1" applyFont="1" applyBorder="1" applyAlignment="1">
      <alignment horizontal="center"/>
    </xf>
    <xf numFmtId="4" fontId="18" fillId="0" borderId="34" xfId="0" applyNumberFormat="1" applyFont="1" applyBorder="1" applyAlignment="1">
      <alignment horizontal="center" vertical="center"/>
    </xf>
    <xf numFmtId="4" fontId="13" fillId="0" borderId="34" xfId="0" applyNumberFormat="1" applyFont="1" applyBorder="1" applyAlignment="1">
      <alignment horizontal="center" vertical="center"/>
    </xf>
    <xf numFmtId="4" fontId="18" fillId="0" borderId="34" xfId="0" applyNumberFormat="1" applyFont="1" applyBorder="1" applyAlignment="1">
      <alignment horizontal="right" vertical="center"/>
    </xf>
    <xf numFmtId="4" fontId="18" fillId="0" borderId="26" xfId="0" applyNumberFormat="1" applyFont="1" applyBorder="1" applyAlignment="1">
      <alignment horizontal="right" vertical="center"/>
    </xf>
    <xf numFmtId="0" fontId="12" fillId="0" borderId="46" xfId="0" applyFont="1" applyBorder="1" applyAlignment="1">
      <alignment horizontal="left" wrapText="1"/>
    </xf>
    <xf numFmtId="0" fontId="19" fillId="3" borderId="35" xfId="0" quotePrefix="1" applyFont="1" applyFill="1" applyBorder="1" applyAlignment="1">
      <alignment horizontal="center" vertical="center"/>
    </xf>
    <xf numFmtId="4" fontId="12" fillId="0" borderId="43" xfId="0" applyNumberFormat="1" applyFont="1" applyBorder="1" applyAlignment="1">
      <alignment horizontal="center" vertical="center" wrapText="1"/>
    </xf>
    <xf numFmtId="4" fontId="12" fillId="0" borderId="43" xfId="0" applyNumberFormat="1" applyFont="1" applyBorder="1" applyAlignment="1">
      <alignment horizontal="right" vertical="center" wrapText="1"/>
    </xf>
    <xf numFmtId="4" fontId="12" fillId="0" borderId="44" xfId="0" applyNumberFormat="1" applyFont="1" applyBorder="1" applyAlignment="1">
      <alignment horizontal="right" vertical="center" wrapText="1"/>
    </xf>
    <xf numFmtId="0" fontId="19" fillId="0" borderId="42" xfId="0" applyFont="1" applyBorder="1" applyAlignment="1">
      <alignment horizontal="left" wrapText="1"/>
    </xf>
    <xf numFmtId="0" fontId="19" fillId="0" borderId="45" xfId="0" quotePrefix="1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right" vertical="center" wrapText="1"/>
    </xf>
    <xf numFmtId="4" fontId="19" fillId="0" borderId="22" xfId="0" applyNumberFormat="1" applyFont="1" applyBorder="1" applyAlignment="1">
      <alignment horizontal="right" vertical="center" wrapText="1"/>
    </xf>
    <xf numFmtId="0" fontId="12" fillId="0" borderId="20" xfId="0" applyFont="1" applyBorder="1" applyAlignment="1">
      <alignment horizontal="left" wrapText="1"/>
    </xf>
    <xf numFmtId="0" fontId="19" fillId="0" borderId="31" xfId="0" applyFont="1" applyBorder="1" applyAlignment="1">
      <alignment horizontal="center" wrapText="1"/>
    </xf>
    <xf numFmtId="4" fontId="19" fillId="0" borderId="43" xfId="0" applyNumberFormat="1" applyFont="1" applyBorder="1" applyAlignment="1">
      <alignment horizontal="center" vertical="center" wrapText="1"/>
    </xf>
    <xf numFmtId="4" fontId="19" fillId="0" borderId="43" xfId="0" applyNumberFormat="1" applyFont="1" applyBorder="1" applyAlignment="1">
      <alignment horizontal="right" vertical="center" wrapText="1"/>
    </xf>
    <xf numFmtId="4" fontId="19" fillId="0" borderId="35" xfId="0" applyNumberFormat="1" applyFont="1" applyBorder="1" applyAlignment="1">
      <alignment horizontal="right" vertical="center" wrapText="1"/>
    </xf>
    <xf numFmtId="4" fontId="19" fillId="0" borderId="44" xfId="0" applyNumberFormat="1" applyFont="1" applyBorder="1" applyAlignment="1">
      <alignment horizontal="right" vertical="center" wrapText="1"/>
    </xf>
    <xf numFmtId="0" fontId="19" fillId="0" borderId="31" xfId="0" quotePrefix="1" applyFont="1" applyBorder="1" applyAlignment="1">
      <alignment horizontal="center"/>
    </xf>
    <xf numFmtId="165" fontId="19" fillId="0" borderId="43" xfId="0" applyNumberFormat="1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24" fillId="0" borderId="0" xfId="0" applyFont="1"/>
    <xf numFmtId="0" fontId="19" fillId="0" borderId="41" xfId="0" applyFont="1" applyBorder="1" applyAlignment="1">
      <alignment horizontal="left" vertical="center" wrapText="1"/>
    </xf>
    <xf numFmtId="4" fontId="9" fillId="3" borderId="0" xfId="0" applyNumberFormat="1" applyFont="1" applyFill="1"/>
    <xf numFmtId="2" fontId="19" fillId="0" borderId="1" xfId="0" applyNumberFormat="1" applyFont="1" applyBorder="1" applyAlignment="1">
      <alignment horizontal="right" vertical="center"/>
    </xf>
    <xf numFmtId="2" fontId="19" fillId="0" borderId="8" xfId="0" applyNumberFormat="1" applyFont="1" applyBorder="1" applyAlignment="1">
      <alignment horizontal="right" vertical="center"/>
    </xf>
    <xf numFmtId="2" fontId="19" fillId="3" borderId="1" xfId="0" applyNumberFormat="1" applyFont="1" applyFill="1" applyBorder="1" applyAlignment="1">
      <alignment horizontal="right" vertical="center"/>
    </xf>
    <xf numFmtId="164" fontId="14" fillId="0" borderId="0" xfId="0" applyNumberFormat="1" applyFont="1"/>
    <xf numFmtId="164" fontId="14" fillId="0" borderId="0" xfId="0" applyNumberFormat="1" applyFont="1" applyAlignment="1">
      <alignment horizontal="center"/>
    </xf>
    <xf numFmtId="164" fontId="22" fillId="0" borderId="3" xfId="0" applyNumberFormat="1" applyFont="1" applyBorder="1" applyAlignment="1">
      <alignment wrapText="1"/>
    </xf>
    <xf numFmtId="164" fontId="9" fillId="0" borderId="0" xfId="0" applyNumberFormat="1" applyFont="1"/>
    <xf numFmtId="4" fontId="12" fillId="0" borderId="19" xfId="0" applyNumberFormat="1" applyFont="1" applyBorder="1" applyAlignment="1">
      <alignment horizontal="right" vertical="center"/>
    </xf>
    <xf numFmtId="4" fontId="13" fillId="0" borderId="34" xfId="0" applyNumberFormat="1" applyFont="1" applyBorder="1" applyAlignment="1">
      <alignment horizontal="right" vertical="center"/>
    </xf>
    <xf numFmtId="2" fontId="12" fillId="0" borderId="1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 wrapText="1"/>
    </xf>
    <xf numFmtId="164" fontId="12" fillId="0" borderId="43" xfId="0" applyNumberFormat="1" applyFont="1" applyBorder="1" applyAlignment="1">
      <alignment horizontal="right" wrapText="1"/>
    </xf>
    <xf numFmtId="164" fontId="12" fillId="0" borderId="5" xfId="0" applyNumberFormat="1" applyFont="1" applyBorder="1" applyAlignment="1">
      <alignment horizontal="right" wrapText="1"/>
    </xf>
    <xf numFmtId="164" fontId="9" fillId="0" borderId="0" xfId="0" applyNumberFormat="1" applyFont="1" applyAlignment="1">
      <alignment vertical="center"/>
    </xf>
    <xf numFmtId="4" fontId="12" fillId="0" borderId="19" xfId="0" applyNumberFormat="1" applyFont="1" applyBorder="1" applyAlignment="1">
      <alignment horizontal="center" vertical="center"/>
    </xf>
    <xf numFmtId="4" fontId="19" fillId="0" borderId="21" xfId="0" applyNumberFormat="1" applyFont="1" applyBorder="1" applyAlignment="1">
      <alignment horizontal="right" vertical="center"/>
    </xf>
    <xf numFmtId="0" fontId="12" fillId="4" borderId="17" xfId="0" applyFont="1" applyFill="1" applyBorder="1" applyAlignment="1">
      <alignment horizontal="left" wrapText="1"/>
    </xf>
    <xf numFmtId="0" fontId="19" fillId="4" borderId="18" xfId="0" quotePrefix="1" applyFont="1" applyFill="1" applyBorder="1" applyAlignment="1">
      <alignment horizontal="center"/>
    </xf>
    <xf numFmtId="4" fontId="12" fillId="4" borderId="19" xfId="0" applyNumberFormat="1" applyFont="1" applyFill="1" applyBorder="1" applyAlignment="1">
      <alignment horizontal="center" vertical="center"/>
    </xf>
    <xf numFmtId="4" fontId="12" fillId="4" borderId="19" xfId="0" applyNumberFormat="1" applyFont="1" applyFill="1" applyBorder="1" applyAlignment="1">
      <alignment horizontal="right" vertical="center"/>
    </xf>
    <xf numFmtId="4" fontId="9" fillId="4" borderId="0" xfId="0" applyNumberFormat="1" applyFont="1" applyFill="1" applyAlignment="1">
      <alignment horizontal="right"/>
    </xf>
    <xf numFmtId="0" fontId="9" fillId="4" borderId="0" xfId="0" applyFont="1" applyFill="1"/>
    <xf numFmtId="4" fontId="9" fillId="4" borderId="0" xfId="0" applyNumberFormat="1" applyFont="1" applyFill="1"/>
    <xf numFmtId="0" fontId="14" fillId="0" borderId="0" xfId="0" applyFont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4" fontId="12" fillId="0" borderId="47" xfId="0" applyNumberFormat="1" applyFont="1" applyBorder="1" applyAlignment="1">
      <alignment horizontal="right" vertical="center"/>
    </xf>
    <xf numFmtId="4" fontId="19" fillId="3" borderId="8" xfId="0" applyNumberFormat="1" applyFont="1" applyFill="1" applyBorder="1" applyAlignment="1">
      <alignment horizontal="right" vertical="center"/>
    </xf>
    <xf numFmtId="0" fontId="2" fillId="0" borderId="0" xfId="17"/>
    <xf numFmtId="0" fontId="52" fillId="0" borderId="1" xfId="17" applyFont="1" applyBorder="1" applyAlignment="1">
      <alignment horizontal="center" vertical="center" wrapText="1"/>
    </xf>
    <xf numFmtId="0" fontId="52" fillId="0" borderId="1" xfId="17" applyFont="1" applyBorder="1" applyAlignment="1">
      <alignment horizontal="center" vertical="center"/>
    </xf>
    <xf numFmtId="49" fontId="32" fillId="0" borderId="1" xfId="17" applyNumberFormat="1" applyFont="1" applyBorder="1" applyAlignment="1">
      <alignment horizontal="center" vertical="center"/>
    </xf>
    <xf numFmtId="0" fontId="32" fillId="0" borderId="1" xfId="17" applyFont="1" applyBorder="1"/>
    <xf numFmtId="0" fontId="32" fillId="0" borderId="1" xfId="17" applyFont="1" applyBorder="1" applyAlignment="1">
      <alignment horizontal="center" vertical="center"/>
    </xf>
    <xf numFmtId="4" fontId="32" fillId="0" borderId="1" xfId="17" applyNumberFormat="1" applyFont="1" applyBorder="1" applyAlignment="1">
      <alignment horizontal="center" vertical="center"/>
    </xf>
    <xf numFmtId="2" fontId="2" fillId="0" borderId="0" xfId="17" applyNumberFormat="1"/>
    <xf numFmtId="0" fontId="32" fillId="0" borderId="0" xfId="17" applyFont="1" applyAlignment="1">
      <alignment wrapText="1"/>
    </xf>
    <xf numFmtId="164" fontId="32" fillId="0" borderId="1" xfId="17" applyNumberFormat="1" applyFont="1" applyBorder="1" applyAlignment="1">
      <alignment horizontal="center" vertical="center"/>
    </xf>
    <xf numFmtId="0" fontId="32" fillId="0" borderId="1" xfId="17" applyFont="1" applyBorder="1" applyAlignment="1">
      <alignment wrapText="1"/>
    </xf>
    <xf numFmtId="0" fontId="31" fillId="0" borderId="1" xfId="17" applyFont="1" applyBorder="1" applyAlignment="1">
      <alignment horizontal="center" vertical="center"/>
    </xf>
    <xf numFmtId="4" fontId="31" fillId="0" borderId="1" xfId="17" applyNumberFormat="1" applyFont="1" applyBorder="1" applyAlignment="1">
      <alignment horizontal="center" vertical="center"/>
    </xf>
    <xf numFmtId="2" fontId="45" fillId="0" borderId="0" xfId="17" applyNumberFormat="1" applyFont="1"/>
    <xf numFmtId="0" fontId="32" fillId="0" borderId="0" xfId="17" applyFont="1" applyAlignment="1">
      <alignment horizontal="center" vertical="center"/>
    </xf>
    <xf numFmtId="0" fontId="31" fillId="0" borderId="0" xfId="17" applyFont="1"/>
    <xf numFmtId="0" fontId="31" fillId="0" borderId="0" xfId="17" applyFont="1" applyAlignment="1">
      <alignment horizontal="center" vertical="center"/>
    </xf>
    <xf numFmtId="0" fontId="2" fillId="0" borderId="0" xfId="17" applyAlignment="1">
      <alignment horizontal="center" vertical="center"/>
    </xf>
    <xf numFmtId="0" fontId="67" fillId="0" borderId="0" xfId="17" applyFont="1"/>
    <xf numFmtId="0" fontId="45" fillId="0" borderId="0" xfId="17" applyFont="1"/>
    <xf numFmtId="0" fontId="53" fillId="0" borderId="0" xfId="17" applyFont="1"/>
    <xf numFmtId="0" fontId="38" fillId="0" borderId="0" xfId="26" applyFont="1"/>
    <xf numFmtId="0" fontId="37" fillId="0" borderId="0" xfId="26" applyFont="1"/>
    <xf numFmtId="0" fontId="29" fillId="0" borderId="0" xfId="26" applyFont="1"/>
    <xf numFmtId="0" fontId="19" fillId="0" borderId="0" xfId="26" applyFont="1" applyAlignment="1">
      <alignment horizontal="left" vertical="top"/>
    </xf>
    <xf numFmtId="0" fontId="37" fillId="0" borderId="0" xfId="26" applyFont="1" applyAlignment="1">
      <alignment horizontal="center" vertical="center"/>
    </xf>
    <xf numFmtId="0" fontId="29" fillId="0" borderId="0" xfId="26" applyFont="1" applyAlignment="1">
      <alignment horizontal="center"/>
    </xf>
    <xf numFmtId="0" fontId="37" fillId="0" borderId="0" xfId="26" applyFont="1" applyAlignment="1">
      <alignment horizontal="left" vertical="center"/>
    </xf>
    <xf numFmtId="0" fontId="37" fillId="0" borderId="3" xfId="26" applyFont="1" applyBorder="1" applyAlignment="1">
      <alignment horizontal="center"/>
    </xf>
    <xf numFmtId="0" fontId="37" fillId="0" borderId="3" xfId="26" applyFont="1" applyBorder="1"/>
    <xf numFmtId="0" fontId="37" fillId="0" borderId="0" xfId="26" applyFont="1" applyAlignment="1">
      <alignment horizontal="center"/>
    </xf>
    <xf numFmtId="0" fontId="37" fillId="0" borderId="0" xfId="26" applyFont="1" applyAlignment="1">
      <alignment horizontal="right"/>
    </xf>
    <xf numFmtId="0" fontId="36" fillId="0" borderId="0" xfId="18" applyFont="1" applyAlignment="1">
      <alignment vertical="center"/>
    </xf>
    <xf numFmtId="4" fontId="37" fillId="0" borderId="0" xfId="18" applyNumberFormat="1" applyFont="1" applyAlignment="1">
      <alignment vertical="center"/>
    </xf>
    <xf numFmtId="0" fontId="36" fillId="0" borderId="0" xfId="18" applyFont="1" applyAlignment="1">
      <alignment horizontal="center" vertical="center"/>
    </xf>
    <xf numFmtId="0" fontId="12" fillId="0" borderId="1" xfId="19" applyFont="1" applyBorder="1" applyAlignment="1" applyProtection="1">
      <alignment horizontal="center" vertical="center" wrapText="1"/>
    </xf>
    <xf numFmtId="0" fontId="12" fillId="0" borderId="1" xfId="26" applyFont="1" applyBorder="1" applyAlignment="1">
      <alignment horizontal="center" vertical="center" wrapText="1"/>
    </xf>
    <xf numFmtId="0" fontId="12" fillId="0" borderId="1" xfId="18" applyFont="1" applyBorder="1" applyAlignment="1">
      <alignment horizontal="center" vertical="center" wrapText="1"/>
    </xf>
    <xf numFmtId="1" fontId="42" fillId="0" borderId="1" xfId="18" applyNumberFormat="1" applyFont="1" applyBorder="1" applyAlignment="1">
      <alignment horizontal="center" vertical="top"/>
    </xf>
    <xf numFmtId="1" fontId="42" fillId="0" borderId="1" xfId="18" applyNumberFormat="1" applyFont="1" applyBorder="1" applyAlignment="1">
      <alignment horizontal="center" vertical="top" wrapText="1"/>
    </xf>
    <xf numFmtId="1" fontId="43" fillId="0" borderId="1" xfId="18" applyNumberFormat="1" applyFont="1" applyBorder="1" applyAlignment="1">
      <alignment horizontal="center" vertical="top" wrapText="1"/>
    </xf>
    <xf numFmtId="0" fontId="44" fillId="0" borderId="1" xfId="18" applyFont="1" applyBorder="1" applyAlignment="1">
      <alignment horizontal="justify" vertical="center"/>
    </xf>
    <xf numFmtId="0" fontId="37" fillId="0" borderId="1" xfId="18" applyFont="1" applyBorder="1" applyAlignment="1">
      <alignment horizontal="center" vertical="center"/>
    </xf>
    <xf numFmtId="4" fontId="37" fillId="0" borderId="1" xfId="18" applyNumberFormat="1" applyFont="1" applyBorder="1" applyAlignment="1">
      <alignment horizontal="center" vertical="center"/>
    </xf>
    <xf numFmtId="4" fontId="19" fillId="0" borderId="1" xfId="18" applyNumberFormat="1" applyFont="1" applyBorder="1" applyAlignment="1">
      <alignment horizontal="center" vertical="center"/>
    </xf>
    <xf numFmtId="4" fontId="30" fillId="0" borderId="1" xfId="26" applyNumberFormat="1" applyFont="1" applyBorder="1" applyAlignment="1">
      <alignment vertical="center"/>
    </xf>
    <xf numFmtId="0" fontId="44" fillId="0" borderId="1" xfId="18" applyFont="1" applyBorder="1" applyAlignment="1">
      <alignment vertical="center" wrapText="1"/>
    </xf>
    <xf numFmtId="164" fontId="37" fillId="0" borderId="1" xfId="26" applyNumberFormat="1" applyFont="1" applyBorder="1" applyAlignment="1">
      <alignment horizontal="center" vertical="center"/>
    </xf>
    <xf numFmtId="2" fontId="37" fillId="0" borderId="1" xfId="26" applyNumberFormat="1" applyFont="1" applyBorder="1" applyAlignment="1">
      <alignment horizontal="center" vertical="center"/>
    </xf>
    <xf numFmtId="164" fontId="37" fillId="0" borderId="1" xfId="18" applyNumberFormat="1" applyFont="1" applyBorder="1" applyAlignment="1">
      <alignment horizontal="center" vertical="center"/>
    </xf>
    <xf numFmtId="9" fontId="19" fillId="0" borderId="1" xfId="18" applyNumberFormat="1" applyFont="1" applyBorder="1" applyAlignment="1">
      <alignment horizontal="center" vertical="center"/>
    </xf>
    <xf numFmtId="2" fontId="19" fillId="0" borderId="1" xfId="18" applyNumberFormat="1" applyFont="1" applyBorder="1" applyAlignment="1">
      <alignment horizontal="center" vertical="center"/>
    </xf>
    <xf numFmtId="9" fontId="37" fillId="0" borderId="1" xfId="28" applyFont="1" applyBorder="1" applyAlignment="1" applyProtection="1">
      <alignment horizontal="center" vertical="center"/>
    </xf>
    <xf numFmtId="0" fontId="44" fillId="7" borderId="1" xfId="18" applyFont="1" applyFill="1" applyBorder="1" applyAlignment="1">
      <alignment vertical="center" wrapText="1"/>
    </xf>
    <xf numFmtId="0" fontId="30" fillId="7" borderId="1" xfId="18" applyFont="1" applyFill="1" applyBorder="1" applyAlignment="1">
      <alignment horizontal="center"/>
    </xf>
    <xf numFmtId="0" fontId="30" fillId="7" borderId="1" xfId="18" applyFont="1" applyFill="1" applyBorder="1" applyAlignment="1">
      <alignment horizontal="center" vertical="center"/>
    </xf>
    <xf numFmtId="164" fontId="30" fillId="7" borderId="1" xfId="26" applyNumberFormat="1" applyFont="1" applyFill="1" applyBorder="1" applyAlignment="1">
      <alignment horizontal="center" vertical="center"/>
    </xf>
    <xf numFmtId="2" fontId="30" fillId="7" borderId="1" xfId="26" applyNumberFormat="1" applyFont="1" applyFill="1" applyBorder="1" applyAlignment="1">
      <alignment horizontal="center" vertical="center"/>
    </xf>
    <xf numFmtId="164" fontId="30" fillId="7" borderId="1" xfId="18" applyNumberFormat="1" applyFont="1" applyFill="1" applyBorder="1" applyAlignment="1">
      <alignment horizontal="center" vertical="center"/>
    </xf>
    <xf numFmtId="4" fontId="30" fillId="7" borderId="1" xfId="18" applyNumberFormat="1" applyFont="1" applyFill="1" applyBorder="1" applyAlignment="1">
      <alignment horizontal="center" vertical="center"/>
    </xf>
    <xf numFmtId="9" fontId="12" fillId="7" borderId="1" xfId="18" applyNumberFormat="1" applyFont="1" applyFill="1" applyBorder="1" applyAlignment="1">
      <alignment horizontal="center" vertical="center"/>
    </xf>
    <xf numFmtId="4" fontId="12" fillId="7" borderId="1" xfId="18" applyNumberFormat="1" applyFont="1" applyFill="1" applyBorder="1" applyAlignment="1">
      <alignment horizontal="center" vertical="center"/>
    </xf>
    <xf numFmtId="9" fontId="30" fillId="7" borderId="1" xfId="28" applyFont="1" applyFill="1" applyBorder="1" applyAlignment="1" applyProtection="1">
      <alignment horizontal="center" vertical="center"/>
    </xf>
    <xf numFmtId="4" fontId="30" fillId="7" borderId="1" xfId="26" applyNumberFormat="1" applyFont="1" applyFill="1" applyBorder="1" applyAlignment="1">
      <alignment vertical="center"/>
    </xf>
    <xf numFmtId="0" fontId="44" fillId="7" borderId="1" xfId="18" applyFont="1" applyFill="1" applyBorder="1" applyAlignment="1">
      <alignment horizontal="justify" vertical="center" wrapText="1"/>
    </xf>
    <xf numFmtId="0" fontId="37" fillId="7" borderId="1" xfId="18" applyFont="1" applyFill="1" applyBorder="1" applyAlignment="1">
      <alignment horizontal="center" vertical="center"/>
    </xf>
    <xf numFmtId="164" fontId="37" fillId="7" borderId="1" xfId="26" applyNumberFormat="1" applyFont="1" applyFill="1" applyBorder="1" applyAlignment="1">
      <alignment horizontal="center" vertical="center"/>
    </xf>
    <xf numFmtId="2" fontId="37" fillId="7" borderId="1" xfId="26" applyNumberFormat="1" applyFont="1" applyFill="1" applyBorder="1" applyAlignment="1">
      <alignment horizontal="center" vertical="center"/>
    </xf>
    <xf numFmtId="164" fontId="37" fillId="7" borderId="1" xfId="18" applyNumberFormat="1" applyFont="1" applyFill="1" applyBorder="1" applyAlignment="1">
      <alignment horizontal="center" vertical="center"/>
    </xf>
    <xf numFmtId="4" fontId="37" fillId="7" borderId="1" xfId="18" applyNumberFormat="1" applyFont="1" applyFill="1" applyBorder="1" applyAlignment="1">
      <alignment horizontal="center" vertical="center"/>
    </xf>
    <xf numFmtId="49" fontId="37" fillId="7" borderId="1" xfId="18" applyNumberFormat="1" applyFont="1" applyFill="1" applyBorder="1" applyAlignment="1">
      <alignment horizontal="center" vertical="center"/>
    </xf>
    <xf numFmtId="4" fontId="19" fillId="7" borderId="1" xfId="18" applyNumberFormat="1" applyFont="1" applyFill="1" applyBorder="1" applyAlignment="1">
      <alignment horizontal="center" vertical="center"/>
    </xf>
    <xf numFmtId="9" fontId="37" fillId="7" borderId="1" xfId="18" applyNumberFormat="1" applyFont="1" applyFill="1" applyBorder="1" applyAlignment="1">
      <alignment horizontal="center" vertical="center"/>
    </xf>
    <xf numFmtId="9" fontId="37" fillId="7" borderId="1" xfId="28" applyFont="1" applyFill="1" applyBorder="1" applyAlignment="1" applyProtection="1">
      <alignment horizontal="center" vertical="center"/>
    </xf>
    <xf numFmtId="0" fontId="44" fillId="7" borderId="4" xfId="18" applyFont="1" applyFill="1" applyBorder="1" applyAlignment="1">
      <alignment vertical="center" wrapText="1"/>
    </xf>
    <xf numFmtId="0" fontId="42" fillId="7" borderId="1" xfId="18" applyFont="1" applyFill="1" applyBorder="1" applyAlignment="1">
      <alignment vertical="center" wrapText="1"/>
    </xf>
    <xf numFmtId="3" fontId="30" fillId="7" borderId="1" xfId="18" applyNumberFormat="1" applyFont="1" applyFill="1" applyBorder="1" applyAlignment="1">
      <alignment horizontal="center" vertical="center"/>
    </xf>
    <xf numFmtId="0" fontId="30" fillId="7" borderId="0" xfId="18" applyFont="1" applyFill="1" applyAlignment="1">
      <alignment horizontal="left" vertical="center" wrapText="1"/>
    </xf>
    <xf numFmtId="0" fontId="30" fillId="7" borderId="0" xfId="18" applyFont="1" applyFill="1" applyAlignment="1">
      <alignment horizontal="center" vertical="center"/>
    </xf>
    <xf numFmtId="0" fontId="37" fillId="7" borderId="0" xfId="18" applyFont="1" applyFill="1" applyAlignment="1">
      <alignment horizontal="center" vertical="center"/>
    </xf>
    <xf numFmtId="4" fontId="30" fillId="7" borderId="0" xfId="18" applyNumberFormat="1" applyFont="1" applyFill="1" applyAlignment="1">
      <alignment horizontal="center" vertical="center"/>
    </xf>
    <xf numFmtId="3" fontId="30" fillId="7" borderId="0" xfId="18" applyNumberFormat="1" applyFont="1" applyFill="1" applyAlignment="1">
      <alignment horizontal="center" vertical="center"/>
    </xf>
    <xf numFmtId="0" fontId="30" fillId="7" borderId="0" xfId="18" applyFont="1" applyFill="1" applyAlignment="1">
      <alignment horizontal="left" vertical="center"/>
    </xf>
    <xf numFmtId="3" fontId="23" fillId="0" borderId="0" xfId="18" applyNumberFormat="1" applyFont="1" applyAlignment="1">
      <alignment vertical="center"/>
    </xf>
    <xf numFmtId="0" fontId="23" fillId="0" borderId="0" xfId="26" applyFont="1" applyAlignment="1">
      <alignment vertical="center"/>
    </xf>
    <xf numFmtId="0" fontId="23" fillId="0" borderId="0" xfId="18" applyFont="1" applyAlignment="1">
      <alignment vertical="center"/>
    </xf>
    <xf numFmtId="3" fontId="23" fillId="0" borderId="0" xfId="18" applyNumberFormat="1" applyFont="1" applyAlignment="1">
      <alignment horizontal="left" vertical="center"/>
    </xf>
    <xf numFmtId="2" fontId="23" fillId="0" borderId="0" xfId="18" applyNumberFormat="1" applyFont="1" applyAlignment="1">
      <alignment horizontal="right" vertical="center"/>
    </xf>
    <xf numFmtId="0" fontId="36" fillId="0" borderId="0" xfId="26" applyFont="1" applyAlignment="1">
      <alignment vertical="center"/>
    </xf>
    <xf numFmtId="164" fontId="30" fillId="0" borderId="0" xfId="26" applyNumberFormat="1" applyFont="1" applyAlignment="1">
      <alignment vertical="center"/>
    </xf>
    <xf numFmtId="3" fontId="23" fillId="0" borderId="0" xfId="26" applyNumberFormat="1" applyFont="1" applyAlignment="1">
      <alignment vertical="center"/>
    </xf>
    <xf numFmtId="3" fontId="30" fillId="0" borderId="0" xfId="26" applyNumberFormat="1" applyFont="1" applyAlignment="1">
      <alignment vertical="center" wrapText="1"/>
    </xf>
    <xf numFmtId="0" fontId="12" fillId="0" borderId="0" xfId="18" applyFont="1" applyAlignment="1">
      <alignment horizontal="left" vertical="center" wrapText="1"/>
    </xf>
    <xf numFmtId="3" fontId="23" fillId="0" borderId="0" xfId="26" applyNumberFormat="1" applyFont="1" applyAlignment="1">
      <alignment horizontal="right" vertical="center"/>
    </xf>
    <xf numFmtId="0" fontId="12" fillId="0" borderId="0" xfId="18" applyFont="1" applyAlignment="1">
      <alignment horizontal="left" vertical="center"/>
    </xf>
    <xf numFmtId="0" fontId="12" fillId="0" borderId="0" xfId="18" applyFont="1" applyAlignment="1">
      <alignment vertical="center" wrapText="1"/>
    </xf>
    <xf numFmtId="4" fontId="30" fillId="0" borderId="0" xfId="18" applyNumberFormat="1" applyFont="1" applyAlignment="1">
      <alignment vertical="center"/>
    </xf>
    <xf numFmtId="4" fontId="30" fillId="0" borderId="0" xfId="26" applyNumberFormat="1" applyFont="1" applyAlignment="1">
      <alignment vertical="center"/>
    </xf>
    <xf numFmtId="3" fontId="23" fillId="0" borderId="0" xfId="18" applyNumberFormat="1" applyFont="1" applyAlignment="1">
      <alignment horizontal="right" vertical="center"/>
    </xf>
    <xf numFmtId="164" fontId="30" fillId="0" borderId="0" xfId="26" applyNumberFormat="1" applyFont="1" applyAlignment="1">
      <alignment horizontal="left" vertical="center"/>
    </xf>
    <xf numFmtId="4" fontId="12" fillId="0" borderId="0" xfId="18" applyNumberFormat="1" applyFont="1" applyAlignment="1">
      <alignment vertical="center"/>
    </xf>
    <xf numFmtId="3" fontId="23" fillId="0" borderId="0" xfId="18" applyNumberFormat="1" applyFont="1" applyAlignment="1">
      <alignment horizontal="center" vertical="center"/>
    </xf>
    <xf numFmtId="9" fontId="23" fillId="0" borderId="0" xfId="26" applyNumberFormat="1" applyFont="1" applyAlignment="1">
      <alignment vertical="center"/>
    </xf>
    <xf numFmtId="4" fontId="23" fillId="0" borderId="0" xfId="18" applyNumberFormat="1" applyFont="1" applyAlignment="1">
      <alignment vertical="center"/>
    </xf>
    <xf numFmtId="0" fontId="23" fillId="0" borderId="0" xfId="18" applyFont="1" applyAlignment="1">
      <alignment horizontal="left" vertical="center"/>
    </xf>
    <xf numFmtId="4" fontId="23" fillId="0" borderId="0" xfId="18" applyNumberFormat="1" applyFont="1" applyAlignment="1">
      <alignment horizontal="left" vertical="center"/>
    </xf>
    <xf numFmtId="0" fontId="31" fillId="10" borderId="1" xfId="29" applyFont="1" applyFill="1" applyBorder="1" applyAlignment="1">
      <alignment vertical="center" wrapText="1"/>
    </xf>
    <xf numFmtId="0" fontId="31" fillId="0" borderId="1" xfId="30" applyFont="1" applyBorder="1" applyAlignment="1">
      <alignment horizontal="center" vertical="center" wrapText="1"/>
    </xf>
    <xf numFmtId="0" fontId="31" fillId="0" borderId="1" xfId="29" applyFont="1" applyBorder="1" applyAlignment="1">
      <alignment horizontal="center" vertical="center"/>
    </xf>
    <xf numFmtId="4" fontId="67" fillId="0" borderId="1" xfId="30" applyNumberFormat="1" applyFont="1" applyBorder="1" applyAlignment="1">
      <alignment horizontal="center" vertical="center"/>
    </xf>
    <xf numFmtId="4" fontId="31" fillId="0" borderId="8" xfId="30" applyNumberFormat="1" applyFont="1" applyBorder="1" applyAlignment="1">
      <alignment horizontal="center" vertical="center"/>
    </xf>
    <xf numFmtId="0" fontId="31" fillId="0" borderId="28" xfId="29" applyFont="1" applyBorder="1" applyAlignment="1">
      <alignment horizontal="center" vertical="center"/>
    </xf>
    <xf numFmtId="0" fontId="31" fillId="0" borderId="43" xfId="29" applyFont="1" applyBorder="1" applyAlignment="1">
      <alignment horizontal="center" vertical="center"/>
    </xf>
    <xf numFmtId="4" fontId="12" fillId="3" borderId="1" xfId="30" applyNumberFormat="1" applyFont="1" applyFill="1" applyBorder="1" applyAlignment="1">
      <alignment horizontal="center" vertical="center"/>
    </xf>
    <xf numFmtId="4" fontId="12" fillId="3" borderId="8" xfId="30" applyNumberFormat="1" applyFont="1" applyFill="1" applyBorder="1" applyAlignment="1">
      <alignment horizontal="center" vertical="center"/>
    </xf>
    <xf numFmtId="4" fontId="31" fillId="3" borderId="1" xfId="33" applyNumberFormat="1" applyFont="1" applyFill="1" applyBorder="1" applyAlignment="1">
      <alignment horizontal="left" wrapText="1"/>
    </xf>
    <xf numFmtId="49" fontId="12" fillId="3" borderId="1" xfId="30" applyNumberFormat="1" applyFont="1" applyFill="1" applyBorder="1" applyAlignment="1">
      <alignment horizontal="left" vertical="center" wrapText="1"/>
    </xf>
    <xf numFmtId="0" fontId="31" fillId="0" borderId="1" xfId="29" applyFont="1" applyBorder="1" applyAlignment="1">
      <alignment horizontal="center" vertical="center" wrapText="1"/>
    </xf>
    <xf numFmtId="4" fontId="33" fillId="0" borderId="1" xfId="30" applyNumberFormat="1" applyFont="1" applyBorder="1" applyAlignment="1">
      <alignment horizontal="center" vertical="center"/>
    </xf>
    <xf numFmtId="4" fontId="67" fillId="0" borderId="5" xfId="30" applyNumberFormat="1" applyFont="1" applyBorder="1" applyAlignment="1">
      <alignment horizontal="center" vertical="center"/>
    </xf>
    <xf numFmtId="0" fontId="31" fillId="3" borderId="1" xfId="29" applyFont="1" applyFill="1" applyBorder="1" applyAlignment="1">
      <alignment vertical="center" wrapText="1"/>
    </xf>
    <xf numFmtId="4" fontId="31" fillId="0" borderId="43" xfId="29" applyNumberFormat="1" applyFont="1" applyBorder="1" applyAlignment="1">
      <alignment horizontal="center" vertical="center"/>
    </xf>
    <xf numFmtId="4" fontId="31" fillId="0" borderId="1" xfId="29" applyNumberFormat="1" applyFont="1" applyBorder="1" applyAlignment="1">
      <alignment horizontal="center" vertical="center"/>
    </xf>
    <xf numFmtId="0" fontId="31" fillId="0" borderId="28" xfId="29" applyFont="1" applyBorder="1" applyAlignment="1">
      <alignment horizontal="center" vertical="center" wrapText="1"/>
    </xf>
    <xf numFmtId="4" fontId="31" fillId="0" borderId="28" xfId="29" applyNumberFormat="1" applyFont="1" applyBorder="1" applyAlignment="1">
      <alignment horizontal="center" vertical="center"/>
    </xf>
    <xf numFmtId="49" fontId="12" fillId="10" borderId="43" xfId="30" applyNumberFormat="1" applyFont="1" applyFill="1" applyBorder="1" applyAlignment="1">
      <alignment horizontal="left" vertical="center" wrapText="1"/>
    </xf>
    <xf numFmtId="0" fontId="32" fillId="0" borderId="43" xfId="30" applyFont="1" applyBorder="1" applyAlignment="1">
      <alignment horizontal="center" vertical="center" wrapText="1"/>
    </xf>
    <xf numFmtId="3" fontId="31" fillId="0" borderId="43" xfId="29" applyNumberFormat="1" applyFont="1" applyBorder="1" applyAlignment="1">
      <alignment horizontal="center" vertical="center"/>
    </xf>
    <xf numFmtId="4" fontId="67" fillId="0" borderId="43" xfId="30" applyNumberFormat="1" applyFont="1" applyBorder="1" applyAlignment="1">
      <alignment horizontal="center" vertical="center"/>
    </xf>
    <xf numFmtId="4" fontId="31" fillId="0" borderId="44" xfId="30" applyNumberFormat="1" applyFont="1" applyBorder="1" applyAlignment="1">
      <alignment horizontal="center" vertical="center"/>
    </xf>
    <xf numFmtId="49" fontId="12" fillId="10" borderId="1" xfId="30" applyNumberFormat="1" applyFont="1" applyFill="1" applyBorder="1" applyAlignment="1">
      <alignment horizontal="left" vertical="center" wrapText="1"/>
    </xf>
    <xf numFmtId="0" fontId="32" fillId="0" borderId="1" xfId="30" applyFont="1" applyBorder="1" applyAlignment="1">
      <alignment horizontal="center" vertical="center" wrapText="1"/>
    </xf>
    <xf numFmtId="3" fontId="31" fillId="0" borderId="1" xfId="29" applyNumberFormat="1" applyFont="1" applyBorder="1" applyAlignment="1">
      <alignment horizontal="center" vertical="center"/>
    </xf>
    <xf numFmtId="167" fontId="67" fillId="0" borderId="43" xfId="30" applyNumberFormat="1" applyFont="1" applyBorder="1" applyAlignment="1">
      <alignment horizontal="center" vertical="center"/>
    </xf>
    <xf numFmtId="0" fontId="49" fillId="0" borderId="0" xfId="17" applyFont="1" applyAlignment="1">
      <alignment horizontal="left"/>
    </xf>
    <xf numFmtId="0" fontId="40" fillId="0" borderId="0" xfId="18" applyFont="1" applyAlignment="1">
      <alignment horizontal="center" vertical="center"/>
    </xf>
    <xf numFmtId="9" fontId="37" fillId="0" borderId="1" xfId="18" applyNumberFormat="1" applyFont="1" applyBorder="1" applyAlignment="1">
      <alignment horizontal="center" vertical="center"/>
    </xf>
    <xf numFmtId="9" fontId="30" fillId="7" borderId="1" xfId="18" applyNumberFormat="1" applyFont="1" applyFill="1" applyBorder="1" applyAlignment="1">
      <alignment horizontal="center" vertical="center"/>
    </xf>
    <xf numFmtId="0" fontId="1" fillId="0" borderId="0" xfId="34"/>
    <xf numFmtId="0" fontId="1" fillId="0" borderId="0" xfId="34" applyAlignment="1">
      <alignment horizontal="center" vertical="center"/>
    </xf>
    <xf numFmtId="0" fontId="25" fillId="0" borderId="0" xfId="34" applyFont="1"/>
    <xf numFmtId="0" fontId="26" fillId="0" borderId="0" xfId="34" applyFont="1"/>
    <xf numFmtId="0" fontId="70" fillId="0" borderId="3" xfId="34" applyFont="1" applyBorder="1"/>
    <xf numFmtId="0" fontId="26" fillId="0" borderId="3" xfId="34" applyFont="1" applyBorder="1"/>
    <xf numFmtId="2" fontId="26" fillId="0" borderId="3" xfId="34" applyNumberFormat="1" applyFont="1" applyBorder="1"/>
    <xf numFmtId="0" fontId="71" fillId="0" borderId="0" xfId="34" applyFont="1"/>
    <xf numFmtId="0" fontId="1" fillId="0" borderId="3" xfId="34" applyBorder="1"/>
    <xf numFmtId="0" fontId="71" fillId="0" borderId="3" xfId="34" applyFont="1" applyBorder="1"/>
    <xf numFmtId="14" fontId="72" fillId="0" borderId="3" xfId="34" applyNumberFormat="1" applyFont="1" applyBorder="1"/>
    <xf numFmtId="0" fontId="73" fillId="0" borderId="3" xfId="34" applyFont="1" applyBorder="1"/>
    <xf numFmtId="0" fontId="1" fillId="0" borderId="0" xfId="34" applyAlignment="1">
      <alignment horizontal="center"/>
    </xf>
    <xf numFmtId="0" fontId="32" fillId="0" borderId="0" xfId="34" applyFont="1" applyAlignment="1">
      <alignment horizontal="right"/>
    </xf>
    <xf numFmtId="0" fontId="29" fillId="0" borderId="0" xfId="34" applyFont="1" applyAlignment="1">
      <alignment vertical="center"/>
    </xf>
    <xf numFmtId="0" fontId="27" fillId="0" borderId="0" xfId="34" applyFont="1"/>
    <xf numFmtId="0" fontId="27" fillId="0" borderId="0" xfId="34" applyFont="1" applyAlignment="1">
      <alignment horizontal="center" vertical="center"/>
    </xf>
    <xf numFmtId="0" fontId="30" fillId="0" borderId="0" xfId="34" applyFont="1" applyAlignment="1">
      <alignment horizontal="center" vertical="center"/>
    </xf>
    <xf numFmtId="0" fontId="28" fillId="0" borderId="0" xfId="34" applyFont="1" applyAlignment="1">
      <alignment horizontal="center" vertical="center" wrapText="1"/>
    </xf>
    <xf numFmtId="0" fontId="32" fillId="0" borderId="0" xfId="34" applyFont="1"/>
    <xf numFmtId="0" fontId="32" fillId="0" borderId="0" xfId="34" applyFont="1" applyAlignment="1">
      <alignment horizontal="center" vertical="center"/>
    </xf>
    <xf numFmtId="0" fontId="12" fillId="5" borderId="15" xfId="34" applyFont="1" applyFill="1" applyBorder="1" applyAlignment="1">
      <alignment horizontal="center" vertical="center" wrapText="1"/>
    </xf>
    <xf numFmtId="0" fontId="12" fillId="5" borderId="1" xfId="34" applyFont="1" applyFill="1" applyBorder="1" applyAlignment="1">
      <alignment horizontal="center" vertical="center" wrapText="1"/>
    </xf>
    <xf numFmtId="0" fontId="12" fillId="5" borderId="1" xfId="34" applyFont="1" applyFill="1" applyBorder="1" applyAlignment="1">
      <alignment horizontal="left" vertical="center" wrapText="1"/>
    </xf>
    <xf numFmtId="4" fontId="30" fillId="5" borderId="8" xfId="34" applyNumberFormat="1" applyFont="1" applyFill="1" applyBorder="1" applyAlignment="1">
      <alignment horizontal="center" vertical="center" wrapText="1"/>
    </xf>
    <xf numFmtId="4" fontId="32" fillId="0" borderId="0" xfId="34" applyNumberFormat="1" applyFont="1" applyAlignment="1">
      <alignment horizontal="center" vertical="center"/>
    </xf>
    <xf numFmtId="0" fontId="33" fillId="5" borderId="15" xfId="34" applyFont="1" applyFill="1" applyBorder="1" applyAlignment="1">
      <alignment wrapText="1"/>
    </xf>
    <xf numFmtId="0" fontId="33" fillId="5" borderId="1" xfId="34" applyFont="1" applyFill="1" applyBorder="1"/>
    <xf numFmtId="0" fontId="34" fillId="5" borderId="1" xfId="34" applyFont="1" applyFill="1" applyBorder="1" applyAlignment="1">
      <alignment horizontal="center" vertical="center" wrapText="1"/>
    </xf>
    <xf numFmtId="0" fontId="34" fillId="5" borderId="1" xfId="34" applyFont="1" applyFill="1" applyBorder="1" applyAlignment="1">
      <alignment horizontal="center" vertical="center"/>
    </xf>
    <xf numFmtId="4" fontId="33" fillId="5" borderId="8" xfId="34" applyNumberFormat="1" applyFont="1" applyFill="1" applyBorder="1" applyAlignment="1">
      <alignment horizontal="center" vertical="center"/>
    </xf>
    <xf numFmtId="0" fontId="32" fillId="0" borderId="15" xfId="34" applyFont="1" applyBorder="1"/>
    <xf numFmtId="0" fontId="19" fillId="0" borderId="1" xfId="34" applyFont="1" applyBorder="1" applyAlignment="1">
      <alignment horizontal="center" vertical="center"/>
    </xf>
    <xf numFmtId="0" fontId="33" fillId="0" borderId="1" xfId="34" applyFont="1" applyBorder="1"/>
    <xf numFmtId="0" fontId="33" fillId="0" borderId="1" xfId="34" applyFont="1" applyBorder="1" applyAlignment="1">
      <alignment horizontal="center" vertical="center" wrapText="1"/>
    </xf>
    <xf numFmtId="0" fontId="33" fillId="0" borderId="1" xfId="34" applyFont="1" applyBorder="1" applyAlignment="1">
      <alignment horizontal="center" vertical="center"/>
    </xf>
    <xf numFmtId="4" fontId="33" fillId="0" borderId="1" xfId="34" applyNumberFormat="1" applyFont="1" applyBorder="1" applyAlignment="1">
      <alignment horizontal="center" vertical="center"/>
    </xf>
    <xf numFmtId="4" fontId="33" fillId="0" borderId="8" xfId="34" applyNumberFormat="1" applyFont="1" applyBorder="1" applyAlignment="1">
      <alignment horizontal="center" vertical="center"/>
    </xf>
    <xf numFmtId="0" fontId="32" fillId="8" borderId="0" xfId="34" applyFont="1" applyFill="1" applyAlignment="1">
      <alignment horizontal="center" vertical="center"/>
    </xf>
    <xf numFmtId="0" fontId="33" fillId="0" borderId="1" xfId="34" applyFont="1" applyBorder="1" applyAlignment="1">
      <alignment wrapText="1"/>
    </xf>
    <xf numFmtId="0" fontId="31" fillId="5" borderId="15" xfId="34" applyFont="1" applyFill="1" applyBorder="1"/>
    <xf numFmtId="0" fontId="12" fillId="5" borderId="1" xfId="34" applyFont="1" applyFill="1" applyBorder="1" applyAlignment="1">
      <alignment horizontal="center" vertical="center"/>
    </xf>
    <xf numFmtId="0" fontId="33" fillId="5" borderId="1" xfId="34" applyFont="1" applyFill="1" applyBorder="1" applyAlignment="1">
      <alignment wrapText="1"/>
    </xf>
    <xf numFmtId="0" fontId="31" fillId="5" borderId="1" xfId="34" applyFont="1" applyFill="1" applyBorder="1" applyAlignment="1">
      <alignment horizontal="center" vertical="center" wrapText="1"/>
    </xf>
    <xf numFmtId="0" fontId="31" fillId="5" borderId="1" xfId="34" applyFont="1" applyFill="1" applyBorder="1" applyAlignment="1">
      <alignment horizontal="center" vertical="center"/>
    </xf>
    <xf numFmtId="4" fontId="33" fillId="5" borderId="1" xfId="34" applyNumberFormat="1" applyFont="1" applyFill="1" applyBorder="1" applyAlignment="1">
      <alignment horizontal="center" vertical="center"/>
    </xf>
    <xf numFmtId="4" fontId="31" fillId="5" borderId="8" xfId="34" applyNumberFormat="1" applyFont="1" applyFill="1" applyBorder="1" applyAlignment="1">
      <alignment horizontal="center" vertical="center"/>
    </xf>
    <xf numFmtId="0" fontId="31" fillId="0" borderId="1" xfId="34" applyFont="1" applyBorder="1" applyAlignment="1">
      <alignment horizontal="center" vertical="center"/>
    </xf>
    <xf numFmtId="4" fontId="31" fillId="0" borderId="8" xfId="34" applyNumberFormat="1" applyFont="1" applyBorder="1" applyAlignment="1">
      <alignment horizontal="center" vertical="center"/>
    </xf>
    <xf numFmtId="0" fontId="33" fillId="5" borderId="15" xfId="34" applyFont="1" applyFill="1" applyBorder="1"/>
    <xf numFmtId="0" fontId="33" fillId="5" borderId="1" xfId="34" applyFont="1" applyFill="1" applyBorder="1" applyAlignment="1">
      <alignment horizontal="center" vertical="center" wrapText="1"/>
    </xf>
    <xf numFmtId="0" fontId="33" fillId="5" borderId="1" xfId="34" applyFont="1" applyFill="1" applyBorder="1" applyAlignment="1">
      <alignment horizontal="center" vertical="center"/>
    </xf>
    <xf numFmtId="0" fontId="33" fillId="0" borderId="0" xfId="34" applyFont="1" applyAlignment="1">
      <alignment horizontal="center" vertical="center"/>
    </xf>
    <xf numFmtId="49" fontId="33" fillId="0" borderId="1" xfId="34" applyNumberFormat="1" applyFont="1" applyBorder="1" applyAlignment="1">
      <alignment horizontal="left" wrapText="1"/>
    </xf>
    <xf numFmtId="0" fontId="31" fillId="0" borderId="1" xfId="34" applyFont="1" applyBorder="1" applyAlignment="1">
      <alignment horizontal="center" vertical="center" wrapText="1"/>
    </xf>
    <xf numFmtId="0" fontId="33" fillId="5" borderId="15" xfId="34" applyFont="1" applyFill="1" applyBorder="1" applyAlignment="1">
      <alignment vertical="center"/>
    </xf>
    <xf numFmtId="0" fontId="33" fillId="5" borderId="1" xfId="34" applyFont="1" applyFill="1" applyBorder="1" applyAlignment="1">
      <alignment vertical="center" wrapText="1"/>
    </xf>
    <xf numFmtId="2" fontId="32" fillId="0" borderId="0" xfId="34" applyNumberFormat="1" applyFont="1" applyAlignment="1">
      <alignment horizontal="center" vertical="center"/>
    </xf>
    <xf numFmtId="49" fontId="55" fillId="5" borderId="15" xfId="34" applyNumberFormat="1" applyFont="1" applyFill="1" applyBorder="1" applyAlignment="1">
      <alignment vertical="center"/>
    </xf>
    <xf numFmtId="0" fontId="13" fillId="5" borderId="1" xfId="34" applyFont="1" applyFill="1" applyBorder="1" applyAlignment="1">
      <alignment horizontal="center" vertical="center"/>
    </xf>
    <xf numFmtId="0" fontId="55" fillId="5" borderId="1" xfId="34" applyFont="1" applyFill="1" applyBorder="1" applyAlignment="1">
      <alignment vertical="center" wrapText="1"/>
    </xf>
    <xf numFmtId="0" fontId="55" fillId="5" borderId="1" xfId="34" applyFont="1" applyFill="1" applyBorder="1" applyAlignment="1">
      <alignment horizontal="center" vertical="center" wrapText="1"/>
    </xf>
    <xf numFmtId="0" fontId="55" fillId="5" borderId="1" xfId="34" applyFont="1" applyFill="1" applyBorder="1" applyAlignment="1">
      <alignment horizontal="center" vertical="center"/>
    </xf>
    <xf numFmtId="4" fontId="55" fillId="5" borderId="8" xfId="34" applyNumberFormat="1" applyFont="1" applyFill="1" applyBorder="1" applyAlignment="1">
      <alignment horizontal="center" vertical="center"/>
    </xf>
    <xf numFmtId="49" fontId="33" fillId="0" borderId="15" xfId="34" applyNumberFormat="1" applyFont="1" applyBorder="1" applyAlignment="1">
      <alignment vertical="center"/>
    </xf>
    <xf numFmtId="0" fontId="12" fillId="0" borderId="1" xfId="34" applyFont="1" applyBorder="1" applyAlignment="1">
      <alignment horizontal="center" vertical="center"/>
    </xf>
    <xf numFmtId="0" fontId="33" fillId="0" borderId="1" xfId="34" applyFont="1" applyBorder="1" applyAlignment="1">
      <alignment vertical="center" wrapText="1"/>
    </xf>
    <xf numFmtId="2" fontId="33" fillId="0" borderId="1" xfId="34" applyNumberFormat="1" applyFont="1" applyBorder="1" applyAlignment="1">
      <alignment horizontal="center" vertical="center"/>
    </xf>
    <xf numFmtId="49" fontId="34" fillId="0" borderId="15" xfId="34" applyNumberFormat="1" applyFont="1" applyBorder="1"/>
    <xf numFmtId="49" fontId="12" fillId="0" borderId="1" xfId="34" applyNumberFormat="1" applyFont="1" applyBorder="1" applyAlignment="1">
      <alignment horizontal="center" vertical="center"/>
    </xf>
    <xf numFmtId="49" fontId="12" fillId="0" borderId="1" xfId="34" applyNumberFormat="1" applyFont="1" applyBorder="1" applyAlignment="1">
      <alignment horizontal="left" vertical="center" wrapText="1"/>
    </xf>
    <xf numFmtId="2" fontId="12" fillId="0" borderId="1" xfId="34" applyNumberFormat="1" applyFont="1" applyBorder="1" applyAlignment="1">
      <alignment horizontal="center" vertical="center"/>
    </xf>
    <xf numFmtId="0" fontId="32" fillId="9" borderId="0" xfId="34" applyFont="1" applyFill="1" applyAlignment="1">
      <alignment horizontal="center" vertical="center"/>
    </xf>
    <xf numFmtId="4" fontId="12" fillId="0" borderId="1" xfId="34" applyNumberFormat="1" applyFont="1" applyBorder="1" applyAlignment="1">
      <alignment horizontal="center" vertical="center"/>
    </xf>
    <xf numFmtId="4" fontId="55" fillId="5" borderId="1" xfId="34" applyNumberFormat="1" applyFont="1" applyFill="1" applyBorder="1" applyAlignment="1">
      <alignment horizontal="center" vertical="center"/>
    </xf>
    <xf numFmtId="0" fontId="31" fillId="0" borderId="5" xfId="30" applyFont="1" applyBorder="1" applyAlignment="1">
      <alignment horizontal="center" vertical="center" wrapText="1"/>
    </xf>
    <xf numFmtId="0" fontId="31" fillId="0" borderId="5" xfId="29" applyFont="1" applyBorder="1" applyAlignment="1">
      <alignment horizontal="center" vertical="center"/>
    </xf>
    <xf numFmtId="4" fontId="31" fillId="0" borderId="22" xfId="30" applyNumberFormat="1" applyFont="1" applyBorder="1" applyAlignment="1">
      <alignment horizontal="center" vertical="center"/>
    </xf>
    <xf numFmtId="0" fontId="67" fillId="10" borderId="0" xfId="34" applyFont="1" applyFill="1"/>
    <xf numFmtId="0" fontId="33" fillId="5" borderId="15" xfId="34" applyFont="1" applyFill="1" applyBorder="1" applyAlignment="1">
      <alignment horizontal="center" vertical="center"/>
    </xf>
    <xf numFmtId="0" fontId="33" fillId="5" borderId="1" xfId="34" applyFont="1" applyFill="1" applyBorder="1" applyAlignment="1">
      <alignment horizontal="left" vertical="center"/>
    </xf>
    <xf numFmtId="49" fontId="33" fillId="5" borderId="15" xfId="34" applyNumberFormat="1" applyFont="1" applyFill="1" applyBorder="1" applyAlignment="1">
      <alignment horizontal="center" vertical="center"/>
    </xf>
    <xf numFmtId="49" fontId="13" fillId="5" borderId="1" xfId="34" applyNumberFormat="1" applyFont="1" applyFill="1" applyBorder="1" applyAlignment="1">
      <alignment horizontal="left" vertical="center" wrapText="1"/>
    </xf>
    <xf numFmtId="4" fontId="13" fillId="5" borderId="8" xfId="34" applyNumberFormat="1" applyFont="1" applyFill="1" applyBorder="1" applyAlignment="1">
      <alignment horizontal="center" vertical="center"/>
    </xf>
    <xf numFmtId="49" fontId="33" fillId="0" borderId="15" xfId="34" applyNumberFormat="1" applyFont="1" applyBorder="1" applyAlignment="1">
      <alignment horizontal="center" vertical="center"/>
    </xf>
    <xf numFmtId="4" fontId="12" fillId="0" borderId="8" xfId="34" applyNumberFormat="1" applyFont="1" applyBorder="1" applyAlignment="1">
      <alignment horizontal="center" vertical="center"/>
    </xf>
    <xf numFmtId="49" fontId="33" fillId="0" borderId="1" xfId="34" applyNumberFormat="1" applyFont="1" applyBorder="1" applyAlignment="1">
      <alignment horizontal="justify" wrapText="1"/>
    </xf>
    <xf numFmtId="49" fontId="33" fillId="5" borderId="15" xfId="35" applyNumberFormat="1" applyFont="1" applyFill="1" applyBorder="1" applyAlignment="1">
      <alignment horizontal="center" vertical="center"/>
    </xf>
    <xf numFmtId="0" fontId="12" fillId="5" borderId="1" xfId="35" applyFont="1" applyFill="1" applyBorder="1" applyAlignment="1">
      <alignment horizontal="center" vertical="center"/>
    </xf>
    <xf numFmtId="49" fontId="13" fillId="5" borderId="1" xfId="35" applyNumberFormat="1" applyFont="1" applyFill="1" applyBorder="1" applyAlignment="1">
      <alignment horizontal="left" vertical="center" wrapText="1"/>
    </xf>
    <xf numFmtId="4" fontId="12" fillId="5" borderId="1" xfId="35" applyNumberFormat="1" applyFont="1" applyFill="1" applyBorder="1" applyAlignment="1">
      <alignment horizontal="center" vertical="center"/>
    </xf>
    <xf numFmtId="4" fontId="13" fillId="5" borderId="8" xfId="35" applyNumberFormat="1" applyFont="1" applyFill="1" applyBorder="1" applyAlignment="1">
      <alignment horizontal="center" vertical="center"/>
    </xf>
    <xf numFmtId="49" fontId="33" fillId="3" borderId="15" xfId="35" applyNumberFormat="1" applyFont="1" applyFill="1" applyBorder="1" applyAlignment="1">
      <alignment horizontal="center" vertical="center"/>
    </xf>
    <xf numFmtId="0" fontId="12" fillId="3" borderId="1" xfId="35" applyFont="1" applyFill="1" applyBorder="1" applyAlignment="1">
      <alignment horizontal="center" vertical="center"/>
    </xf>
    <xf numFmtId="4" fontId="31" fillId="3" borderId="1" xfId="36" applyNumberFormat="1" applyFont="1" applyFill="1" applyBorder="1" applyAlignment="1">
      <alignment horizontal="left" vertical="center" wrapText="1"/>
    </xf>
    <xf numFmtId="0" fontId="12" fillId="0" borderId="1" xfId="35" applyFont="1" applyBorder="1" applyAlignment="1">
      <alignment horizontal="center" vertical="center"/>
    </xf>
    <xf numFmtId="4" fontId="12" fillId="3" borderId="1" xfId="35" applyNumberFormat="1" applyFont="1" applyFill="1" applyBorder="1" applyAlignment="1">
      <alignment horizontal="center" vertical="center"/>
    </xf>
    <xf numFmtId="4" fontId="12" fillId="3" borderId="8" xfId="35" applyNumberFormat="1" applyFont="1" applyFill="1" applyBorder="1" applyAlignment="1">
      <alignment horizontal="center" vertical="center"/>
    </xf>
    <xf numFmtId="0" fontId="32" fillId="3" borderId="0" xfId="34" applyFont="1" applyFill="1"/>
    <xf numFmtId="4" fontId="31" fillId="3" borderId="1" xfId="36" applyNumberFormat="1" applyFont="1" applyFill="1" applyBorder="1" applyAlignment="1">
      <alignment horizontal="left" wrapText="1"/>
    </xf>
    <xf numFmtId="0" fontId="67" fillId="3" borderId="1" xfId="34" applyFont="1" applyFill="1" applyBorder="1" applyAlignment="1">
      <alignment vertical="center"/>
    </xf>
    <xf numFmtId="0" fontId="67" fillId="10" borderId="43" xfId="34" applyFont="1" applyFill="1" applyBorder="1"/>
    <xf numFmtId="4" fontId="12" fillId="10" borderId="43" xfId="30" applyNumberFormat="1" applyFont="1" applyFill="1" applyBorder="1" applyAlignment="1">
      <alignment horizontal="center" vertical="center"/>
    </xf>
    <xf numFmtId="4" fontId="12" fillId="10" borderId="44" xfId="30" applyNumberFormat="1" applyFont="1" applyFill="1" applyBorder="1" applyAlignment="1">
      <alignment horizontal="center" vertical="center"/>
    </xf>
    <xf numFmtId="0" fontId="67" fillId="10" borderId="1" xfId="34" applyFont="1" applyFill="1" applyBorder="1"/>
    <xf numFmtId="4" fontId="12" fillId="10" borderId="1" xfId="30" applyNumberFormat="1" applyFont="1" applyFill="1" applyBorder="1" applyAlignment="1">
      <alignment horizontal="center" vertical="center"/>
    </xf>
    <xf numFmtId="4" fontId="12" fillId="10" borderId="8" xfId="30" applyNumberFormat="1" applyFont="1" applyFill="1" applyBorder="1" applyAlignment="1">
      <alignment horizontal="center" vertical="center"/>
    </xf>
    <xf numFmtId="0" fontId="67" fillId="10" borderId="28" xfId="34" applyFont="1" applyFill="1" applyBorder="1" applyAlignment="1">
      <alignment wrapText="1"/>
    </xf>
    <xf numFmtId="3" fontId="31" fillId="0" borderId="5" xfId="29" applyNumberFormat="1" applyFont="1" applyBorder="1" applyAlignment="1">
      <alignment horizontal="center" vertical="center"/>
    </xf>
    <xf numFmtId="4" fontId="12" fillId="10" borderId="5" xfId="30" applyNumberFormat="1" applyFont="1" applyFill="1" applyBorder="1" applyAlignment="1">
      <alignment horizontal="center" vertical="center"/>
    </xf>
    <xf numFmtId="4" fontId="12" fillId="10" borderId="22" xfId="30" applyNumberFormat="1" applyFont="1" applyFill="1" applyBorder="1" applyAlignment="1">
      <alignment horizontal="center" vertical="center"/>
    </xf>
    <xf numFmtId="0" fontId="67" fillId="3" borderId="1" xfId="34" applyFont="1" applyFill="1" applyBorder="1" applyAlignment="1">
      <alignment wrapText="1"/>
    </xf>
    <xf numFmtId="0" fontId="33" fillId="5" borderId="15" xfId="35" applyFont="1" applyFill="1" applyBorder="1" applyAlignment="1">
      <alignment horizontal="center" vertical="center"/>
    </xf>
    <xf numFmtId="0" fontId="33" fillId="5" borderId="1" xfId="35" applyFont="1" applyFill="1" applyBorder="1" applyAlignment="1">
      <alignment vertical="center"/>
    </xf>
    <xf numFmtId="0" fontId="33" fillId="5" borderId="1" xfId="35" applyFont="1" applyFill="1" applyBorder="1" applyAlignment="1">
      <alignment horizontal="center" vertical="center" wrapText="1"/>
    </xf>
    <xf numFmtId="0" fontId="33" fillId="5" borderId="1" xfId="35" applyFont="1" applyFill="1" applyBorder="1" applyAlignment="1">
      <alignment horizontal="center" vertical="center"/>
    </xf>
    <xf numFmtId="4" fontId="33" fillId="5" borderId="8" xfId="35" applyNumberFormat="1" applyFont="1" applyFill="1" applyBorder="1" applyAlignment="1">
      <alignment horizontal="center" vertical="center"/>
    </xf>
    <xf numFmtId="0" fontId="33" fillId="0" borderId="0" xfId="34" applyFont="1" applyAlignment="1">
      <alignment vertical="center"/>
    </xf>
    <xf numFmtId="0" fontId="33" fillId="9" borderId="0" xfId="34" applyFont="1" applyFill="1" applyAlignment="1">
      <alignment vertical="center"/>
    </xf>
    <xf numFmtId="49" fontId="12" fillId="6" borderId="9" xfId="35" applyNumberFormat="1" applyFont="1" applyFill="1" applyBorder="1" applyAlignment="1">
      <alignment horizontal="center"/>
    </xf>
    <xf numFmtId="0" fontId="12" fillId="3" borderId="5" xfId="35" applyFont="1" applyFill="1" applyBorder="1" applyAlignment="1">
      <alignment horizontal="center" vertical="center"/>
    </xf>
    <xf numFmtId="4" fontId="32" fillId="0" borderId="0" xfId="34" applyNumberFormat="1" applyFont="1"/>
    <xf numFmtId="2" fontId="32" fillId="0" borderId="0" xfId="34" applyNumberFormat="1" applyFont="1"/>
    <xf numFmtId="0" fontId="27" fillId="0" borderId="7" xfId="34" applyFont="1" applyBorder="1"/>
    <xf numFmtId="0" fontId="38" fillId="0" borderId="23" xfId="34" applyFont="1" applyBorder="1" applyAlignment="1">
      <alignment horizontal="center" vertical="center"/>
    </xf>
    <xf numFmtId="0" fontId="35" fillId="0" borderId="23" xfId="34" applyFont="1" applyBorder="1"/>
    <xf numFmtId="0" fontId="27" fillId="0" borderId="23" xfId="34" applyFont="1" applyBorder="1"/>
    <xf numFmtId="4" fontId="28" fillId="0" borderId="24" xfId="34" applyNumberFormat="1" applyFont="1" applyBorder="1" applyAlignment="1">
      <alignment horizontal="center"/>
    </xf>
    <xf numFmtId="2" fontId="27" fillId="0" borderId="0" xfId="34" applyNumberFormat="1" applyFont="1"/>
    <xf numFmtId="0" fontId="38" fillId="0" borderId="0" xfId="34" applyFont="1" applyAlignment="1">
      <alignment horizontal="center" vertical="center"/>
    </xf>
    <xf numFmtId="0" fontId="35" fillId="0" borderId="0" xfId="34" applyFont="1"/>
    <xf numFmtId="2" fontId="35" fillId="0" borderId="0" xfId="34" applyNumberFormat="1" applyFont="1"/>
    <xf numFmtId="0" fontId="57" fillId="0" borderId="0" xfId="34" applyFont="1" applyAlignment="1">
      <alignment horizontal="center" vertical="center"/>
    </xf>
    <xf numFmtId="0" fontId="26" fillId="0" borderId="0" xfId="34" applyFont="1" applyAlignment="1">
      <alignment horizontal="center"/>
    </xf>
    <xf numFmtId="2" fontId="58" fillId="0" borderId="0" xfId="34" applyNumberFormat="1" applyFont="1" applyAlignment="1">
      <alignment horizontal="center"/>
    </xf>
    <xf numFmtId="0" fontId="30" fillId="0" borderId="0" xfId="34" applyFont="1"/>
    <xf numFmtId="0" fontId="33" fillId="0" borderId="0" xfId="34" applyFont="1"/>
    <xf numFmtId="0" fontId="34" fillId="0" borderId="0" xfId="34" applyFont="1"/>
    <xf numFmtId="0" fontId="23" fillId="0" borderId="0" xfId="34" applyFont="1" applyAlignment="1">
      <alignment horizontal="left" wrapText="1"/>
    </xf>
    <xf numFmtId="0" fontId="30" fillId="0" borderId="3" xfId="34" applyFont="1" applyBorder="1"/>
    <xf numFmtId="0" fontId="36" fillId="0" borderId="0" xfId="34" applyFont="1" applyAlignment="1">
      <alignment horizontal="left"/>
    </xf>
    <xf numFmtId="0" fontId="37" fillId="0" borderId="0" xfId="34" applyFont="1"/>
    <xf numFmtId="0" fontId="59" fillId="0" borderId="0" xfId="34" applyFont="1" applyAlignment="1">
      <alignment vertical="top"/>
    </xf>
    <xf numFmtId="0" fontId="39" fillId="5" borderId="1" xfId="34" applyFont="1" applyFill="1" applyBorder="1" applyAlignment="1">
      <alignment horizontal="center" vertical="center" wrapText="1"/>
    </xf>
    <xf numFmtId="0" fontId="39" fillId="5" borderId="1" xfId="34" applyFont="1" applyFill="1" applyBorder="1" applyAlignment="1">
      <alignment horizontal="left" vertical="center" wrapText="1"/>
    </xf>
    <xf numFmtId="4" fontId="39" fillId="5" borderId="1" xfId="34" applyNumberFormat="1" applyFont="1" applyFill="1" applyBorder="1" applyAlignment="1">
      <alignment horizontal="center" vertical="center" wrapText="1"/>
    </xf>
    <xf numFmtId="0" fontId="64" fillId="0" borderId="1" xfId="34" applyFont="1" applyBorder="1" applyAlignment="1">
      <alignment horizontal="center" vertical="center"/>
    </xf>
    <xf numFmtId="0" fontId="62" fillId="5" borderId="1" xfId="34" applyFont="1" applyFill="1" applyBorder="1" applyAlignment="1">
      <alignment wrapText="1"/>
    </xf>
    <xf numFmtId="0" fontId="62" fillId="5" borderId="1" xfId="34" applyFont="1" applyFill="1" applyBorder="1"/>
    <xf numFmtId="0" fontId="63" fillId="5" borderId="1" xfId="34" applyFont="1" applyFill="1" applyBorder="1" applyAlignment="1">
      <alignment horizontal="center" vertical="center" wrapText="1"/>
    </xf>
    <xf numFmtId="0" fontId="63" fillId="5" borderId="1" xfId="34" applyFont="1" applyFill="1" applyBorder="1" applyAlignment="1">
      <alignment horizontal="center" vertical="center"/>
    </xf>
    <xf numFmtId="4" fontId="62" fillId="5" borderId="1" xfId="34" applyNumberFormat="1" applyFont="1" applyFill="1" applyBorder="1" applyAlignment="1">
      <alignment horizontal="center" vertical="center"/>
    </xf>
    <xf numFmtId="0" fontId="64" fillId="0" borderId="1" xfId="34" applyFont="1" applyBorder="1"/>
    <xf numFmtId="0" fontId="40" fillId="0" borderId="1" xfId="34" applyFont="1" applyBorder="1" applyAlignment="1">
      <alignment horizontal="center" vertical="center"/>
    </xf>
    <xf numFmtId="0" fontId="62" fillId="0" borderId="1" xfId="34" applyFont="1" applyBorder="1"/>
    <xf numFmtId="0" fontId="62" fillId="0" borderId="1" xfId="34" applyFont="1" applyBorder="1" applyAlignment="1">
      <alignment horizontal="center" vertical="center" wrapText="1"/>
    </xf>
    <xf numFmtId="0" fontId="62" fillId="0" borderId="1" xfId="34" applyFont="1" applyBorder="1" applyAlignment="1">
      <alignment horizontal="center" vertical="center"/>
    </xf>
    <xf numFmtId="4" fontId="62" fillId="0" borderId="1" xfId="34" applyNumberFormat="1" applyFont="1" applyBorder="1" applyAlignment="1">
      <alignment horizontal="center" vertical="center"/>
    </xf>
    <xf numFmtId="0" fontId="62" fillId="0" borderId="1" xfId="34" applyFont="1" applyBorder="1" applyAlignment="1">
      <alignment wrapText="1"/>
    </xf>
    <xf numFmtId="0" fontId="61" fillId="5" borderId="1" xfId="34" applyFont="1" applyFill="1" applyBorder="1"/>
    <xf numFmtId="0" fontId="39" fillId="5" borderId="1" xfId="34" applyFont="1" applyFill="1" applyBorder="1" applyAlignment="1">
      <alignment horizontal="center" vertical="center"/>
    </xf>
    <xf numFmtId="0" fontId="61" fillId="5" borderId="1" xfId="34" applyFont="1" applyFill="1" applyBorder="1" applyAlignment="1">
      <alignment horizontal="center" vertical="center" wrapText="1"/>
    </xf>
    <xf numFmtId="0" fontId="61" fillId="5" borderId="1" xfId="34" applyFont="1" applyFill="1" applyBorder="1" applyAlignment="1">
      <alignment horizontal="center" vertical="center"/>
    </xf>
    <xf numFmtId="4" fontId="61" fillId="5" borderId="1" xfId="34" applyNumberFormat="1" applyFont="1" applyFill="1" applyBorder="1" applyAlignment="1">
      <alignment horizontal="center" vertical="center"/>
    </xf>
    <xf numFmtId="0" fontId="61" fillId="0" borderId="1" xfId="34" applyFont="1" applyBorder="1" applyAlignment="1">
      <alignment horizontal="center" vertical="center"/>
    </xf>
    <xf numFmtId="4" fontId="61" fillId="0" borderId="1" xfId="34" applyNumberFormat="1" applyFont="1" applyBorder="1" applyAlignment="1">
      <alignment horizontal="center" vertical="center"/>
    </xf>
    <xf numFmtId="0" fontId="62" fillId="5" borderId="1" xfId="34" applyFont="1" applyFill="1" applyBorder="1" applyAlignment="1">
      <alignment horizontal="center" vertical="center" wrapText="1"/>
    </xf>
    <xf numFmtId="0" fontId="62" fillId="5" borderId="1" xfId="34" applyFont="1" applyFill="1" applyBorder="1" applyAlignment="1">
      <alignment horizontal="center" vertical="center"/>
    </xf>
    <xf numFmtId="49" fontId="62" fillId="0" borderId="1" xfId="34" applyNumberFormat="1" applyFont="1" applyBorder="1" applyAlignment="1">
      <alignment horizontal="left" wrapText="1"/>
    </xf>
    <xf numFmtId="0" fontId="61" fillId="0" borderId="1" xfId="34" applyFont="1" applyBorder="1" applyAlignment="1">
      <alignment horizontal="center" vertical="center" wrapText="1"/>
    </xf>
    <xf numFmtId="0" fontId="62" fillId="5" borderId="1" xfId="34" applyFont="1" applyFill="1" applyBorder="1" applyAlignment="1">
      <alignment vertical="center"/>
    </xf>
    <xf numFmtId="0" fontId="62" fillId="5" borderId="1" xfId="34" applyFont="1" applyFill="1" applyBorder="1" applyAlignment="1">
      <alignment vertical="center" wrapText="1"/>
    </xf>
    <xf numFmtId="49" fontId="65" fillId="5" borderId="1" xfId="34" applyNumberFormat="1" applyFont="1" applyFill="1" applyBorder="1" applyAlignment="1">
      <alignment vertical="center"/>
    </xf>
    <xf numFmtId="0" fontId="66" fillId="5" borderId="1" xfId="34" applyFont="1" applyFill="1" applyBorder="1" applyAlignment="1">
      <alignment horizontal="center" vertical="center"/>
    </xf>
    <xf numFmtId="0" fontId="65" fillId="5" borderId="1" xfId="34" applyFont="1" applyFill="1" applyBorder="1" applyAlignment="1">
      <alignment vertical="center" wrapText="1"/>
    </xf>
    <xf numFmtId="0" fontId="65" fillId="5" borderId="1" xfId="34" applyFont="1" applyFill="1" applyBorder="1" applyAlignment="1">
      <alignment horizontal="center" vertical="center" wrapText="1"/>
    </xf>
    <xf numFmtId="0" fontId="65" fillId="5" borderId="1" xfId="34" applyFont="1" applyFill="1" applyBorder="1" applyAlignment="1">
      <alignment horizontal="center" vertical="center"/>
    </xf>
    <xf numFmtId="4" fontId="65" fillId="5" borderId="1" xfId="34" applyNumberFormat="1" applyFont="1" applyFill="1" applyBorder="1" applyAlignment="1">
      <alignment horizontal="center" vertical="center"/>
    </xf>
    <xf numFmtId="0" fontId="39" fillId="0" borderId="1" xfId="34" applyFont="1" applyBorder="1" applyAlignment="1">
      <alignment horizontal="center" vertical="center"/>
    </xf>
    <xf numFmtId="49" fontId="63" fillId="0" borderId="1" xfId="34" applyNumberFormat="1" applyFont="1" applyBorder="1"/>
    <xf numFmtId="49" fontId="39" fillId="0" borderId="1" xfId="34" applyNumberFormat="1" applyFont="1" applyBorder="1" applyAlignment="1">
      <alignment horizontal="center" vertical="center"/>
    </xf>
    <xf numFmtId="49" fontId="39" fillId="0" borderId="1" xfId="34" applyNumberFormat="1" applyFont="1" applyBorder="1" applyAlignment="1">
      <alignment horizontal="left" vertical="center" wrapText="1"/>
    </xf>
    <xf numFmtId="2" fontId="39" fillId="0" borderId="1" xfId="34" applyNumberFormat="1" applyFont="1" applyBorder="1" applyAlignment="1">
      <alignment horizontal="center" vertical="center"/>
    </xf>
    <xf numFmtId="4" fontId="39" fillId="0" borderId="1" xfId="34" applyNumberFormat="1" applyFont="1" applyBorder="1" applyAlignment="1">
      <alignment horizontal="center" vertical="center"/>
    </xf>
    <xf numFmtId="0" fontId="61" fillId="10" borderId="1" xfId="29" applyFont="1" applyFill="1" applyBorder="1" applyAlignment="1">
      <alignment vertical="center" wrapText="1"/>
    </xf>
    <xf numFmtId="0" fontId="61" fillId="0" borderId="1" xfId="30" applyFont="1" applyBorder="1" applyAlignment="1">
      <alignment horizontal="center" vertical="center" wrapText="1"/>
    </xf>
    <xf numFmtId="0" fontId="61" fillId="0" borderId="1" xfId="29" applyFont="1" applyBorder="1" applyAlignment="1">
      <alignment horizontal="center" vertical="center"/>
    </xf>
    <xf numFmtId="4" fontId="75" fillId="0" borderId="1" xfId="30" applyNumberFormat="1" applyFont="1" applyBorder="1" applyAlignment="1">
      <alignment horizontal="center" vertical="center"/>
    </xf>
    <xf numFmtId="4" fontId="61" fillId="0" borderId="1" xfId="30" applyNumberFormat="1" applyFont="1" applyBorder="1" applyAlignment="1">
      <alignment horizontal="center" vertical="center"/>
    </xf>
    <xf numFmtId="0" fontId="75" fillId="10" borderId="1" xfId="34" applyFont="1" applyFill="1" applyBorder="1"/>
    <xf numFmtId="0" fontId="62" fillId="5" borderId="1" xfId="34" applyFont="1" applyFill="1" applyBorder="1" applyAlignment="1">
      <alignment horizontal="left" vertical="center"/>
    </xf>
    <xf numFmtId="49" fontId="62" fillId="5" borderId="1" xfId="34" applyNumberFormat="1" applyFont="1" applyFill="1" applyBorder="1" applyAlignment="1">
      <alignment horizontal="center" vertical="center"/>
    </xf>
    <xf numFmtId="49" fontId="66" fillId="5" borderId="1" xfId="34" applyNumberFormat="1" applyFont="1" applyFill="1" applyBorder="1" applyAlignment="1">
      <alignment horizontal="left" vertical="center" wrapText="1"/>
    </xf>
    <xf numFmtId="4" fontId="66" fillId="5" borderId="1" xfId="34" applyNumberFormat="1" applyFont="1" applyFill="1" applyBorder="1" applyAlignment="1">
      <alignment horizontal="center" vertical="center"/>
    </xf>
    <xf numFmtId="49" fontId="62" fillId="0" borderId="1" xfId="34" applyNumberFormat="1" applyFont="1" applyBorder="1" applyAlignment="1">
      <alignment horizontal="center" vertical="center"/>
    </xf>
    <xf numFmtId="49" fontId="62" fillId="0" borderId="1" xfId="34" applyNumberFormat="1" applyFont="1" applyBorder="1" applyAlignment="1">
      <alignment horizontal="justify" wrapText="1"/>
    </xf>
    <xf numFmtId="49" fontId="62" fillId="5" borderId="1" xfId="35" applyNumberFormat="1" applyFont="1" applyFill="1" applyBorder="1" applyAlignment="1">
      <alignment horizontal="center" vertical="center"/>
    </xf>
    <xf numFmtId="0" fontId="39" fillId="5" borderId="1" xfId="35" applyFont="1" applyFill="1" applyBorder="1" applyAlignment="1">
      <alignment horizontal="center" vertical="center"/>
    </xf>
    <xf numFmtId="49" fontId="66" fillId="5" borderId="1" xfId="35" applyNumberFormat="1" applyFont="1" applyFill="1" applyBorder="1" applyAlignment="1">
      <alignment horizontal="left" vertical="center" wrapText="1"/>
    </xf>
    <xf numFmtId="4" fontId="39" fillId="5" borderId="1" xfId="35" applyNumberFormat="1" applyFont="1" applyFill="1" applyBorder="1" applyAlignment="1">
      <alignment horizontal="center" vertical="center"/>
    </xf>
    <xf numFmtId="4" fontId="66" fillId="5" borderId="1" xfId="35" applyNumberFormat="1" applyFont="1" applyFill="1" applyBorder="1" applyAlignment="1">
      <alignment horizontal="center" vertical="center"/>
    </xf>
    <xf numFmtId="49" fontId="62" fillId="3" borderId="1" xfId="35" applyNumberFormat="1" applyFont="1" applyFill="1" applyBorder="1" applyAlignment="1">
      <alignment horizontal="center" vertical="center"/>
    </xf>
    <xf numFmtId="0" fontId="39" fillId="3" borderId="1" xfId="35" applyFont="1" applyFill="1" applyBorder="1" applyAlignment="1">
      <alignment horizontal="center" vertical="center"/>
    </xf>
    <xf numFmtId="4" fontId="61" fillId="3" borderId="1" xfId="36" applyNumberFormat="1" applyFont="1" applyFill="1" applyBorder="1" applyAlignment="1">
      <alignment horizontal="left" vertical="center" wrapText="1"/>
    </xf>
    <xf numFmtId="0" fontId="39" fillId="0" borderId="1" xfId="35" applyFont="1" applyBorder="1" applyAlignment="1">
      <alignment horizontal="center" vertical="center"/>
    </xf>
    <xf numFmtId="4" fontId="39" fillId="3" borderId="1" xfId="35" applyNumberFormat="1" applyFont="1" applyFill="1" applyBorder="1" applyAlignment="1">
      <alignment horizontal="center" vertical="center"/>
    </xf>
    <xf numFmtId="4" fontId="61" fillId="3" borderId="1" xfId="36" applyNumberFormat="1" applyFont="1" applyFill="1" applyBorder="1" applyAlignment="1">
      <alignment horizontal="left" wrapText="1"/>
    </xf>
    <xf numFmtId="4" fontId="39" fillId="3" borderId="1" xfId="30" applyNumberFormat="1" applyFont="1" applyFill="1" applyBorder="1" applyAlignment="1">
      <alignment horizontal="center" vertical="center"/>
    </xf>
    <xf numFmtId="4" fontId="39" fillId="10" borderId="1" xfId="30" applyNumberFormat="1" applyFont="1" applyFill="1" applyBorder="1" applyAlignment="1">
      <alignment horizontal="center" vertical="center"/>
    </xf>
    <xf numFmtId="3" fontId="61" fillId="0" borderId="1" xfId="29" applyNumberFormat="1" applyFont="1" applyBorder="1" applyAlignment="1">
      <alignment horizontal="center" vertical="center"/>
    </xf>
    <xf numFmtId="0" fontId="75" fillId="10" borderId="1" xfId="34" applyFont="1" applyFill="1" applyBorder="1" applyAlignment="1">
      <alignment wrapText="1"/>
    </xf>
    <xf numFmtId="0" fontId="75" fillId="3" borderId="1" xfId="34" applyFont="1" applyFill="1" applyBorder="1" applyAlignment="1">
      <alignment wrapText="1"/>
    </xf>
    <xf numFmtId="0" fontId="62" fillId="5" borderId="1" xfId="35" applyFont="1" applyFill="1" applyBorder="1" applyAlignment="1">
      <alignment horizontal="center" vertical="center"/>
    </xf>
    <xf numFmtId="0" fontId="62" fillId="5" borderId="1" xfId="35" applyFont="1" applyFill="1" applyBorder="1" applyAlignment="1">
      <alignment vertical="center"/>
    </xf>
    <xf numFmtId="0" fontId="62" fillId="5" borderId="1" xfId="35" applyFont="1" applyFill="1" applyBorder="1" applyAlignment="1">
      <alignment horizontal="center" vertical="center" wrapText="1"/>
    </xf>
    <xf numFmtId="4" fontId="62" fillId="5" borderId="1" xfId="35" applyNumberFormat="1" applyFont="1" applyFill="1" applyBorder="1" applyAlignment="1">
      <alignment horizontal="center" vertical="center"/>
    </xf>
    <xf numFmtId="4" fontId="61" fillId="3" borderId="1" xfId="33" applyNumberFormat="1" applyFont="1" applyFill="1" applyBorder="1" applyAlignment="1">
      <alignment horizontal="left" wrapText="1"/>
    </xf>
    <xf numFmtId="49" fontId="39" fillId="6" borderId="1" xfId="35" applyNumberFormat="1" applyFont="1" applyFill="1" applyBorder="1" applyAlignment="1">
      <alignment horizontal="center"/>
    </xf>
    <xf numFmtId="49" fontId="39" fillId="3" borderId="1" xfId="30" applyNumberFormat="1" applyFont="1" applyFill="1" applyBorder="1" applyAlignment="1">
      <alignment horizontal="left" vertical="center" wrapText="1"/>
    </xf>
    <xf numFmtId="0" fontId="61" fillId="0" borderId="1" xfId="29" applyFont="1" applyBorder="1" applyAlignment="1">
      <alignment horizontal="center" vertical="center" wrapText="1"/>
    </xf>
    <xf numFmtId="4" fontId="62" fillId="0" borderId="1" xfId="30" applyNumberFormat="1" applyFont="1" applyBorder="1" applyAlignment="1">
      <alignment horizontal="center" vertical="center"/>
    </xf>
    <xf numFmtId="0" fontId="61" fillId="3" borderId="1" xfId="29" applyFont="1" applyFill="1" applyBorder="1" applyAlignment="1">
      <alignment vertical="center" wrapText="1"/>
    </xf>
    <xf numFmtId="4" fontId="61" fillId="0" borderId="1" xfId="29" applyNumberFormat="1" applyFont="1" applyBorder="1" applyAlignment="1">
      <alignment horizontal="center" vertical="center"/>
    </xf>
    <xf numFmtId="49" fontId="39" fillId="10" borderId="1" xfId="30" applyNumberFormat="1" applyFont="1" applyFill="1" applyBorder="1" applyAlignment="1">
      <alignment horizontal="left" vertical="center" wrapText="1"/>
    </xf>
    <xf numFmtId="167" fontId="75" fillId="0" borderId="1" xfId="30" applyNumberFormat="1" applyFont="1" applyBorder="1" applyAlignment="1">
      <alignment horizontal="center" vertical="center"/>
    </xf>
    <xf numFmtId="4" fontId="62" fillId="0" borderId="1" xfId="34" applyNumberFormat="1" applyFont="1" applyBorder="1" applyAlignment="1">
      <alignment horizontal="center"/>
    </xf>
    <xf numFmtId="0" fontId="75" fillId="3" borderId="1" xfId="34" applyFont="1" applyFill="1" applyBorder="1" applyAlignment="1">
      <alignment vertical="center" wrapText="1"/>
    </xf>
    <xf numFmtId="4" fontId="64" fillId="0" borderId="0" xfId="34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0" fontId="64" fillId="0" borderId="0" xfId="34" applyFont="1"/>
    <xf numFmtId="0" fontId="40" fillId="0" borderId="0" xfId="34" applyFont="1" applyAlignment="1">
      <alignment horizontal="center" vertical="center"/>
    </xf>
    <xf numFmtId="0" fontId="62" fillId="0" borderId="0" xfId="34" applyFont="1"/>
    <xf numFmtId="4" fontId="62" fillId="0" borderId="0" xfId="34" applyNumberFormat="1" applyFont="1" applyAlignment="1">
      <alignment horizontal="center"/>
    </xf>
    <xf numFmtId="49" fontId="18" fillId="0" borderId="14" xfId="0" applyNumberFormat="1" applyFont="1" applyBorder="1" applyAlignment="1">
      <alignment horizontal="left" wrapText="1"/>
    </xf>
    <xf numFmtId="4" fontId="19" fillId="3" borderId="1" xfId="0" applyNumberFormat="1" applyFont="1" applyFill="1" applyBorder="1" applyAlignment="1">
      <alignment horizontal="center" vertical="center"/>
    </xf>
    <xf numFmtId="168" fontId="12" fillId="0" borderId="1" xfId="0" applyNumberFormat="1" applyFont="1" applyBorder="1" applyAlignment="1">
      <alignment horizontal="right" vertical="center"/>
    </xf>
    <xf numFmtId="169" fontId="19" fillId="3" borderId="1" xfId="0" applyNumberFormat="1" applyFont="1" applyFill="1" applyBorder="1" applyAlignment="1">
      <alignment horizontal="right" vertical="center"/>
    </xf>
    <xf numFmtId="0" fontId="14" fillId="0" borderId="3" xfId="0" applyFont="1" applyBorder="1" applyAlignment="1">
      <alignment horizontal="center" wrapText="1"/>
    </xf>
    <xf numFmtId="0" fontId="14" fillId="0" borderId="3" xfId="0" applyFont="1" applyBorder="1" applyAlignment="1">
      <alignment horizontal="right"/>
    </xf>
    <xf numFmtId="0" fontId="14" fillId="0" borderId="35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wrapText="1"/>
    </xf>
    <xf numFmtId="0" fontId="14" fillId="0" borderId="2" xfId="0" applyFont="1" applyBorder="1" applyAlignment="1">
      <alignment horizontal="right"/>
    </xf>
    <xf numFmtId="0" fontId="15" fillId="0" borderId="2" xfId="0" applyFont="1" applyBorder="1" applyAlignment="1">
      <alignment horizontal="left" wrapText="1"/>
    </xf>
    <xf numFmtId="0" fontId="22" fillId="0" borderId="2" xfId="0" applyFont="1" applyBorder="1" applyAlignment="1">
      <alignment wrapText="1"/>
    </xf>
    <xf numFmtId="0" fontId="14" fillId="0" borderId="2" xfId="0" applyFont="1" applyBorder="1" applyAlignment="1">
      <alignment horizontal="right" vertical="center"/>
    </xf>
    <xf numFmtId="164" fontId="19" fillId="0" borderId="38" xfId="0" applyNumberFormat="1" applyFont="1" applyBorder="1" applyAlignment="1">
      <alignment horizontal="center" vertical="center" wrapText="1"/>
    </xf>
    <xf numFmtId="164" fontId="19" fillId="0" borderId="29" xfId="0" applyNumberFormat="1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27" xfId="0" applyFont="1" applyBorder="1" applyAlignment="1">
      <alignment horizontal="center" wrapText="1"/>
    </xf>
    <xf numFmtId="0" fontId="22" fillId="0" borderId="4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49" fontId="22" fillId="0" borderId="4" xfId="0" applyNumberFormat="1" applyFont="1" applyBorder="1" applyAlignment="1">
      <alignment horizontal="left" wrapText="1"/>
    </xf>
    <xf numFmtId="49" fontId="0" fillId="0" borderId="2" xfId="0" applyNumberFormat="1" applyBorder="1" applyAlignment="1">
      <alignment horizontal="left" wrapText="1"/>
    </xf>
    <xf numFmtId="49" fontId="0" fillId="0" borderId="6" xfId="0" applyNumberFormat="1" applyBorder="1" applyAlignment="1">
      <alignment horizontal="left" wrapText="1"/>
    </xf>
    <xf numFmtId="0" fontId="18" fillId="0" borderId="4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24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9" xfId="0" quotePrefix="1" applyFont="1" applyBorder="1" applyAlignment="1">
      <alignment horizontal="center" vertical="center"/>
    </xf>
    <xf numFmtId="0" fontId="19" fillId="0" borderId="36" xfId="0" quotePrefix="1" applyFont="1" applyBorder="1" applyAlignment="1">
      <alignment horizontal="center" vertical="center"/>
    </xf>
    <xf numFmtId="0" fontId="19" fillId="0" borderId="31" xfId="0" quotePrefix="1" applyFont="1" applyBorder="1" applyAlignment="1">
      <alignment horizontal="center" vertical="center"/>
    </xf>
    <xf numFmtId="0" fontId="19" fillId="3" borderId="9" xfId="0" quotePrefix="1" applyFont="1" applyFill="1" applyBorder="1" applyAlignment="1">
      <alignment horizontal="center" vertical="center"/>
    </xf>
    <xf numFmtId="0" fontId="19" fillId="3" borderId="31" xfId="0" quotePrefix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/>
    </xf>
    <xf numFmtId="0" fontId="12" fillId="2" borderId="33" xfId="0" applyFont="1" applyFill="1" applyBorder="1" applyAlignment="1">
      <alignment horizontal="center" vertical="top" wrapText="1"/>
    </xf>
    <xf numFmtId="0" fontId="12" fillId="2" borderId="37" xfId="0" applyFont="1" applyFill="1" applyBorder="1" applyAlignment="1">
      <alignment horizontal="center" vertical="top" wrapText="1"/>
    </xf>
    <xf numFmtId="0" fontId="12" fillId="2" borderId="39" xfId="0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horizontal="center" vertical="top" wrapText="1"/>
    </xf>
    <xf numFmtId="0" fontId="12" fillId="2" borderId="34" xfId="0" applyFont="1" applyFill="1" applyBorder="1" applyAlignment="1">
      <alignment horizontal="center" vertical="top" wrapText="1"/>
    </xf>
    <xf numFmtId="0" fontId="12" fillId="2" borderId="26" xfId="0" applyFont="1" applyFill="1" applyBorder="1" applyAlignment="1">
      <alignment horizontal="center" vertical="top" wrapText="1"/>
    </xf>
    <xf numFmtId="0" fontId="19" fillId="0" borderId="36" xfId="0" applyFont="1" applyBorder="1" applyAlignment="1">
      <alignment horizontal="left"/>
    </xf>
    <xf numFmtId="0" fontId="19" fillId="0" borderId="28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61" fillId="0" borderId="1" xfId="13" applyFont="1" applyBorder="1" applyAlignment="1">
      <alignment horizontal="center" vertical="center" wrapText="1"/>
    </xf>
    <xf numFmtId="0" fontId="61" fillId="0" borderId="1" xfId="34" applyFont="1" applyBorder="1" applyAlignment="1">
      <alignment horizontal="center" vertical="center" wrapText="1"/>
    </xf>
    <xf numFmtId="0" fontId="61" fillId="0" borderId="1" xfId="34" applyFont="1" applyBorder="1" applyAlignment="1">
      <alignment wrapText="1"/>
    </xf>
    <xf numFmtId="0" fontId="39" fillId="0" borderId="1" xfId="34" applyFont="1" applyBorder="1" applyAlignment="1">
      <alignment horizontal="center" vertical="center" wrapText="1"/>
    </xf>
    <xf numFmtId="0" fontId="26" fillId="0" borderId="3" xfId="34" applyFont="1" applyBorder="1" applyAlignment="1">
      <alignment horizontal="center"/>
    </xf>
    <xf numFmtId="0" fontId="71" fillId="0" borderId="48" xfId="34" applyFont="1" applyBorder="1" applyAlignment="1">
      <alignment horizontal="center"/>
    </xf>
    <xf numFmtId="0" fontId="60" fillId="0" borderId="0" xfId="34" applyFont="1" applyAlignment="1">
      <alignment horizontal="center" vertical="center" wrapText="1"/>
    </xf>
    <xf numFmtId="0" fontId="60" fillId="0" borderId="0" xfId="34" applyFont="1" applyAlignment="1">
      <alignment horizontal="center" wrapText="1"/>
    </xf>
    <xf numFmtId="0" fontId="61" fillId="0" borderId="1" xfId="34" applyFont="1" applyBorder="1"/>
    <xf numFmtId="0" fontId="23" fillId="0" borderId="0" xfId="34" applyFont="1" applyAlignment="1">
      <alignment horizontal="left" wrapText="1"/>
    </xf>
    <xf numFmtId="0" fontId="64" fillId="0" borderId="1" xfId="34" applyFont="1" applyBorder="1" applyAlignment="1">
      <alignment horizontal="center"/>
    </xf>
    <xf numFmtId="0" fontId="61" fillId="0" borderId="1" xfId="34" applyFont="1" applyBorder="1" applyAlignment="1">
      <alignment horizontal="center" vertical="center"/>
    </xf>
    <xf numFmtId="0" fontId="61" fillId="0" borderId="0" xfId="13" applyFont="1" applyAlignment="1">
      <alignment horizontal="center" vertical="center" wrapText="1"/>
    </xf>
    <xf numFmtId="0" fontId="19" fillId="0" borderId="0" xfId="34" applyFont="1" applyAlignment="1">
      <alignment horizontal="center" vertical="center"/>
    </xf>
    <xf numFmtId="0" fontId="31" fillId="0" borderId="44" xfId="34" applyFont="1" applyBorder="1" applyAlignment="1">
      <alignment horizontal="center" vertical="center" wrapText="1"/>
    </xf>
    <xf numFmtId="0" fontId="31" fillId="0" borderId="8" xfId="34" applyFont="1" applyBorder="1" applyAlignment="1">
      <alignment horizontal="center" vertical="center" wrapText="1"/>
    </xf>
    <xf numFmtId="0" fontId="32" fillId="0" borderId="15" xfId="34" applyFont="1" applyBorder="1" applyAlignment="1">
      <alignment horizontal="center"/>
    </xf>
    <xf numFmtId="0" fontId="32" fillId="0" borderId="1" xfId="34" applyFont="1" applyBorder="1" applyAlignment="1">
      <alignment horizontal="center"/>
    </xf>
    <xf numFmtId="0" fontId="32" fillId="0" borderId="8" xfId="34" applyFont="1" applyBorder="1" applyAlignment="1">
      <alignment horizontal="center"/>
    </xf>
    <xf numFmtId="0" fontId="31" fillId="0" borderId="15" xfId="34" applyFont="1" applyBorder="1" applyAlignment="1">
      <alignment horizontal="center" vertical="center" wrapText="1"/>
    </xf>
    <xf numFmtId="0" fontId="31" fillId="0" borderId="15" xfId="34" applyFont="1" applyBorder="1" applyAlignment="1">
      <alignment wrapText="1"/>
    </xf>
    <xf numFmtId="0" fontId="12" fillId="0" borderId="43" xfId="34" applyFont="1" applyBorder="1" applyAlignment="1">
      <alignment horizontal="center" vertical="center" wrapText="1"/>
    </xf>
    <xf numFmtId="0" fontId="12" fillId="0" borderId="1" xfId="34" applyFont="1" applyBorder="1" applyAlignment="1">
      <alignment horizontal="center" vertical="center" wrapText="1"/>
    </xf>
    <xf numFmtId="0" fontId="31" fillId="0" borderId="1" xfId="34" applyFont="1" applyBorder="1" applyAlignment="1">
      <alignment horizontal="center" vertical="center" wrapText="1"/>
    </xf>
    <xf numFmtId="0" fontId="31" fillId="0" borderId="1" xfId="34" applyFont="1" applyBorder="1"/>
    <xf numFmtId="0" fontId="31" fillId="0" borderId="1" xfId="34" applyFont="1" applyBorder="1" applyAlignment="1">
      <alignment horizontal="center" vertical="center"/>
    </xf>
    <xf numFmtId="0" fontId="31" fillId="0" borderId="8" xfId="34" applyFont="1" applyBorder="1" applyAlignment="1">
      <alignment horizontal="center" vertical="center"/>
    </xf>
    <xf numFmtId="0" fontId="28" fillId="0" borderId="0" xfId="34" applyFont="1" applyAlignment="1">
      <alignment horizontal="center" wrapText="1"/>
    </xf>
    <xf numFmtId="0" fontId="30" fillId="0" borderId="0" xfId="34" applyFont="1" applyAlignment="1">
      <alignment horizontal="center" vertical="center"/>
    </xf>
    <xf numFmtId="0" fontId="30" fillId="0" borderId="0" xfId="34" applyFont="1" applyAlignment="1">
      <alignment horizontal="center" vertical="center" wrapText="1"/>
    </xf>
    <xf numFmtId="0" fontId="28" fillId="0" borderId="17" xfId="34" applyFont="1" applyBorder="1" applyAlignment="1">
      <alignment horizontal="center" vertical="center" wrapText="1"/>
    </xf>
    <xf numFmtId="0" fontId="28" fillId="0" borderId="34" xfId="34" applyFont="1" applyBorder="1" applyAlignment="1">
      <alignment horizontal="center" vertical="center" wrapText="1"/>
    </xf>
    <xf numFmtId="0" fontId="28" fillId="0" borderId="26" xfId="34" applyFont="1" applyBorder="1" applyAlignment="1">
      <alignment horizontal="center" vertical="center" wrapText="1"/>
    </xf>
    <xf numFmtId="0" fontId="31" fillId="0" borderId="31" xfId="34" applyFont="1" applyBorder="1" applyAlignment="1">
      <alignment horizontal="center" vertical="center" wrapText="1"/>
    </xf>
    <xf numFmtId="0" fontId="31" fillId="0" borderId="43" xfId="34" applyFont="1" applyBorder="1" applyAlignment="1">
      <alignment horizontal="center" vertical="center" wrapText="1"/>
    </xf>
    <xf numFmtId="0" fontId="28" fillId="0" borderId="0" xfId="34" applyFont="1" applyAlignment="1">
      <alignment horizontal="center" vertical="center" wrapText="1"/>
    </xf>
    <xf numFmtId="0" fontId="12" fillId="0" borderId="0" xfId="18" applyFont="1" applyAlignment="1">
      <alignment horizontal="left" vertical="center" wrapText="1"/>
    </xf>
    <xf numFmtId="3" fontId="23" fillId="0" borderId="0" xfId="26" applyNumberFormat="1" applyFont="1" applyAlignment="1">
      <alignment horizontal="right" vertical="center"/>
    </xf>
    <xf numFmtId="0" fontId="12" fillId="0" borderId="0" xfId="18" applyFont="1" applyAlignment="1">
      <alignment horizontal="left" vertical="center"/>
    </xf>
    <xf numFmtId="3" fontId="23" fillId="0" borderId="0" xfId="18" applyNumberFormat="1" applyFont="1" applyAlignment="1">
      <alignment horizontal="right" vertical="center"/>
    </xf>
    <xf numFmtId="164" fontId="30" fillId="0" borderId="0" xfId="26" applyNumberFormat="1" applyFont="1" applyAlignment="1">
      <alignment horizontal="left" vertical="center"/>
    </xf>
    <xf numFmtId="0" fontId="12" fillId="7" borderId="1" xfId="18" applyFont="1" applyFill="1" applyBorder="1" applyAlignment="1">
      <alignment horizontal="center" vertical="center" wrapText="1"/>
    </xf>
    <xf numFmtId="0" fontId="30" fillId="7" borderId="1" xfId="18" applyFont="1" applyFill="1" applyBorder="1" applyAlignment="1">
      <alignment horizontal="left" vertical="center" wrapText="1"/>
    </xf>
    <xf numFmtId="0" fontId="12" fillId="0" borderId="1" xfId="18" applyFont="1" applyBorder="1" applyAlignment="1">
      <alignment horizontal="center" vertical="center" wrapText="1"/>
    </xf>
    <xf numFmtId="0" fontId="42" fillId="0" borderId="1" xfId="18" applyFont="1" applyBorder="1" applyAlignment="1">
      <alignment horizontal="center" vertical="top"/>
    </xf>
    <xf numFmtId="0" fontId="12" fillId="0" borderId="1" xfId="26" applyFont="1" applyBorder="1" applyAlignment="1">
      <alignment horizontal="center" vertical="center" wrapText="1"/>
    </xf>
    <xf numFmtId="164" fontId="37" fillId="0" borderId="1" xfId="26" applyNumberFormat="1" applyFont="1" applyBorder="1" applyAlignment="1">
      <alignment horizontal="center" vertical="center"/>
    </xf>
    <xf numFmtId="0" fontId="29" fillId="0" borderId="0" xfId="26" applyFont="1" applyAlignment="1">
      <alignment horizontal="left"/>
    </xf>
    <xf numFmtId="0" fontId="37" fillId="0" borderId="3" xfId="26" applyFont="1" applyBorder="1" applyAlignment="1">
      <alignment horizontal="left" wrapText="1"/>
    </xf>
    <xf numFmtId="0" fontId="19" fillId="0" borderId="0" xfId="26" applyFont="1" applyAlignment="1">
      <alignment horizontal="left" vertical="top"/>
    </xf>
    <xf numFmtId="166" fontId="39" fillId="0" borderId="0" xfId="27" applyFont="1" applyBorder="1" applyAlignment="1" applyProtection="1">
      <alignment horizontal="center" vertical="center" wrapText="1"/>
    </xf>
    <xf numFmtId="166" fontId="39" fillId="0" borderId="0" xfId="21" applyFont="1" applyBorder="1" applyAlignment="1" applyProtection="1">
      <alignment horizontal="center" vertical="center" wrapText="1"/>
    </xf>
    <xf numFmtId="0" fontId="40" fillId="0" borderId="0" xfId="18" applyFont="1" applyAlignment="1">
      <alignment horizontal="center" vertical="center"/>
    </xf>
    <xf numFmtId="0" fontId="37" fillId="0" borderId="3" xfId="26" applyFont="1" applyBorder="1" applyAlignment="1">
      <alignment horizontal="left" vertical="center"/>
    </xf>
    <xf numFmtId="0" fontId="32" fillId="0" borderId="0" xfId="26" applyFont="1" applyAlignment="1">
      <alignment horizontal="center" vertical="top"/>
    </xf>
    <xf numFmtId="0" fontId="19" fillId="0" borderId="0" xfId="26" applyFont="1" applyAlignment="1">
      <alignment horizontal="center" vertical="top"/>
    </xf>
    <xf numFmtId="0" fontId="29" fillId="0" borderId="3" xfId="26" applyFont="1" applyBorder="1" applyAlignment="1">
      <alignment horizontal="right"/>
    </xf>
    <xf numFmtId="0" fontId="37" fillId="0" borderId="3" xfId="26" applyFont="1" applyBorder="1" applyAlignment="1">
      <alignment horizontal="right"/>
    </xf>
    <xf numFmtId="0" fontId="31" fillId="0" borderId="4" xfId="17" applyFont="1" applyBorder="1" applyAlignment="1">
      <alignment horizontal="center" vertical="center"/>
    </xf>
    <xf numFmtId="0" fontId="31" fillId="0" borderId="2" xfId="17" applyFont="1" applyBorder="1" applyAlignment="1">
      <alignment horizontal="center" vertical="center"/>
    </xf>
    <xf numFmtId="0" fontId="31" fillId="0" borderId="6" xfId="17" applyFont="1" applyBorder="1" applyAlignment="1">
      <alignment horizontal="center" vertical="center"/>
    </xf>
    <xf numFmtId="0" fontId="31" fillId="0" borderId="4" xfId="17" applyFont="1" applyBorder="1" applyAlignment="1">
      <alignment horizontal="left" vertical="center" wrapText="1"/>
    </xf>
    <xf numFmtId="0" fontId="31" fillId="0" borderId="6" xfId="17" applyFont="1" applyBorder="1" applyAlignment="1">
      <alignment horizontal="left" vertical="center" wrapText="1"/>
    </xf>
    <xf numFmtId="0" fontId="31" fillId="0" borderId="4" xfId="17" applyFont="1" applyBorder="1" applyAlignment="1">
      <alignment horizontal="left"/>
    </xf>
    <xf numFmtId="0" fontId="31" fillId="0" borderId="6" xfId="17" applyFont="1" applyBorder="1" applyAlignment="1">
      <alignment horizontal="left"/>
    </xf>
    <xf numFmtId="0" fontId="49" fillId="0" borderId="0" xfId="17" applyFont="1" applyAlignment="1">
      <alignment horizontal="left"/>
    </xf>
    <xf numFmtId="0" fontId="52" fillId="0" borderId="1" xfId="17" applyFont="1" applyBorder="1" applyAlignment="1">
      <alignment horizontal="center" vertical="center" wrapText="1"/>
    </xf>
    <xf numFmtId="0" fontId="32" fillId="0" borderId="1" xfId="17" applyFont="1" applyBorder="1" applyAlignment="1">
      <alignment horizontal="center" vertical="center"/>
    </xf>
    <xf numFmtId="0" fontId="31" fillId="0" borderId="4" xfId="17" applyFont="1" applyBorder="1" applyAlignment="1">
      <alignment horizontal="left" vertical="center"/>
    </xf>
    <xf numFmtId="0" fontId="31" fillId="0" borderId="2" xfId="17" applyFont="1" applyBorder="1" applyAlignment="1">
      <alignment horizontal="left" vertical="center"/>
    </xf>
    <xf numFmtId="0" fontId="46" fillId="0" borderId="0" xfId="17" applyFont="1" applyAlignment="1">
      <alignment horizontal="center"/>
    </xf>
    <xf numFmtId="0" fontId="47" fillId="0" borderId="0" xfId="17" applyFont="1" applyAlignment="1">
      <alignment horizontal="center"/>
    </xf>
    <xf numFmtId="0" fontId="48" fillId="0" borderId="0" xfId="17" applyFont="1" applyAlignment="1">
      <alignment horizontal="center"/>
    </xf>
    <xf numFmtId="0" fontId="52" fillId="0" borderId="1" xfId="17" applyFont="1" applyBorder="1" applyAlignment="1">
      <alignment horizontal="center" vertical="center"/>
    </xf>
  </cellXfs>
  <cellStyles count="53">
    <cellStyle name="Excel Built-in Normal" xfId="5" xr:uid="{00000000-0005-0000-0000-000000000000}"/>
    <cellStyle name="Excel Built-in Normal 1" xfId="1" xr:uid="{00000000-0005-0000-0000-000001000000}"/>
    <cellStyle name="Excel Built-in Normal 1 2" xfId="18" xr:uid="{00000000-0005-0000-0000-000002000000}"/>
    <cellStyle name="Гиперссылка 2" xfId="19" xr:uid="{00000000-0005-0000-0000-000003000000}"/>
    <cellStyle name="Денежный 2" xfId="8" xr:uid="{00000000-0005-0000-0000-000004000000}"/>
    <cellStyle name="Денежный 2 2" xfId="20" xr:uid="{00000000-0005-0000-0000-000005000000}"/>
    <cellStyle name="Денежный 2 2 2" xfId="48" xr:uid="{00000000-0005-0000-0000-000006000000}"/>
    <cellStyle name="Денежный 2 3" xfId="27" xr:uid="{00000000-0005-0000-0000-000007000000}"/>
    <cellStyle name="Денежный 2 4" xfId="40" xr:uid="{00000000-0005-0000-0000-000008000000}"/>
    <cellStyle name="Денежный 3" xfId="21" xr:uid="{00000000-0005-0000-0000-000009000000}"/>
    <cellStyle name="Денежный 4" xfId="22" xr:uid="{00000000-0005-0000-0000-00000A000000}"/>
    <cellStyle name="Звичайний" xfId="0" builtinId="0"/>
    <cellStyle name="Обычный 2" xfId="2" xr:uid="{00000000-0005-0000-0000-00000C000000}"/>
    <cellStyle name="Обычный 2 2" xfId="4" xr:uid="{00000000-0005-0000-0000-00000D000000}"/>
    <cellStyle name="Обычный 2 2 2" xfId="16" xr:uid="{00000000-0005-0000-0000-00000E000000}"/>
    <cellStyle name="Обычный 2 2 2 2" xfId="46" xr:uid="{00000000-0005-0000-0000-00000F000000}"/>
    <cellStyle name="Обычный 2 2 3" xfId="38" xr:uid="{00000000-0005-0000-0000-000010000000}"/>
    <cellStyle name="Обычный 2 3" xfId="14" xr:uid="{00000000-0005-0000-0000-000011000000}"/>
    <cellStyle name="Обычный 2 4" xfId="37" xr:uid="{00000000-0005-0000-0000-000012000000}"/>
    <cellStyle name="Обычный 3" xfId="3" xr:uid="{00000000-0005-0000-0000-000013000000}"/>
    <cellStyle name="Обычный 3 2" xfId="13" xr:uid="{00000000-0005-0000-0000-000014000000}"/>
    <cellStyle name="Обычный 3 2 2" xfId="33" xr:uid="{00000000-0005-0000-0000-000015000000}"/>
    <cellStyle name="Обычный 3 3" xfId="15" xr:uid="{00000000-0005-0000-0000-000016000000}"/>
    <cellStyle name="Обычный 3 3 2" xfId="45" xr:uid="{00000000-0005-0000-0000-000017000000}"/>
    <cellStyle name="Обычный 3 4" xfId="32" xr:uid="{00000000-0005-0000-0000-000018000000}"/>
    <cellStyle name="Обычный 3 5" xfId="36" xr:uid="{00000000-0005-0000-0000-000019000000}"/>
    <cellStyle name="Обычный 4" xfId="6" xr:uid="{00000000-0005-0000-0000-00001A000000}"/>
    <cellStyle name="Обычный 4 2" xfId="12" xr:uid="{00000000-0005-0000-0000-00001B000000}"/>
    <cellStyle name="Обычный 4 2 2" xfId="30" xr:uid="{00000000-0005-0000-0000-00001C000000}"/>
    <cellStyle name="Обычный 4 2 3" xfId="44" xr:uid="{00000000-0005-0000-0000-00001D000000}"/>
    <cellStyle name="Обычный 4 3" xfId="31" xr:uid="{00000000-0005-0000-0000-00001E000000}"/>
    <cellStyle name="Обычный 4 4" xfId="35" xr:uid="{00000000-0005-0000-0000-00001F000000}"/>
    <cellStyle name="Обычный 5" xfId="7" xr:uid="{00000000-0005-0000-0000-000020000000}"/>
    <cellStyle name="Обычный 5 2" xfId="23" xr:uid="{00000000-0005-0000-0000-000021000000}"/>
    <cellStyle name="Обычный 5 2 2" xfId="47" xr:uid="{00000000-0005-0000-0000-000022000000}"/>
    <cellStyle name="Обычный 5 3" xfId="26" xr:uid="{00000000-0005-0000-0000-000023000000}"/>
    <cellStyle name="Обычный 5 4" xfId="39" xr:uid="{00000000-0005-0000-0000-000024000000}"/>
    <cellStyle name="Обычный 6" xfId="10" xr:uid="{00000000-0005-0000-0000-000025000000}"/>
    <cellStyle name="Обычный 6 2" xfId="24" xr:uid="{00000000-0005-0000-0000-000026000000}"/>
    <cellStyle name="Обычный 6 2 2" xfId="50" xr:uid="{00000000-0005-0000-0000-000027000000}"/>
    <cellStyle name="Обычный 6 3" xfId="51" xr:uid="{00000000-0005-0000-0000-000028000000}"/>
    <cellStyle name="Обычный 6 4" xfId="42" xr:uid="{00000000-0005-0000-0000-000029000000}"/>
    <cellStyle name="Обычный 7" xfId="11" xr:uid="{00000000-0005-0000-0000-00002A000000}"/>
    <cellStyle name="Обычный 7 2" xfId="43" xr:uid="{00000000-0005-0000-0000-00002B000000}"/>
    <cellStyle name="Обычный 8" xfId="17" xr:uid="{00000000-0005-0000-0000-00002C000000}"/>
    <cellStyle name="Обычный 8 2" xfId="29" xr:uid="{00000000-0005-0000-0000-00002D000000}"/>
    <cellStyle name="Обычный 8 3" xfId="52" xr:uid="{00000000-0005-0000-0000-00002E000000}"/>
    <cellStyle name="Обычный 9" xfId="34" xr:uid="{00000000-0005-0000-0000-00002F000000}"/>
    <cellStyle name="Процентный 2" xfId="9" xr:uid="{00000000-0005-0000-0000-000030000000}"/>
    <cellStyle name="Процентный 2 2" xfId="25" xr:uid="{00000000-0005-0000-0000-000031000000}"/>
    <cellStyle name="Процентный 2 2 2" xfId="49" xr:uid="{00000000-0005-0000-0000-000032000000}"/>
    <cellStyle name="Процентный 2 3" xfId="28" xr:uid="{00000000-0005-0000-0000-000033000000}"/>
    <cellStyle name="Процентный 2 4" xfId="41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95"/>
  <sheetViews>
    <sheetView view="pageBreakPreview" topLeftCell="A48" zoomScaleNormal="75" zoomScaleSheetLayoutView="100" workbookViewId="0">
      <selection activeCell="F60" sqref="F60"/>
    </sheetView>
  </sheetViews>
  <sheetFormatPr defaultColWidth="11" defaultRowHeight="15"/>
  <cols>
    <col min="1" max="1" width="34.109375" style="23" customWidth="1"/>
    <col min="2" max="2" width="8.33203125" style="3" customWidth="1"/>
    <col min="3" max="3" width="11" style="3" customWidth="1"/>
    <col min="4" max="4" width="12.6640625" style="3" customWidth="1"/>
    <col min="5" max="5" width="12.109375" style="123" customWidth="1"/>
    <col min="6" max="6" width="11.109375" style="8" customWidth="1"/>
    <col min="7" max="7" width="11" style="8" customWidth="1"/>
    <col min="8" max="8" width="10.88671875" style="8" customWidth="1"/>
    <col min="9" max="9" width="12.88671875" style="8" customWidth="1"/>
    <col min="10" max="10" width="33" style="8" customWidth="1"/>
    <col min="11" max="16384" width="11" style="8"/>
  </cols>
  <sheetData>
    <row r="1" spans="1:13" ht="15.75" hidden="1" customHeight="1">
      <c r="A1" s="63"/>
      <c r="B1" s="18"/>
      <c r="C1" s="18" t="e">
        <f>#REF!/1000</f>
        <v>#REF!</v>
      </c>
      <c r="D1" s="18"/>
      <c r="E1" s="19"/>
      <c r="F1" s="19" t="e">
        <f>#REF!/1000</f>
        <v>#REF!</v>
      </c>
      <c r="G1" s="19"/>
      <c r="H1" s="19"/>
      <c r="I1" s="19" t="e">
        <f>#REF!/1000</f>
        <v>#REF!</v>
      </c>
      <c r="J1" s="19"/>
      <c r="K1" s="19" t="e">
        <f>#REF!/1000</f>
        <v>#REF!</v>
      </c>
      <c r="L1" s="19"/>
      <c r="M1" s="19"/>
    </row>
    <row r="2" spans="1:13" ht="15.75" hidden="1" customHeight="1">
      <c r="A2" s="64"/>
      <c r="B2" s="4"/>
      <c r="C2" s="4"/>
      <c r="D2" s="4"/>
      <c r="E2" s="120"/>
      <c r="F2" s="523" t="s">
        <v>72</v>
      </c>
      <c r="G2" s="523"/>
      <c r="H2" s="523"/>
      <c r="I2" s="523"/>
    </row>
    <row r="3" spans="1:13" ht="15.75" hidden="1" customHeight="1">
      <c r="A3" s="64"/>
      <c r="B3" s="4"/>
      <c r="C3" s="4"/>
      <c r="D3" s="4"/>
      <c r="E3" s="120"/>
      <c r="F3" s="523" t="s">
        <v>73</v>
      </c>
      <c r="G3" s="523"/>
      <c r="H3" s="523"/>
      <c r="I3" s="523"/>
    </row>
    <row r="4" spans="1:13" ht="15.75" hidden="1" customHeight="1">
      <c r="A4" s="64"/>
      <c r="B4" s="4"/>
      <c r="C4" s="4"/>
      <c r="D4" s="4"/>
      <c r="E4" s="120"/>
      <c r="F4" s="523" t="s">
        <v>74</v>
      </c>
      <c r="G4" s="523"/>
      <c r="H4" s="523"/>
      <c r="I4" s="523"/>
    </row>
    <row r="5" spans="1:13" ht="11.25" hidden="1" customHeight="1">
      <c r="A5" s="65"/>
      <c r="B5" s="4"/>
      <c r="C5" s="4"/>
      <c r="D5" s="4"/>
      <c r="E5" s="121"/>
      <c r="F5" s="4"/>
      <c r="G5" s="7"/>
      <c r="H5" s="7"/>
      <c r="I5" s="7"/>
    </row>
    <row r="6" spans="1:13" ht="46.5" customHeight="1">
      <c r="A6" s="65"/>
      <c r="B6" s="4"/>
      <c r="C6" s="4"/>
      <c r="D6" s="4"/>
      <c r="E6" s="121"/>
      <c r="F6" s="4"/>
      <c r="G6" s="524" t="s">
        <v>256</v>
      </c>
      <c r="H6" s="524"/>
      <c r="I6" s="524"/>
    </row>
    <row r="7" spans="1:13" ht="9.75" customHeight="1">
      <c r="A7" s="65"/>
      <c r="B7" s="4"/>
      <c r="C7" s="4"/>
      <c r="D7" s="4"/>
      <c r="E7" s="121"/>
      <c r="F7" s="4"/>
      <c r="G7" s="140"/>
      <c r="H7" s="140"/>
      <c r="I7" s="140"/>
    </row>
    <row r="8" spans="1:13" ht="15.6">
      <c r="A8" s="66"/>
      <c r="B8" s="4"/>
      <c r="C8" s="4"/>
      <c r="D8" s="4"/>
      <c r="E8" s="121"/>
      <c r="F8" s="523"/>
      <c r="G8" s="523"/>
      <c r="H8" s="523"/>
      <c r="I8" s="1" t="s">
        <v>33</v>
      </c>
    </row>
    <row r="9" spans="1:13" ht="15.6">
      <c r="A9" s="66" t="s">
        <v>2</v>
      </c>
      <c r="B9" s="4"/>
      <c r="C9" s="4"/>
      <c r="D9" s="4"/>
      <c r="E9" s="120"/>
      <c r="F9" s="4"/>
      <c r="G9" s="4"/>
      <c r="H9" s="9" t="s">
        <v>34</v>
      </c>
      <c r="I9" s="1">
        <v>2026</v>
      </c>
    </row>
    <row r="10" spans="1:13" ht="36" customHeight="1">
      <c r="A10" s="520" t="s">
        <v>254</v>
      </c>
      <c r="B10" s="520"/>
      <c r="C10" s="520"/>
      <c r="D10" s="520"/>
      <c r="E10" s="520"/>
      <c r="F10" s="520"/>
      <c r="G10" s="521" t="s">
        <v>3</v>
      </c>
      <c r="H10" s="522"/>
      <c r="I10" s="1">
        <v>41779965</v>
      </c>
    </row>
    <row r="11" spans="1:13" ht="15.6">
      <c r="A11" s="10" t="s">
        <v>22</v>
      </c>
      <c r="B11" s="525" t="s">
        <v>66</v>
      </c>
      <c r="C11" s="525"/>
      <c r="D11" s="525"/>
      <c r="E11" s="525"/>
      <c r="F11" s="525"/>
      <c r="G11" s="526" t="s">
        <v>13</v>
      </c>
      <c r="H11" s="526"/>
      <c r="I11" s="1">
        <v>150</v>
      </c>
    </row>
    <row r="12" spans="1:13" ht="15.6">
      <c r="A12" s="10" t="s">
        <v>35</v>
      </c>
      <c r="B12" s="527" t="s">
        <v>252</v>
      </c>
      <c r="C12" s="527"/>
      <c r="D12" s="527"/>
      <c r="E12" s="527"/>
      <c r="F12" s="527"/>
      <c r="G12" s="526" t="s">
        <v>36</v>
      </c>
      <c r="H12" s="526"/>
      <c r="I12" s="1">
        <v>511700000</v>
      </c>
    </row>
    <row r="13" spans="1:13" ht="15.6">
      <c r="A13" s="10" t="s">
        <v>87</v>
      </c>
      <c r="B13" s="528" t="s">
        <v>255</v>
      </c>
      <c r="C13" s="528"/>
      <c r="D13" s="528"/>
      <c r="E13" s="528"/>
      <c r="F13" s="528"/>
      <c r="G13" s="526"/>
      <c r="H13" s="526"/>
      <c r="I13" s="1"/>
    </row>
    <row r="14" spans="1:13" ht="15.6">
      <c r="A14" s="10" t="s">
        <v>23</v>
      </c>
      <c r="B14" s="525" t="s">
        <v>88</v>
      </c>
      <c r="C14" s="525"/>
      <c r="D14" s="525"/>
      <c r="E14" s="525"/>
      <c r="F14" s="525"/>
      <c r="G14" s="526"/>
      <c r="H14" s="526"/>
      <c r="I14" s="1"/>
    </row>
    <row r="15" spans="1:13" ht="31.5" customHeight="1">
      <c r="A15" s="10" t="s">
        <v>380</v>
      </c>
      <c r="B15" s="525"/>
      <c r="C15" s="525"/>
      <c r="D15" s="525"/>
      <c r="E15" s="525"/>
      <c r="F15" s="525"/>
      <c r="G15" s="529" t="s">
        <v>4</v>
      </c>
      <c r="H15" s="529"/>
      <c r="I15" s="510" t="s">
        <v>67</v>
      </c>
    </row>
    <row r="16" spans="1:13" ht="15.6">
      <c r="A16" s="10" t="s">
        <v>89</v>
      </c>
      <c r="B16" s="525" t="s">
        <v>90</v>
      </c>
      <c r="C16" s="525"/>
      <c r="D16" s="525"/>
      <c r="E16" s="525"/>
      <c r="F16" s="525"/>
      <c r="G16" s="526"/>
      <c r="H16" s="526"/>
      <c r="I16" s="1"/>
    </row>
    <row r="17" spans="1:9" ht="15.6">
      <c r="A17" s="10" t="s">
        <v>37</v>
      </c>
      <c r="B17" s="525" t="s">
        <v>91</v>
      </c>
      <c r="C17" s="525"/>
      <c r="D17" s="525"/>
      <c r="E17" s="525"/>
      <c r="F17" s="525"/>
      <c r="G17" s="526"/>
      <c r="H17" s="526"/>
      <c r="I17" s="1"/>
    </row>
    <row r="18" spans="1:9" ht="15.6">
      <c r="A18" s="10" t="s">
        <v>38</v>
      </c>
      <c r="B18" s="20">
        <v>25</v>
      </c>
      <c r="C18" s="5"/>
      <c r="D18" s="5"/>
      <c r="E18" s="122"/>
      <c r="F18" s="21"/>
      <c r="G18" s="2"/>
      <c r="H18" s="2"/>
      <c r="I18" s="1"/>
    </row>
    <row r="19" spans="1:9" ht="15.6">
      <c r="A19" s="10" t="s">
        <v>19</v>
      </c>
      <c r="B19" s="535" t="s">
        <v>382</v>
      </c>
      <c r="C19" s="536"/>
      <c r="D19" s="536"/>
      <c r="E19" s="536"/>
      <c r="F19" s="536"/>
      <c r="G19" s="536"/>
      <c r="H19" s="537"/>
      <c r="I19" s="22"/>
    </row>
    <row r="20" spans="1:9" ht="15.6">
      <c r="A20" s="10" t="s">
        <v>20</v>
      </c>
      <c r="B20" s="538" t="s">
        <v>381</v>
      </c>
      <c r="C20" s="539"/>
      <c r="D20" s="539"/>
      <c r="E20" s="539"/>
      <c r="F20" s="539"/>
      <c r="G20" s="539"/>
      <c r="H20" s="540"/>
      <c r="I20" s="22"/>
    </row>
    <row r="21" spans="1:9" ht="15.6">
      <c r="A21" s="10" t="s">
        <v>21</v>
      </c>
      <c r="B21" s="541" t="s">
        <v>377</v>
      </c>
      <c r="C21" s="542"/>
      <c r="D21" s="542"/>
      <c r="E21" s="542"/>
      <c r="F21" s="542"/>
      <c r="G21" s="542"/>
      <c r="H21" s="543"/>
      <c r="I21" s="22"/>
    </row>
    <row r="22" spans="1:9" ht="11.25" customHeight="1"/>
    <row r="23" spans="1:9" ht="20.399999999999999">
      <c r="A23" s="545" t="s">
        <v>228</v>
      </c>
      <c r="B23" s="545"/>
      <c r="C23" s="545"/>
      <c r="D23" s="545"/>
      <c r="E23" s="545"/>
      <c r="F23" s="545"/>
      <c r="G23" s="545"/>
      <c r="H23" s="545"/>
      <c r="I23" s="545"/>
    </row>
    <row r="24" spans="1:9" ht="21" thickBot="1">
      <c r="A24" s="557" t="s">
        <v>413</v>
      </c>
      <c r="B24" s="557"/>
      <c r="C24" s="557"/>
      <c r="D24" s="557"/>
      <c r="E24" s="557"/>
      <c r="F24" s="557"/>
      <c r="G24" s="557"/>
      <c r="H24" s="557"/>
      <c r="I24" s="557"/>
    </row>
    <row r="25" spans="1:9" ht="18.75" customHeight="1" thickBot="1">
      <c r="A25" s="558" t="s">
        <v>39</v>
      </c>
      <c r="B25" s="559"/>
      <c r="C25" s="559"/>
      <c r="D25" s="559"/>
      <c r="E25" s="559"/>
      <c r="F25" s="559"/>
      <c r="G25" s="559"/>
      <c r="H25" s="559"/>
      <c r="I25" s="560"/>
    </row>
    <row r="26" spans="1:9" ht="16.5" customHeight="1" thickBot="1">
      <c r="A26" s="561" t="s">
        <v>40</v>
      </c>
      <c r="B26" s="562"/>
      <c r="C26" s="562"/>
      <c r="D26" s="562"/>
      <c r="E26" s="562"/>
      <c r="F26" s="562"/>
      <c r="G26" s="562"/>
      <c r="H26" s="562"/>
      <c r="I26" s="563"/>
    </row>
    <row r="27" spans="1:9" ht="18.600000000000001" customHeight="1">
      <c r="A27" s="564"/>
      <c r="B27" s="565" t="s">
        <v>24</v>
      </c>
      <c r="C27" s="566" t="s">
        <v>378</v>
      </c>
      <c r="D27" s="566" t="s">
        <v>388</v>
      </c>
      <c r="E27" s="530" t="s">
        <v>379</v>
      </c>
      <c r="F27" s="532" t="s">
        <v>383</v>
      </c>
      <c r="G27" s="533"/>
      <c r="H27" s="533"/>
      <c r="I27" s="534"/>
    </row>
    <row r="28" spans="1:9" ht="43.5" customHeight="1" thickBot="1">
      <c r="A28" s="564"/>
      <c r="B28" s="565"/>
      <c r="C28" s="567"/>
      <c r="D28" s="567"/>
      <c r="E28" s="531"/>
      <c r="F28" s="83" t="s">
        <v>384</v>
      </c>
      <c r="G28" s="83" t="s">
        <v>385</v>
      </c>
      <c r="H28" s="83" t="s">
        <v>386</v>
      </c>
      <c r="I28" s="84" t="s">
        <v>387</v>
      </c>
    </row>
    <row r="29" spans="1:9" ht="16.5" customHeight="1" thickBot="1">
      <c r="A29" s="67" t="s">
        <v>50</v>
      </c>
      <c r="B29" s="546"/>
      <c r="C29" s="547"/>
      <c r="D29" s="547"/>
      <c r="E29" s="547"/>
      <c r="F29" s="547"/>
      <c r="G29" s="547"/>
      <c r="H29" s="547"/>
      <c r="I29" s="548"/>
    </row>
    <row r="30" spans="1:9" ht="60" customHeight="1">
      <c r="A30" s="24" t="s">
        <v>389</v>
      </c>
      <c r="B30" s="25" t="s">
        <v>14</v>
      </c>
      <c r="C30" s="26"/>
      <c r="D30" s="26"/>
      <c r="E30" s="27"/>
      <c r="F30" s="27"/>
      <c r="G30" s="27"/>
      <c r="H30" s="27"/>
      <c r="I30" s="28"/>
    </row>
    <row r="31" spans="1:9" ht="18.75" customHeight="1">
      <c r="A31" s="29" t="s">
        <v>30</v>
      </c>
      <c r="B31" s="30" t="s">
        <v>15</v>
      </c>
      <c r="C31" s="31"/>
      <c r="D31" s="31"/>
      <c r="E31" s="32"/>
      <c r="F31" s="32"/>
      <c r="G31" s="32"/>
      <c r="H31" s="32"/>
      <c r="I31" s="33"/>
    </row>
    <row r="32" spans="1:9" ht="18.75" customHeight="1">
      <c r="A32" s="29" t="s">
        <v>41</v>
      </c>
      <c r="B32" s="30" t="s">
        <v>16</v>
      </c>
      <c r="C32" s="31"/>
      <c r="D32" s="31"/>
      <c r="E32" s="32"/>
      <c r="F32" s="32"/>
      <c r="G32" s="32"/>
      <c r="H32" s="32"/>
      <c r="I32" s="33"/>
    </row>
    <row r="33" spans="1:10" ht="29.25" customHeight="1">
      <c r="A33" s="34" t="s">
        <v>101</v>
      </c>
      <c r="B33" s="30" t="s">
        <v>17</v>
      </c>
      <c r="C33" s="31"/>
      <c r="D33" s="31"/>
      <c r="E33" s="32"/>
      <c r="F33" s="32"/>
      <c r="G33" s="32"/>
      <c r="H33" s="32"/>
      <c r="I33" s="33"/>
    </row>
    <row r="34" spans="1:10" s="11" customFormat="1" ht="58.5" customHeight="1">
      <c r="A34" s="35" t="s">
        <v>390</v>
      </c>
      <c r="B34" s="30" t="s">
        <v>42</v>
      </c>
      <c r="C34" s="31"/>
      <c r="D34" s="31"/>
      <c r="E34" s="32"/>
      <c r="F34" s="32"/>
      <c r="G34" s="32"/>
      <c r="H34" s="32"/>
      <c r="I34" s="33"/>
    </row>
    <row r="35" spans="1:10" ht="30" customHeight="1">
      <c r="A35" s="34" t="s">
        <v>102</v>
      </c>
      <c r="B35" s="30" t="s">
        <v>43</v>
      </c>
      <c r="C35" s="31"/>
      <c r="D35" s="31"/>
      <c r="E35" s="32"/>
      <c r="F35" s="32"/>
      <c r="G35" s="32"/>
      <c r="H35" s="32"/>
      <c r="I35" s="33"/>
    </row>
    <row r="36" spans="1:10" ht="31.2">
      <c r="A36" s="34" t="s">
        <v>103</v>
      </c>
      <c r="B36" s="30" t="s">
        <v>44</v>
      </c>
      <c r="C36" s="31"/>
      <c r="D36" s="31"/>
      <c r="E36" s="32"/>
      <c r="F36" s="32"/>
      <c r="G36" s="32"/>
      <c r="H36" s="32"/>
      <c r="I36" s="33"/>
    </row>
    <row r="37" spans="1:10" ht="46.8">
      <c r="A37" s="34" t="s">
        <v>391</v>
      </c>
      <c r="B37" s="86" t="s">
        <v>68</v>
      </c>
      <c r="C37" s="17">
        <v>17079.169999999998</v>
      </c>
      <c r="D37" s="511">
        <v>20158.71</v>
      </c>
      <c r="E37" s="36">
        <f>SUM(F37:I37)</f>
        <v>11945.77</v>
      </c>
      <c r="F37" s="32">
        <v>3267.27</v>
      </c>
      <c r="G37" s="32">
        <v>3272.33</v>
      </c>
      <c r="H37" s="32">
        <v>2690.14</v>
      </c>
      <c r="I37" s="33">
        <v>2716.03</v>
      </c>
      <c r="J37" s="16"/>
    </row>
    <row r="38" spans="1:10" ht="30.75" customHeight="1">
      <c r="A38" s="141" t="s">
        <v>392</v>
      </c>
      <c r="B38" s="86"/>
      <c r="C38" s="17">
        <v>900</v>
      </c>
      <c r="D38" s="511"/>
      <c r="E38" s="36"/>
      <c r="F38" s="32"/>
      <c r="G38" s="32"/>
      <c r="H38" s="32"/>
      <c r="I38" s="33"/>
    </row>
    <row r="39" spans="1:10" ht="31.8" thickBot="1">
      <c r="A39" s="68" t="s">
        <v>395</v>
      </c>
      <c r="B39" s="82" t="s">
        <v>45</v>
      </c>
      <c r="C39" s="31">
        <v>1129.96</v>
      </c>
      <c r="D39" s="517">
        <v>631.12</v>
      </c>
      <c r="E39" s="36">
        <f>SUM(F39:I39)</f>
        <v>437.40999999999997</v>
      </c>
      <c r="F39" s="32">
        <v>109.36</v>
      </c>
      <c r="G39" s="32">
        <v>109.35</v>
      </c>
      <c r="H39" s="32">
        <v>109.35</v>
      </c>
      <c r="I39" s="33">
        <v>109.35</v>
      </c>
    </row>
    <row r="40" spans="1:10" s="138" customFormat="1" ht="19.5" customHeight="1" thickBot="1">
      <c r="A40" s="133" t="s">
        <v>32</v>
      </c>
      <c r="B40" s="134" t="s">
        <v>46</v>
      </c>
      <c r="C40" s="135">
        <f>C37+C38+C34+C39</f>
        <v>19109.129999999997</v>
      </c>
      <c r="D40" s="136">
        <f t="shared" ref="D40:I40" si="0">D37+D38+D39</f>
        <v>20789.829999999998</v>
      </c>
      <c r="E40" s="136">
        <f t="shared" si="0"/>
        <v>12383.18</v>
      </c>
      <c r="F40" s="136">
        <f t="shared" si="0"/>
        <v>3376.63</v>
      </c>
      <c r="G40" s="136">
        <f t="shared" si="0"/>
        <v>3381.68</v>
      </c>
      <c r="H40" s="136">
        <f t="shared" si="0"/>
        <v>2799.49</v>
      </c>
      <c r="I40" s="136">
        <f t="shared" si="0"/>
        <v>2825.38</v>
      </c>
      <c r="J40" s="139"/>
    </row>
    <row r="41" spans="1:10" ht="18.75" customHeight="1" thickBot="1">
      <c r="A41" s="89" t="s">
        <v>51</v>
      </c>
      <c r="B41" s="90"/>
      <c r="C41" s="91"/>
      <c r="D41" s="92"/>
      <c r="E41" s="125"/>
      <c r="F41" s="93"/>
      <c r="G41" s="93"/>
      <c r="H41" s="93"/>
      <c r="I41" s="94"/>
    </row>
    <row r="42" spans="1:10" ht="47.25" customHeight="1" thickBot="1">
      <c r="A42" s="69" t="s">
        <v>393</v>
      </c>
      <c r="B42" s="85" t="s">
        <v>93</v>
      </c>
      <c r="C42" s="131">
        <v>17979.169999999998</v>
      </c>
      <c r="D42" s="124">
        <f>D43</f>
        <v>20158.709999999995</v>
      </c>
      <c r="E42" s="124">
        <f>E43</f>
        <v>12383.171</v>
      </c>
      <c r="F42" s="124">
        <f t="shared" ref="F42" si="1">F43</f>
        <v>3376.6210000000005</v>
      </c>
      <c r="G42" s="124">
        <f t="shared" ref="G42" si="2">G43</f>
        <v>3381.6799999999994</v>
      </c>
      <c r="H42" s="124">
        <f t="shared" ref="H42" si="3">H43</f>
        <v>2799.49</v>
      </c>
      <c r="I42" s="142">
        <f t="shared" ref="I42" si="4">I43</f>
        <v>2825.38</v>
      </c>
      <c r="J42" s="16"/>
    </row>
    <row r="43" spans="1:10" ht="33.75" customHeight="1" thickBot="1">
      <c r="A43" s="70" t="s">
        <v>394</v>
      </c>
      <c r="B43" s="85" t="s">
        <v>25</v>
      </c>
      <c r="C43" s="131">
        <v>17979.169999999998</v>
      </c>
      <c r="D43" s="124">
        <f>D53</f>
        <v>20158.709999999995</v>
      </c>
      <c r="E43" s="124">
        <f>E53+E49</f>
        <v>12383.171</v>
      </c>
      <c r="F43" s="124">
        <f>F53+F49</f>
        <v>3376.6210000000005</v>
      </c>
      <c r="G43" s="124">
        <f t="shared" ref="G43:I43" si="5">G53+G49</f>
        <v>3381.6799999999994</v>
      </c>
      <c r="H43" s="124">
        <f t="shared" si="5"/>
        <v>2799.49</v>
      </c>
      <c r="I43" s="124">
        <f t="shared" si="5"/>
        <v>2825.38</v>
      </c>
    </row>
    <row r="44" spans="1:10" ht="31.2">
      <c r="A44" s="24" t="s">
        <v>396</v>
      </c>
      <c r="B44" s="45" t="s">
        <v>26</v>
      </c>
      <c r="C44" s="26"/>
      <c r="D44" s="26"/>
      <c r="E44" s="27"/>
      <c r="F44" s="27"/>
      <c r="G44" s="27"/>
      <c r="H44" s="27"/>
      <c r="I44" s="28"/>
    </row>
    <row r="45" spans="1:10" ht="31.2">
      <c r="A45" s="34" t="s">
        <v>104</v>
      </c>
      <c r="B45" s="549" t="s">
        <v>27</v>
      </c>
      <c r="C45" s="31"/>
      <c r="D45" s="31"/>
      <c r="E45" s="32"/>
      <c r="F45" s="32"/>
      <c r="G45" s="32"/>
      <c r="H45" s="32"/>
      <c r="I45" s="33"/>
    </row>
    <row r="46" spans="1:10" ht="15.6">
      <c r="A46" s="71" t="s">
        <v>85</v>
      </c>
      <c r="B46" s="550"/>
      <c r="C46" s="31"/>
      <c r="D46" s="31"/>
      <c r="E46" s="32"/>
      <c r="F46" s="32"/>
      <c r="G46" s="32"/>
      <c r="H46" s="32"/>
      <c r="I46" s="33"/>
    </row>
    <row r="47" spans="1:10" ht="15.6">
      <c r="A47" s="71" t="s">
        <v>86</v>
      </c>
      <c r="B47" s="551"/>
      <c r="C47" s="31"/>
      <c r="D47" s="31"/>
      <c r="E47" s="32"/>
      <c r="F47" s="32"/>
      <c r="G47" s="32"/>
      <c r="H47" s="32"/>
      <c r="I47" s="33"/>
    </row>
    <row r="48" spans="1:10" ht="31.2">
      <c r="A48" s="34" t="s">
        <v>105</v>
      </c>
      <c r="B48" s="30" t="s">
        <v>28</v>
      </c>
      <c r="C48" s="31"/>
      <c r="D48" s="31"/>
      <c r="E48" s="32"/>
      <c r="F48" s="32"/>
      <c r="G48" s="32"/>
      <c r="H48" s="32"/>
      <c r="I48" s="33"/>
    </row>
    <row r="49" spans="1:10" ht="31.2">
      <c r="A49" s="71" t="s">
        <v>397</v>
      </c>
      <c r="B49" s="30" t="s">
        <v>29</v>
      </c>
      <c r="C49" s="73">
        <v>1129.96</v>
      </c>
      <c r="D49" s="17">
        <v>631.12</v>
      </c>
      <c r="E49" s="36">
        <f>SUM(F49:I49)</f>
        <v>437.40999999999997</v>
      </c>
      <c r="F49" s="36">
        <v>109.36</v>
      </c>
      <c r="G49" s="36">
        <v>109.35</v>
      </c>
      <c r="H49" s="36">
        <v>109.35</v>
      </c>
      <c r="I49" s="38">
        <v>109.35</v>
      </c>
    </row>
    <row r="50" spans="1:10" ht="15.6">
      <c r="A50" s="71" t="s">
        <v>92</v>
      </c>
      <c r="B50" s="37" t="s">
        <v>31</v>
      </c>
      <c r="C50" s="74"/>
      <c r="D50" s="31"/>
      <c r="E50" s="32"/>
      <c r="F50" s="32"/>
      <c r="G50" s="32"/>
      <c r="H50" s="32"/>
      <c r="I50" s="132"/>
    </row>
    <row r="51" spans="1:10" ht="31.2">
      <c r="A51" s="61" t="s">
        <v>106</v>
      </c>
      <c r="B51" s="30" t="s">
        <v>47</v>
      </c>
      <c r="C51" s="74"/>
      <c r="D51" s="31"/>
      <c r="E51" s="32"/>
      <c r="F51" s="32"/>
      <c r="G51" s="32"/>
      <c r="H51" s="32"/>
      <c r="I51" s="132"/>
    </row>
    <row r="52" spans="1:10" ht="31.2">
      <c r="A52" s="34" t="s">
        <v>398</v>
      </c>
      <c r="B52" s="30" t="s">
        <v>48</v>
      </c>
      <c r="C52" s="32"/>
      <c r="D52" s="32"/>
      <c r="E52" s="32"/>
      <c r="F52" s="32"/>
      <c r="G52" s="32"/>
      <c r="H52" s="32"/>
      <c r="I52" s="132"/>
    </row>
    <row r="53" spans="1:10" ht="45.75" customHeight="1">
      <c r="A53" s="35" t="s">
        <v>75</v>
      </c>
      <c r="B53" s="39" t="s">
        <v>69</v>
      </c>
      <c r="C53" s="36">
        <f>C54</f>
        <v>17979.170000000002</v>
      </c>
      <c r="D53" s="36">
        <f>D54</f>
        <v>20158.709999999995</v>
      </c>
      <c r="E53" s="36">
        <f>E54</f>
        <v>11945.761</v>
      </c>
      <c r="F53" s="36">
        <f t="shared" ref="F53:I53" si="6">F54</f>
        <v>3267.2610000000004</v>
      </c>
      <c r="G53" s="36">
        <f t="shared" si="6"/>
        <v>3272.3299999999995</v>
      </c>
      <c r="H53" s="36">
        <f t="shared" si="6"/>
        <v>2690.14</v>
      </c>
      <c r="I53" s="38">
        <f t="shared" si="6"/>
        <v>2716.03</v>
      </c>
    </row>
    <row r="54" spans="1:10" ht="81" customHeight="1">
      <c r="A54" s="35" t="s">
        <v>257</v>
      </c>
      <c r="B54" s="39" t="s">
        <v>69</v>
      </c>
      <c r="C54" s="17">
        <f>C55+C63</f>
        <v>17979.170000000002</v>
      </c>
      <c r="D54" s="36">
        <f>D55</f>
        <v>20158.709999999995</v>
      </c>
      <c r="E54" s="36">
        <f>E55</f>
        <v>11945.761</v>
      </c>
      <c r="F54" s="36">
        <f t="shared" ref="F54:I54" si="7">F55</f>
        <v>3267.2610000000004</v>
      </c>
      <c r="G54" s="36">
        <f t="shared" si="7"/>
        <v>3272.3299999999995</v>
      </c>
      <c r="H54" s="36">
        <f t="shared" si="7"/>
        <v>2690.14</v>
      </c>
      <c r="I54" s="38">
        <f t="shared" si="7"/>
        <v>2716.03</v>
      </c>
    </row>
    <row r="55" spans="1:10" ht="19.5" customHeight="1">
      <c r="A55" s="141" t="s">
        <v>399</v>
      </c>
      <c r="B55" s="30" t="s">
        <v>76</v>
      </c>
      <c r="C55" s="40">
        <f>SUM(C56:C62)</f>
        <v>17079.170000000002</v>
      </c>
      <c r="D55" s="41">
        <f t="shared" ref="D55:I55" si="8">D56+D57+D58+D59+D60+D61</f>
        <v>20158.709999999995</v>
      </c>
      <c r="E55" s="41">
        <f t="shared" si="8"/>
        <v>11945.761</v>
      </c>
      <c r="F55" s="41">
        <f t="shared" si="8"/>
        <v>3267.2610000000004</v>
      </c>
      <c r="G55" s="41">
        <f t="shared" si="8"/>
        <v>3272.3299999999995</v>
      </c>
      <c r="H55" s="41">
        <f t="shared" si="8"/>
        <v>2690.14</v>
      </c>
      <c r="I55" s="41">
        <f t="shared" si="8"/>
        <v>2716.03</v>
      </c>
      <c r="J55" s="16"/>
    </row>
    <row r="56" spans="1:10" ht="31.2">
      <c r="A56" s="71" t="s">
        <v>94</v>
      </c>
      <c r="B56" s="30" t="s">
        <v>77</v>
      </c>
      <c r="C56" s="511">
        <v>13965.83</v>
      </c>
      <c r="D56" s="17">
        <v>14761.07</v>
      </c>
      <c r="E56" s="36">
        <f>F56+G56+H56+I56</f>
        <v>8601.86</v>
      </c>
      <c r="F56" s="32">
        <v>2150.4699999999998</v>
      </c>
      <c r="G56" s="32">
        <v>2150.4699999999998</v>
      </c>
      <c r="H56" s="32">
        <v>2150.46</v>
      </c>
      <c r="I56" s="33">
        <v>2150.46</v>
      </c>
      <c r="J56" s="116"/>
    </row>
    <row r="57" spans="1:10" ht="31.2">
      <c r="A57" s="71" t="s">
        <v>95</v>
      </c>
      <c r="B57" s="30" t="s">
        <v>78</v>
      </c>
      <c r="C57" s="511">
        <v>3001.92</v>
      </c>
      <c r="D57" s="17">
        <v>3247.44</v>
      </c>
      <c r="E57" s="36">
        <f>F57+G57+H57+I57</f>
        <v>1892.4099999999999</v>
      </c>
      <c r="F57" s="75">
        <v>473.11</v>
      </c>
      <c r="G57" s="75">
        <v>473.1</v>
      </c>
      <c r="H57" s="75">
        <v>473.1</v>
      </c>
      <c r="I57" s="143">
        <v>473.1</v>
      </c>
      <c r="J57" s="16"/>
    </row>
    <row r="58" spans="1:10" ht="31.2">
      <c r="A58" s="71" t="s">
        <v>96</v>
      </c>
      <c r="B58" s="30" t="s">
        <v>79</v>
      </c>
      <c r="C58" s="511">
        <v>65.06</v>
      </c>
      <c r="D58" s="17">
        <v>316.52999999999997</v>
      </c>
      <c r="E58" s="126">
        <f>F58+G58+H58+I58</f>
        <v>223.24</v>
      </c>
      <c r="F58" s="117">
        <v>49.37</v>
      </c>
      <c r="G58" s="117">
        <v>62.25</v>
      </c>
      <c r="H58" s="117">
        <v>49.37</v>
      </c>
      <c r="I58" s="118">
        <v>62.25</v>
      </c>
    </row>
    <row r="59" spans="1:10" ht="48">
      <c r="A59" s="71" t="s">
        <v>107</v>
      </c>
      <c r="B59" s="30" t="s">
        <v>80</v>
      </c>
      <c r="C59" s="511">
        <v>11.4</v>
      </c>
      <c r="D59" s="17">
        <v>1822.87</v>
      </c>
      <c r="E59" s="36">
        <f t="shared" ref="E59:E61" si="9">F59+G59+H59+I59</f>
        <v>1024.97</v>
      </c>
      <c r="F59" s="119">
        <v>502.01</v>
      </c>
      <c r="G59" s="117">
        <v>505.78</v>
      </c>
      <c r="H59" s="117">
        <v>7.86</v>
      </c>
      <c r="I59" s="118">
        <v>9.32</v>
      </c>
    </row>
    <row r="60" spans="1:10" ht="15.6">
      <c r="A60" s="516" t="s">
        <v>411</v>
      </c>
      <c r="B60" s="30" t="s">
        <v>81</v>
      </c>
      <c r="C60" s="511"/>
      <c r="D60" s="17"/>
      <c r="E60" s="518">
        <v>1E-3</v>
      </c>
      <c r="F60" s="519">
        <v>1E-3</v>
      </c>
      <c r="G60" s="117">
        <v>0</v>
      </c>
      <c r="H60" s="117">
        <v>0</v>
      </c>
      <c r="I60" s="118">
        <v>0</v>
      </c>
    </row>
    <row r="61" spans="1:10" ht="31.8">
      <c r="A61" s="71" t="s">
        <v>108</v>
      </c>
      <c r="B61" s="30" t="s">
        <v>83</v>
      </c>
      <c r="C61" s="511">
        <v>4.96</v>
      </c>
      <c r="D61" s="17">
        <v>10.8</v>
      </c>
      <c r="E61" s="126">
        <f t="shared" si="9"/>
        <v>203.28</v>
      </c>
      <c r="F61" s="117">
        <v>92.3</v>
      </c>
      <c r="G61" s="117">
        <v>80.73</v>
      </c>
      <c r="H61" s="117">
        <v>9.35</v>
      </c>
      <c r="I61" s="118">
        <v>20.9</v>
      </c>
    </row>
    <row r="62" spans="1:10" s="11" customFormat="1" ht="15.6">
      <c r="A62" s="71" t="s">
        <v>82</v>
      </c>
      <c r="B62" s="30" t="s">
        <v>84</v>
      </c>
      <c r="C62" s="17">
        <v>30</v>
      </c>
      <c r="D62" s="17"/>
      <c r="E62" s="36"/>
      <c r="F62" s="32"/>
      <c r="G62" s="42"/>
      <c r="H62" s="32"/>
      <c r="I62" s="33"/>
      <c r="J62" s="8"/>
    </row>
    <row r="63" spans="1:10" ht="16.2">
      <c r="A63" s="72" t="s">
        <v>400</v>
      </c>
      <c r="B63" s="30" t="s">
        <v>410</v>
      </c>
      <c r="C63" s="17">
        <v>900</v>
      </c>
      <c r="D63" s="17"/>
      <c r="E63" s="36"/>
      <c r="F63" s="36"/>
      <c r="G63" s="36"/>
      <c r="H63" s="36"/>
      <c r="I63" s="38"/>
    </row>
    <row r="64" spans="1:10" ht="16.2" thickBot="1">
      <c r="A64" s="68" t="s">
        <v>109</v>
      </c>
      <c r="B64" s="82" t="s">
        <v>49</v>
      </c>
      <c r="C64" s="43"/>
      <c r="D64" s="43"/>
      <c r="E64" s="44"/>
      <c r="F64" s="44"/>
      <c r="G64" s="44"/>
      <c r="H64" s="44"/>
      <c r="I64" s="77"/>
    </row>
    <row r="65" spans="1:10" s="138" customFormat="1" ht="18.75" customHeight="1" thickBot="1">
      <c r="A65" s="133" t="s">
        <v>18</v>
      </c>
      <c r="B65" s="134" t="s">
        <v>401</v>
      </c>
      <c r="C65" s="135">
        <f>C56+C57+C58+C59+C61+C62+C63+C44+C45+C48+C49</f>
        <v>19109.13</v>
      </c>
      <c r="D65" s="136">
        <f>D63+D42+D49</f>
        <v>20789.829999999994</v>
      </c>
      <c r="E65" s="136">
        <f>E63+E42</f>
        <v>12383.171</v>
      </c>
      <c r="F65" s="136">
        <f>F63+F42</f>
        <v>3376.6210000000005</v>
      </c>
      <c r="G65" s="136">
        <f>G63+G42</f>
        <v>3381.6799999999994</v>
      </c>
      <c r="H65" s="136">
        <f>H63+H42</f>
        <v>2799.49</v>
      </c>
      <c r="I65" s="136">
        <f>I63+I42</f>
        <v>2825.38</v>
      </c>
      <c r="J65" s="137"/>
    </row>
    <row r="66" spans="1:10" ht="31.2">
      <c r="A66" s="95" t="s">
        <v>52</v>
      </c>
      <c r="B66" s="96" t="s">
        <v>402</v>
      </c>
      <c r="C66" s="97"/>
      <c r="D66" s="97"/>
      <c r="E66" s="98"/>
      <c r="F66" s="98"/>
      <c r="G66" s="98"/>
      <c r="H66" s="98"/>
      <c r="I66" s="99"/>
    </row>
    <row r="67" spans="1:10" ht="16.5" customHeight="1">
      <c r="A67" s="115" t="s">
        <v>53</v>
      </c>
      <c r="B67" s="87" t="s">
        <v>5</v>
      </c>
      <c r="C67" s="46">
        <v>0</v>
      </c>
      <c r="D67" s="46">
        <v>0</v>
      </c>
      <c r="E67" s="127">
        <v>0</v>
      </c>
      <c r="F67" s="47">
        <v>0</v>
      </c>
      <c r="G67" s="47">
        <v>0</v>
      </c>
      <c r="H67" s="47">
        <v>0</v>
      </c>
      <c r="I67" s="48">
        <v>0</v>
      </c>
    </row>
    <row r="68" spans="1:10" ht="45.75" customHeight="1">
      <c r="A68" s="79" t="s">
        <v>97</v>
      </c>
      <c r="B68" s="552" t="s">
        <v>6</v>
      </c>
      <c r="C68" s="46"/>
      <c r="D68" s="46"/>
      <c r="E68" s="127"/>
      <c r="F68" s="47"/>
      <c r="G68" s="47"/>
      <c r="H68" s="47"/>
      <c r="I68" s="48"/>
    </row>
    <row r="69" spans="1:10" ht="16.5" customHeight="1">
      <c r="A69" s="115" t="s">
        <v>56</v>
      </c>
      <c r="B69" s="553"/>
      <c r="C69" s="46"/>
      <c r="D69" s="46"/>
      <c r="E69" s="127"/>
      <c r="F69" s="47"/>
      <c r="G69" s="47"/>
      <c r="H69" s="47"/>
      <c r="I69" s="48"/>
    </row>
    <row r="70" spans="1:10" ht="63" customHeight="1">
      <c r="A70" s="79" t="s">
        <v>403</v>
      </c>
      <c r="B70" s="552" t="s">
        <v>7</v>
      </c>
      <c r="C70" s="46">
        <v>0</v>
      </c>
      <c r="D70" s="46">
        <v>0</v>
      </c>
      <c r="E70" s="127">
        <v>0</v>
      </c>
      <c r="F70" s="47">
        <v>0</v>
      </c>
      <c r="G70" s="47">
        <v>0</v>
      </c>
      <c r="H70" s="47">
        <v>0</v>
      </c>
      <c r="I70" s="48">
        <v>0</v>
      </c>
    </row>
    <row r="71" spans="1:10" ht="15.6">
      <c r="A71" s="79" t="s">
        <v>98</v>
      </c>
      <c r="B71" s="553"/>
      <c r="C71" s="51"/>
      <c r="D71" s="51"/>
      <c r="E71" s="127"/>
      <c r="F71" s="47"/>
      <c r="G71" s="47"/>
      <c r="H71" s="47"/>
      <c r="I71" s="48"/>
    </row>
    <row r="72" spans="1:10" ht="35.4" customHeight="1">
      <c r="A72" s="79" t="s">
        <v>99</v>
      </c>
      <c r="B72" s="88" t="s">
        <v>8</v>
      </c>
      <c r="C72" s="17">
        <v>0</v>
      </c>
      <c r="D72" s="17">
        <v>0</v>
      </c>
      <c r="E72" s="36">
        <v>0</v>
      </c>
      <c r="F72" s="32">
        <v>0</v>
      </c>
      <c r="G72" s="32">
        <v>0</v>
      </c>
      <c r="H72" s="32">
        <v>0</v>
      </c>
      <c r="I72" s="33">
        <v>0</v>
      </c>
    </row>
    <row r="73" spans="1:10" ht="31.2">
      <c r="A73" s="80" t="s">
        <v>54</v>
      </c>
      <c r="B73" s="88" t="s">
        <v>9</v>
      </c>
      <c r="C73" s="46">
        <v>0</v>
      </c>
      <c r="D73" s="17">
        <v>0</v>
      </c>
      <c r="E73" s="36">
        <v>0</v>
      </c>
      <c r="F73" s="32">
        <v>0</v>
      </c>
      <c r="G73" s="32">
        <v>0</v>
      </c>
      <c r="H73" s="32">
        <v>0</v>
      </c>
      <c r="I73" s="33">
        <v>0</v>
      </c>
    </row>
    <row r="74" spans="1:10" ht="15.6">
      <c r="A74" s="79" t="s">
        <v>55</v>
      </c>
      <c r="B74" s="88" t="s">
        <v>404</v>
      </c>
      <c r="C74" s="46">
        <v>0</v>
      </c>
      <c r="D74" s="17">
        <v>0</v>
      </c>
      <c r="E74" s="36">
        <v>0</v>
      </c>
      <c r="F74" s="32">
        <v>0</v>
      </c>
      <c r="G74" s="32">
        <v>0</v>
      </c>
      <c r="H74" s="32">
        <v>0</v>
      </c>
      <c r="I74" s="33">
        <v>0</v>
      </c>
    </row>
    <row r="75" spans="1:10" ht="16.2" thickBot="1">
      <c r="A75" s="100" t="s">
        <v>56</v>
      </c>
      <c r="B75" s="101" t="s">
        <v>405</v>
      </c>
      <c r="C75" s="57"/>
      <c r="D75" s="57"/>
      <c r="E75" s="102"/>
      <c r="F75" s="102"/>
      <c r="G75" s="102"/>
      <c r="H75" s="102"/>
      <c r="I75" s="103"/>
    </row>
    <row r="76" spans="1:10" ht="16.2" thickBot="1">
      <c r="A76" s="554" t="s">
        <v>57</v>
      </c>
      <c r="B76" s="555"/>
      <c r="C76" s="555"/>
      <c r="D76" s="555"/>
      <c r="E76" s="555"/>
      <c r="F76" s="555"/>
      <c r="G76" s="555"/>
      <c r="H76" s="555"/>
      <c r="I76" s="556"/>
    </row>
    <row r="77" spans="1:10" ht="31.2">
      <c r="A77" s="104" t="s">
        <v>58</v>
      </c>
      <c r="B77" s="105"/>
      <c r="C77" s="106"/>
      <c r="D77" s="106"/>
      <c r="E77" s="107"/>
      <c r="F77" s="107"/>
      <c r="G77" s="107"/>
      <c r="H77" s="108"/>
      <c r="I77" s="109"/>
    </row>
    <row r="78" spans="1:10" ht="15.6">
      <c r="A78" s="34" t="s">
        <v>70</v>
      </c>
      <c r="B78" s="37" t="s">
        <v>10</v>
      </c>
      <c r="C78" s="49"/>
      <c r="D78" s="49"/>
      <c r="E78" s="47"/>
      <c r="F78" s="47"/>
      <c r="G78" s="47"/>
      <c r="H78" s="55"/>
      <c r="I78" s="48"/>
    </row>
    <row r="79" spans="1:10" ht="31.2">
      <c r="A79" s="34" t="s">
        <v>100</v>
      </c>
      <c r="B79" s="37" t="s">
        <v>11</v>
      </c>
      <c r="C79" s="49"/>
      <c r="D79" s="49"/>
      <c r="E79" s="47"/>
      <c r="F79" s="47"/>
      <c r="G79" s="47"/>
      <c r="H79" s="55"/>
      <c r="I79" s="48"/>
    </row>
    <row r="80" spans="1:10" s="6" customFormat="1" ht="15.6">
      <c r="A80" s="34" t="s">
        <v>224</v>
      </c>
      <c r="B80" s="37" t="s">
        <v>12</v>
      </c>
      <c r="C80" s="51">
        <v>0</v>
      </c>
      <c r="D80" s="51">
        <f>D74</f>
        <v>0</v>
      </c>
      <c r="E80" s="51">
        <f t="shared" ref="E80:I80" si="10">E74</f>
        <v>0</v>
      </c>
      <c r="F80" s="50">
        <f t="shared" si="10"/>
        <v>0</v>
      </c>
      <c r="G80" s="50">
        <f t="shared" si="10"/>
        <v>0</v>
      </c>
      <c r="H80" s="50">
        <f t="shared" si="10"/>
        <v>0</v>
      </c>
      <c r="I80" s="76">
        <f t="shared" si="10"/>
        <v>0</v>
      </c>
    </row>
    <row r="81" spans="1:9" s="6" customFormat="1" ht="49.2" customHeight="1" thickBot="1">
      <c r="A81" s="81" t="s">
        <v>406</v>
      </c>
      <c r="B81" s="52" t="s">
        <v>1</v>
      </c>
      <c r="C81" s="59"/>
      <c r="D81" s="59"/>
      <c r="E81" s="53"/>
      <c r="F81" s="53"/>
      <c r="G81" s="53"/>
      <c r="H81" s="60"/>
      <c r="I81" s="54"/>
    </row>
    <row r="82" spans="1:9" ht="16.2" thickBot="1">
      <c r="A82" s="554" t="s">
        <v>407</v>
      </c>
      <c r="B82" s="555"/>
      <c r="C82" s="555"/>
      <c r="D82" s="555"/>
      <c r="E82" s="555"/>
      <c r="F82" s="555"/>
      <c r="G82" s="555"/>
      <c r="H82" s="555"/>
      <c r="I82" s="556"/>
    </row>
    <row r="83" spans="1:9" ht="15.6">
      <c r="A83" s="104" t="s">
        <v>59</v>
      </c>
      <c r="B83" s="110" t="s">
        <v>60</v>
      </c>
      <c r="C83" s="111"/>
      <c r="D83" s="111"/>
      <c r="E83" s="128"/>
      <c r="F83" s="112" t="s">
        <v>0</v>
      </c>
      <c r="G83" s="112" t="s">
        <v>0</v>
      </c>
      <c r="H83" s="112" t="s">
        <v>0</v>
      </c>
      <c r="I83" s="113" t="s">
        <v>0</v>
      </c>
    </row>
    <row r="84" spans="1:9" ht="16.2">
      <c r="A84" s="35" t="s">
        <v>110</v>
      </c>
      <c r="B84" s="37" t="s">
        <v>61</v>
      </c>
      <c r="C84" s="49"/>
      <c r="D84" s="49"/>
      <c r="E84" s="47"/>
      <c r="F84" s="47"/>
      <c r="G84" s="47"/>
      <c r="H84" s="55"/>
      <c r="I84" s="48"/>
    </row>
    <row r="85" spans="1:9" ht="30" customHeight="1">
      <c r="A85" s="35" t="s">
        <v>71</v>
      </c>
      <c r="B85" s="37" t="s">
        <v>62</v>
      </c>
      <c r="C85" s="57"/>
      <c r="D85" s="57"/>
      <c r="E85" s="129"/>
      <c r="F85" s="58" t="s">
        <v>0</v>
      </c>
      <c r="G85" s="58" t="s">
        <v>0</v>
      </c>
      <c r="H85" s="58" t="s">
        <v>0</v>
      </c>
      <c r="I85" s="56" t="s">
        <v>0</v>
      </c>
    </row>
    <row r="86" spans="1:9" ht="15.6">
      <c r="A86" s="34" t="s">
        <v>65</v>
      </c>
      <c r="B86" s="37" t="s">
        <v>63</v>
      </c>
      <c r="C86" s="49"/>
      <c r="D86" s="49"/>
      <c r="E86" s="47"/>
      <c r="F86" s="47"/>
      <c r="G86" s="47"/>
      <c r="H86" s="55"/>
      <c r="I86" s="48"/>
    </row>
    <row r="87" spans="1:9" ht="16.2" thickBot="1">
      <c r="A87" s="78" t="s">
        <v>408</v>
      </c>
      <c r="B87" s="52" t="s">
        <v>64</v>
      </c>
      <c r="C87" s="59"/>
      <c r="D87" s="59"/>
      <c r="E87" s="53"/>
      <c r="F87" s="53"/>
      <c r="G87" s="53"/>
      <c r="H87" s="60"/>
      <c r="I87" s="54"/>
    </row>
    <row r="88" spans="1:9" ht="10.5" customHeight="1">
      <c r="A88" s="12"/>
      <c r="B88" s="13"/>
      <c r="C88" s="14"/>
      <c r="D88" s="14"/>
      <c r="E88" s="130"/>
      <c r="F88" s="15"/>
      <c r="G88" s="15"/>
      <c r="H88" s="15"/>
      <c r="I88" s="15"/>
    </row>
    <row r="89" spans="1:9" ht="16.8">
      <c r="A89" s="114" t="s">
        <v>412</v>
      </c>
      <c r="B89" s="114"/>
      <c r="C89" s="114"/>
      <c r="D89" s="114"/>
      <c r="E89" s="114"/>
      <c r="F89" s="114"/>
      <c r="G89" s="544" t="s">
        <v>262</v>
      </c>
      <c r="H89" s="544"/>
      <c r="I89" s="544"/>
    </row>
    <row r="90" spans="1:9" ht="16.8">
      <c r="A90" s="62"/>
    </row>
    <row r="91" spans="1:9" ht="16.8">
      <c r="A91" s="114" t="s">
        <v>154</v>
      </c>
      <c r="B91" s="114"/>
      <c r="C91" s="114"/>
      <c r="D91" s="114"/>
      <c r="E91" s="114"/>
      <c r="F91" s="114"/>
      <c r="G91" s="544" t="s">
        <v>264</v>
      </c>
      <c r="H91" s="544"/>
      <c r="I91" s="544"/>
    </row>
    <row r="92" spans="1:9">
      <c r="A92" s="12"/>
    </row>
    <row r="93" spans="1:9">
      <c r="A93" s="12"/>
    </row>
    <row r="94" spans="1:9">
      <c r="A94" s="12"/>
    </row>
    <row r="95" spans="1:9">
      <c r="A95" s="12"/>
    </row>
  </sheetData>
  <mergeCells count="42">
    <mergeCell ref="G89:I89"/>
    <mergeCell ref="A26:I26"/>
    <mergeCell ref="F27:I27"/>
    <mergeCell ref="B29:I29"/>
    <mergeCell ref="A27:A28"/>
    <mergeCell ref="B27:B28"/>
    <mergeCell ref="C27:C28"/>
    <mergeCell ref="D27:D28"/>
    <mergeCell ref="E27:E28"/>
    <mergeCell ref="A76:I76"/>
    <mergeCell ref="A82:I82"/>
    <mergeCell ref="G91:I91"/>
    <mergeCell ref="B13:F13"/>
    <mergeCell ref="G13:H13"/>
    <mergeCell ref="B14:F14"/>
    <mergeCell ref="G14:H14"/>
    <mergeCell ref="B15:F15"/>
    <mergeCell ref="G15:H15"/>
    <mergeCell ref="B16:F16"/>
    <mergeCell ref="G16:H16"/>
    <mergeCell ref="B17:F17"/>
    <mergeCell ref="G17:H17"/>
    <mergeCell ref="A23:I23"/>
    <mergeCell ref="A24:I24"/>
    <mergeCell ref="A25:I25"/>
    <mergeCell ref="B21:H21"/>
    <mergeCell ref="B20:H20"/>
    <mergeCell ref="F2:I2"/>
    <mergeCell ref="F3:I3"/>
    <mergeCell ref="F4:I4"/>
    <mergeCell ref="G6:I6"/>
    <mergeCell ref="F8:H8"/>
    <mergeCell ref="B19:H19"/>
    <mergeCell ref="B45:B47"/>
    <mergeCell ref="B68:B69"/>
    <mergeCell ref="B70:B71"/>
    <mergeCell ref="A10:F10"/>
    <mergeCell ref="G10:H10"/>
    <mergeCell ref="B11:F11"/>
    <mergeCell ref="G11:H11"/>
    <mergeCell ref="B12:F12"/>
    <mergeCell ref="G12:H12"/>
  </mergeCells>
  <pageMargins left="0.98425196850393704" right="0.39370078740157483" top="0.47244094488188981" bottom="0.39370078740157483" header="0.31496062992125984" footer="0.31496062992125984"/>
  <pageSetup paperSize="9" scale="70" orientation="portrait" horizontalDpi="4294967295" verticalDpi="4294967295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95"/>
  <sheetViews>
    <sheetView topLeftCell="A47" zoomScale="90" zoomScaleNormal="90" workbookViewId="0">
      <selection activeCell="E55" sqref="E55"/>
    </sheetView>
  </sheetViews>
  <sheetFormatPr defaultColWidth="11" defaultRowHeight="15"/>
  <cols>
    <col min="1" max="1" width="34.109375" style="23" customWidth="1"/>
    <col min="2" max="2" width="8.33203125" style="3" customWidth="1"/>
    <col min="3" max="3" width="11" style="3" customWidth="1"/>
    <col min="4" max="4" width="12.6640625" style="3" customWidth="1"/>
    <col min="5" max="5" width="12.109375" style="123" customWidth="1"/>
    <col min="6" max="6" width="11.109375" style="8" customWidth="1"/>
    <col min="7" max="7" width="11" style="8" customWidth="1"/>
    <col min="8" max="8" width="10.88671875" style="8" customWidth="1"/>
    <col min="9" max="9" width="14" style="8" customWidth="1"/>
    <col min="10" max="10" width="33" style="8" customWidth="1"/>
    <col min="11" max="16384" width="11" style="8"/>
  </cols>
  <sheetData>
    <row r="1" spans="1:13" ht="15.75" hidden="1" customHeight="1">
      <c r="A1" s="63"/>
      <c r="B1" s="18"/>
      <c r="C1" s="18" t="e">
        <f>#REF!/1000</f>
        <v>#REF!</v>
      </c>
      <c r="D1" s="18"/>
      <c r="E1" s="19"/>
      <c r="F1" s="19" t="e">
        <f>#REF!/1000</f>
        <v>#REF!</v>
      </c>
      <c r="G1" s="19"/>
      <c r="H1" s="19"/>
      <c r="I1" s="19" t="e">
        <f>#REF!/1000</f>
        <v>#REF!</v>
      </c>
      <c r="J1" s="19"/>
      <c r="K1" s="19" t="e">
        <f>#REF!/1000</f>
        <v>#REF!</v>
      </c>
      <c r="L1" s="19"/>
      <c r="M1" s="19"/>
    </row>
    <row r="2" spans="1:13" ht="15.75" hidden="1" customHeight="1">
      <c r="A2" s="64"/>
      <c r="B2" s="4"/>
      <c r="C2" s="4"/>
      <c r="D2" s="4"/>
      <c r="E2" s="120"/>
      <c r="F2" s="523" t="s">
        <v>72</v>
      </c>
      <c r="G2" s="523"/>
      <c r="H2" s="523"/>
      <c r="I2" s="523"/>
    </row>
    <row r="3" spans="1:13" ht="15.75" hidden="1" customHeight="1">
      <c r="A3" s="64"/>
      <c r="B3" s="4"/>
      <c r="C3" s="4"/>
      <c r="D3" s="4"/>
      <c r="E3" s="120"/>
      <c r="F3" s="523" t="s">
        <v>73</v>
      </c>
      <c r="G3" s="523"/>
      <c r="H3" s="523"/>
      <c r="I3" s="523"/>
    </row>
    <row r="4" spans="1:13" ht="15.75" hidden="1" customHeight="1">
      <c r="A4" s="64"/>
      <c r="B4" s="4"/>
      <c r="C4" s="4"/>
      <c r="D4" s="4"/>
      <c r="E4" s="120"/>
      <c r="F4" s="523" t="s">
        <v>74</v>
      </c>
      <c r="G4" s="523"/>
      <c r="H4" s="523"/>
      <c r="I4" s="523"/>
    </row>
    <row r="5" spans="1:13" ht="11.25" hidden="1" customHeight="1">
      <c r="A5" s="65"/>
      <c r="B5" s="4"/>
      <c r="C5" s="4"/>
      <c r="D5" s="4"/>
      <c r="E5" s="121"/>
      <c r="F5" s="4"/>
      <c r="G5" s="7"/>
      <c r="H5" s="7"/>
      <c r="I5" s="7"/>
    </row>
    <row r="6" spans="1:13" ht="53.25" customHeight="1">
      <c r="A6" s="65"/>
      <c r="B6" s="4"/>
      <c r="C6" s="4"/>
      <c r="D6" s="4"/>
      <c r="E6" s="121"/>
      <c r="F6" s="4"/>
      <c r="G6" s="524" t="s">
        <v>414</v>
      </c>
      <c r="H6" s="524"/>
      <c r="I6" s="524"/>
    </row>
    <row r="7" spans="1:13" ht="9.75" customHeight="1">
      <c r="A7" s="65"/>
      <c r="B7" s="4"/>
      <c r="C7" s="4"/>
      <c r="D7" s="4"/>
      <c r="E7" s="121"/>
      <c r="F7" s="4"/>
      <c r="G7" s="140"/>
      <c r="H7" s="140"/>
      <c r="I7" s="140"/>
    </row>
    <row r="8" spans="1:13" ht="15.6">
      <c r="A8" s="66"/>
      <c r="B8" s="4"/>
      <c r="C8" s="4"/>
      <c r="D8" s="4"/>
      <c r="E8" s="121"/>
      <c r="F8" s="523"/>
      <c r="G8" s="523"/>
      <c r="H8" s="523"/>
      <c r="I8" s="1" t="s">
        <v>33</v>
      </c>
    </row>
    <row r="9" spans="1:13" ht="15.6">
      <c r="A9" s="66" t="s">
        <v>2</v>
      </c>
      <c r="B9" s="4"/>
      <c r="C9" s="4"/>
      <c r="D9" s="4"/>
      <c r="E9" s="120"/>
      <c r="F9" s="4"/>
      <c r="G9" s="4"/>
      <c r="H9" s="9" t="s">
        <v>34</v>
      </c>
      <c r="I9" s="1">
        <v>2026</v>
      </c>
    </row>
    <row r="10" spans="1:13" ht="36" customHeight="1">
      <c r="A10" s="520" t="s">
        <v>254</v>
      </c>
      <c r="B10" s="520"/>
      <c r="C10" s="520"/>
      <c r="D10" s="520"/>
      <c r="E10" s="520"/>
      <c r="F10" s="520"/>
      <c r="G10" s="521" t="s">
        <v>3</v>
      </c>
      <c r="H10" s="522"/>
      <c r="I10" s="1">
        <v>41779965</v>
      </c>
    </row>
    <row r="11" spans="1:13" ht="15.6">
      <c r="A11" s="10" t="s">
        <v>22</v>
      </c>
      <c r="B11" s="525" t="s">
        <v>66</v>
      </c>
      <c r="C11" s="525"/>
      <c r="D11" s="525"/>
      <c r="E11" s="525"/>
      <c r="F11" s="525"/>
      <c r="G11" s="526" t="s">
        <v>13</v>
      </c>
      <c r="H11" s="526"/>
      <c r="I11" s="1">
        <v>150</v>
      </c>
    </row>
    <row r="12" spans="1:13" ht="15.6">
      <c r="A12" s="10" t="s">
        <v>35</v>
      </c>
      <c r="B12" s="527" t="s">
        <v>252</v>
      </c>
      <c r="C12" s="527"/>
      <c r="D12" s="527"/>
      <c r="E12" s="527"/>
      <c r="F12" s="527"/>
      <c r="G12" s="526" t="s">
        <v>36</v>
      </c>
      <c r="H12" s="526"/>
      <c r="I12" s="1">
        <v>511700000</v>
      </c>
    </row>
    <row r="13" spans="1:13" ht="15.6">
      <c r="A13" s="10" t="s">
        <v>87</v>
      </c>
      <c r="B13" s="528" t="s">
        <v>255</v>
      </c>
      <c r="C13" s="528"/>
      <c r="D13" s="528"/>
      <c r="E13" s="528"/>
      <c r="F13" s="528"/>
      <c r="G13" s="526"/>
      <c r="H13" s="526"/>
      <c r="I13" s="1"/>
    </row>
    <row r="14" spans="1:13" ht="15.6">
      <c r="A14" s="10" t="s">
        <v>23</v>
      </c>
      <c r="B14" s="525" t="s">
        <v>88</v>
      </c>
      <c r="C14" s="525"/>
      <c r="D14" s="525"/>
      <c r="E14" s="525"/>
      <c r="F14" s="525"/>
      <c r="G14" s="526"/>
      <c r="H14" s="526"/>
      <c r="I14" s="1"/>
    </row>
    <row r="15" spans="1:13" ht="31.5" customHeight="1">
      <c r="A15" s="10" t="s">
        <v>380</v>
      </c>
      <c r="B15" s="525"/>
      <c r="C15" s="525"/>
      <c r="D15" s="525"/>
      <c r="E15" s="525"/>
      <c r="F15" s="525"/>
      <c r="G15" s="529" t="s">
        <v>4</v>
      </c>
      <c r="H15" s="529"/>
      <c r="I15" s="510" t="s">
        <v>67</v>
      </c>
    </row>
    <row r="16" spans="1:13" ht="15.6">
      <c r="A16" s="10" t="s">
        <v>89</v>
      </c>
      <c r="B16" s="525" t="s">
        <v>90</v>
      </c>
      <c r="C16" s="525"/>
      <c r="D16" s="525"/>
      <c r="E16" s="525"/>
      <c r="F16" s="525"/>
      <c r="G16" s="526"/>
      <c r="H16" s="526"/>
      <c r="I16" s="1"/>
    </row>
    <row r="17" spans="1:9" ht="15.6">
      <c r="A17" s="10" t="s">
        <v>37</v>
      </c>
      <c r="B17" s="525" t="s">
        <v>91</v>
      </c>
      <c r="C17" s="525"/>
      <c r="D17" s="525"/>
      <c r="E17" s="525"/>
      <c r="F17" s="525"/>
      <c r="G17" s="526"/>
      <c r="H17" s="526"/>
      <c r="I17" s="1"/>
    </row>
    <row r="18" spans="1:9" ht="15.6">
      <c r="A18" s="10" t="s">
        <v>38</v>
      </c>
      <c r="B18" s="20">
        <v>25</v>
      </c>
      <c r="C18" s="5"/>
      <c r="D18" s="5"/>
      <c r="E18" s="122"/>
      <c r="F18" s="21"/>
      <c r="G18" s="2"/>
      <c r="H18" s="2"/>
      <c r="I18" s="1"/>
    </row>
    <row r="19" spans="1:9" ht="15.6">
      <c r="A19" s="10" t="s">
        <v>19</v>
      </c>
      <c r="B19" s="535" t="s">
        <v>382</v>
      </c>
      <c r="C19" s="536"/>
      <c r="D19" s="536"/>
      <c r="E19" s="536"/>
      <c r="F19" s="536"/>
      <c r="G19" s="536"/>
      <c r="H19" s="537"/>
      <c r="I19" s="22"/>
    </row>
    <row r="20" spans="1:9" ht="15.6">
      <c r="A20" s="10" t="s">
        <v>20</v>
      </c>
      <c r="B20" s="538" t="s">
        <v>381</v>
      </c>
      <c r="C20" s="539"/>
      <c r="D20" s="539"/>
      <c r="E20" s="539"/>
      <c r="F20" s="539"/>
      <c r="G20" s="539"/>
      <c r="H20" s="540"/>
      <c r="I20" s="22"/>
    </row>
    <row r="21" spans="1:9" ht="15.6">
      <c r="A21" s="10" t="s">
        <v>21</v>
      </c>
      <c r="B21" s="541" t="s">
        <v>377</v>
      </c>
      <c r="C21" s="542"/>
      <c r="D21" s="542"/>
      <c r="E21" s="542"/>
      <c r="F21" s="542"/>
      <c r="G21" s="542"/>
      <c r="H21" s="543"/>
      <c r="I21" s="22"/>
    </row>
    <row r="22" spans="1:9" ht="11.25" customHeight="1"/>
    <row r="23" spans="1:9" ht="20.399999999999999">
      <c r="A23" s="545" t="s">
        <v>228</v>
      </c>
      <c r="B23" s="545"/>
      <c r="C23" s="545"/>
      <c r="D23" s="545"/>
      <c r="E23" s="545"/>
      <c r="F23" s="545"/>
      <c r="G23" s="545"/>
      <c r="H23" s="545"/>
      <c r="I23" s="545"/>
    </row>
    <row r="24" spans="1:9" ht="21" thickBot="1">
      <c r="A24" s="557" t="s">
        <v>413</v>
      </c>
      <c r="B24" s="557"/>
      <c r="C24" s="557"/>
      <c r="D24" s="557"/>
      <c r="E24" s="557"/>
      <c r="F24" s="557"/>
      <c r="G24" s="557"/>
      <c r="H24" s="557"/>
      <c r="I24" s="557"/>
    </row>
    <row r="25" spans="1:9" ht="18.75" customHeight="1" thickBot="1">
      <c r="A25" s="558" t="s">
        <v>39</v>
      </c>
      <c r="B25" s="559"/>
      <c r="C25" s="559"/>
      <c r="D25" s="559"/>
      <c r="E25" s="559"/>
      <c r="F25" s="559"/>
      <c r="G25" s="559"/>
      <c r="H25" s="559"/>
      <c r="I25" s="560"/>
    </row>
    <row r="26" spans="1:9" ht="16.5" customHeight="1" thickBot="1">
      <c r="A26" s="561" t="s">
        <v>40</v>
      </c>
      <c r="B26" s="562"/>
      <c r="C26" s="562"/>
      <c r="D26" s="562"/>
      <c r="E26" s="562"/>
      <c r="F26" s="562"/>
      <c r="G26" s="562"/>
      <c r="H26" s="562"/>
      <c r="I26" s="563"/>
    </row>
    <row r="27" spans="1:9" ht="18.600000000000001" customHeight="1">
      <c r="A27" s="564"/>
      <c r="B27" s="565" t="s">
        <v>24</v>
      </c>
      <c r="C27" s="566" t="s">
        <v>378</v>
      </c>
      <c r="D27" s="566" t="s">
        <v>388</v>
      </c>
      <c r="E27" s="530" t="s">
        <v>379</v>
      </c>
      <c r="F27" s="532" t="s">
        <v>383</v>
      </c>
      <c r="G27" s="533"/>
      <c r="H27" s="533"/>
      <c r="I27" s="534"/>
    </row>
    <row r="28" spans="1:9" ht="43.5" customHeight="1" thickBot="1">
      <c r="A28" s="564"/>
      <c r="B28" s="565"/>
      <c r="C28" s="567"/>
      <c r="D28" s="567"/>
      <c r="E28" s="531"/>
      <c r="F28" s="83" t="s">
        <v>384</v>
      </c>
      <c r="G28" s="83" t="s">
        <v>385</v>
      </c>
      <c r="H28" s="83" t="s">
        <v>386</v>
      </c>
      <c r="I28" s="84" t="s">
        <v>387</v>
      </c>
    </row>
    <row r="29" spans="1:9" ht="16.5" customHeight="1" thickBot="1">
      <c r="A29" s="67" t="s">
        <v>50</v>
      </c>
      <c r="B29" s="546"/>
      <c r="C29" s="547"/>
      <c r="D29" s="547"/>
      <c r="E29" s="547"/>
      <c r="F29" s="547"/>
      <c r="G29" s="547"/>
      <c r="H29" s="547"/>
      <c r="I29" s="548"/>
    </row>
    <row r="30" spans="1:9" ht="60" customHeight="1">
      <c r="A30" s="24" t="s">
        <v>389</v>
      </c>
      <c r="B30" s="25" t="s">
        <v>14</v>
      </c>
      <c r="C30" s="26"/>
      <c r="D30" s="26"/>
      <c r="E30" s="27"/>
      <c r="F30" s="27"/>
      <c r="G30" s="27"/>
      <c r="H30" s="27"/>
      <c r="I30" s="28"/>
    </row>
    <row r="31" spans="1:9" ht="18.75" customHeight="1">
      <c r="A31" s="29" t="s">
        <v>30</v>
      </c>
      <c r="B31" s="30" t="s">
        <v>15</v>
      </c>
      <c r="C31" s="31"/>
      <c r="D31" s="31"/>
      <c r="E31" s="32"/>
      <c r="F31" s="32"/>
      <c r="G31" s="32"/>
      <c r="H31" s="32"/>
      <c r="I31" s="33"/>
    </row>
    <row r="32" spans="1:9" ht="18.75" customHeight="1">
      <c r="A32" s="29" t="s">
        <v>41</v>
      </c>
      <c r="B32" s="30" t="s">
        <v>16</v>
      </c>
      <c r="C32" s="31"/>
      <c r="D32" s="31"/>
      <c r="E32" s="32"/>
      <c r="F32" s="32"/>
      <c r="G32" s="32"/>
      <c r="H32" s="32"/>
      <c r="I32" s="33"/>
    </row>
    <row r="33" spans="1:10" ht="29.25" customHeight="1">
      <c r="A33" s="34" t="s">
        <v>101</v>
      </c>
      <c r="B33" s="30" t="s">
        <v>17</v>
      </c>
      <c r="C33" s="31"/>
      <c r="D33" s="31"/>
      <c r="E33" s="32"/>
      <c r="F33" s="32"/>
      <c r="G33" s="32"/>
      <c r="H33" s="32"/>
      <c r="I33" s="33"/>
    </row>
    <row r="34" spans="1:10" s="11" customFormat="1" ht="58.5" customHeight="1">
      <c r="A34" s="35" t="s">
        <v>390</v>
      </c>
      <c r="B34" s="30" t="s">
        <v>42</v>
      </c>
      <c r="C34" s="31"/>
      <c r="D34" s="31"/>
      <c r="E34" s="32"/>
      <c r="F34" s="32"/>
      <c r="G34" s="32"/>
      <c r="H34" s="32"/>
      <c r="I34" s="33"/>
    </row>
    <row r="35" spans="1:10" ht="30" customHeight="1">
      <c r="A35" s="34" t="s">
        <v>102</v>
      </c>
      <c r="B35" s="30" t="s">
        <v>43</v>
      </c>
      <c r="C35" s="31"/>
      <c r="D35" s="31"/>
      <c r="E35" s="32"/>
      <c r="F35" s="32"/>
      <c r="G35" s="32"/>
      <c r="H35" s="32"/>
      <c r="I35" s="33"/>
    </row>
    <row r="36" spans="1:10" ht="31.2">
      <c r="A36" s="34" t="s">
        <v>103</v>
      </c>
      <c r="B36" s="30" t="s">
        <v>44</v>
      </c>
      <c r="C36" s="31"/>
      <c r="D36" s="31"/>
      <c r="E36" s="32"/>
      <c r="F36" s="32"/>
      <c r="G36" s="32"/>
      <c r="H36" s="32"/>
      <c r="I36" s="33"/>
    </row>
    <row r="37" spans="1:10" ht="46.8">
      <c r="A37" s="34" t="s">
        <v>391</v>
      </c>
      <c r="B37" s="86" t="s">
        <v>68</v>
      </c>
      <c r="C37" s="17">
        <v>17079.169999999998</v>
      </c>
      <c r="D37" s="511">
        <v>19054.97</v>
      </c>
      <c r="E37" s="36">
        <f>SUM(F37:I37)</f>
        <v>11945.79</v>
      </c>
      <c r="F37" s="32">
        <v>3267.27</v>
      </c>
      <c r="G37" s="32">
        <v>3272.33</v>
      </c>
      <c r="H37" s="32">
        <v>2690.15</v>
      </c>
      <c r="I37" s="33">
        <v>2716.04</v>
      </c>
      <c r="J37" s="16"/>
    </row>
    <row r="38" spans="1:10" ht="30.75" customHeight="1">
      <c r="A38" s="141" t="s">
        <v>392</v>
      </c>
      <c r="B38" s="86"/>
      <c r="C38" s="17">
        <v>900</v>
      </c>
      <c r="D38" s="511"/>
      <c r="E38" s="36"/>
      <c r="F38" s="32"/>
      <c r="G38" s="32"/>
      <c r="H38" s="32"/>
      <c r="I38" s="33"/>
    </row>
    <row r="39" spans="1:10" ht="31.8" thickBot="1">
      <c r="A39" s="68" t="s">
        <v>395</v>
      </c>
      <c r="B39" s="82" t="s">
        <v>45</v>
      </c>
      <c r="C39" s="31">
        <v>1129.96</v>
      </c>
      <c r="D39" s="517">
        <v>631.12</v>
      </c>
      <c r="E39" s="36">
        <f>SUM(F39:I39)</f>
        <v>437.40999999999997</v>
      </c>
      <c r="F39" s="32">
        <v>109.36</v>
      </c>
      <c r="G39" s="32">
        <v>109.35</v>
      </c>
      <c r="H39" s="32">
        <v>109.35</v>
      </c>
      <c r="I39" s="33">
        <v>109.35</v>
      </c>
    </row>
    <row r="40" spans="1:10" s="138" customFormat="1" ht="19.5" customHeight="1" thickBot="1">
      <c r="A40" s="133" t="s">
        <v>32</v>
      </c>
      <c r="B40" s="134" t="s">
        <v>46</v>
      </c>
      <c r="C40" s="135">
        <f>C37+C38+C34+C39</f>
        <v>19109.129999999997</v>
      </c>
      <c r="D40" s="136">
        <f t="shared" ref="D40:I40" si="0">D37+D38+D39</f>
        <v>19686.09</v>
      </c>
      <c r="E40" s="136">
        <f t="shared" si="0"/>
        <v>12383.2</v>
      </c>
      <c r="F40" s="136">
        <f t="shared" si="0"/>
        <v>3376.63</v>
      </c>
      <c r="G40" s="136">
        <f t="shared" si="0"/>
        <v>3381.68</v>
      </c>
      <c r="H40" s="136">
        <f t="shared" si="0"/>
        <v>2799.5</v>
      </c>
      <c r="I40" s="136">
        <f t="shared" si="0"/>
        <v>2825.39</v>
      </c>
      <c r="J40" s="139"/>
    </row>
    <row r="41" spans="1:10" ht="18.75" customHeight="1" thickBot="1">
      <c r="A41" s="89" t="s">
        <v>51</v>
      </c>
      <c r="B41" s="90"/>
      <c r="C41" s="91"/>
      <c r="D41" s="92"/>
      <c r="E41" s="125"/>
      <c r="F41" s="93"/>
      <c r="G41" s="93"/>
      <c r="H41" s="93"/>
      <c r="I41" s="94"/>
    </row>
    <row r="42" spans="1:10" ht="47.25" customHeight="1" thickBot="1">
      <c r="A42" s="69" t="s">
        <v>393</v>
      </c>
      <c r="B42" s="85" t="s">
        <v>93</v>
      </c>
      <c r="C42" s="131">
        <v>17979.169999999998</v>
      </c>
      <c r="D42" s="124">
        <f>D43</f>
        <v>19054.97</v>
      </c>
      <c r="E42" s="124">
        <f>E43</f>
        <v>12383.191000000001</v>
      </c>
      <c r="F42" s="124">
        <f t="shared" ref="F42:I42" si="1">F43</f>
        <v>3376.6210000000005</v>
      </c>
      <c r="G42" s="124">
        <f t="shared" si="1"/>
        <v>3381.6799999999994</v>
      </c>
      <c r="H42" s="124">
        <f t="shared" si="1"/>
        <v>2799.5</v>
      </c>
      <c r="I42" s="142">
        <f t="shared" si="1"/>
        <v>2825.39</v>
      </c>
      <c r="J42" s="16"/>
    </row>
    <row r="43" spans="1:10" ht="33.75" customHeight="1" thickBot="1">
      <c r="A43" s="70" t="s">
        <v>394</v>
      </c>
      <c r="B43" s="85" t="s">
        <v>25</v>
      </c>
      <c r="C43" s="131">
        <v>17979.169999999998</v>
      </c>
      <c r="D43" s="124">
        <f>D53</f>
        <v>19054.97</v>
      </c>
      <c r="E43" s="124">
        <f>E53+E49</f>
        <v>12383.191000000001</v>
      </c>
      <c r="F43" s="124">
        <f>F53+F49</f>
        <v>3376.6210000000005</v>
      </c>
      <c r="G43" s="124">
        <f t="shared" ref="G43:I43" si="2">G53+G49</f>
        <v>3381.6799999999994</v>
      </c>
      <c r="H43" s="124">
        <f t="shared" si="2"/>
        <v>2799.5</v>
      </c>
      <c r="I43" s="124">
        <f t="shared" si="2"/>
        <v>2825.39</v>
      </c>
    </row>
    <row r="44" spans="1:10" ht="31.2">
      <c r="A44" s="24" t="s">
        <v>396</v>
      </c>
      <c r="B44" s="45" t="s">
        <v>26</v>
      </c>
      <c r="C44" s="26"/>
      <c r="D44" s="26"/>
      <c r="E44" s="27"/>
      <c r="F44" s="27"/>
      <c r="G44" s="27"/>
      <c r="H44" s="27"/>
      <c r="I44" s="28"/>
    </row>
    <row r="45" spans="1:10" ht="31.2">
      <c r="A45" s="34" t="s">
        <v>104</v>
      </c>
      <c r="B45" s="549" t="s">
        <v>27</v>
      </c>
      <c r="C45" s="31"/>
      <c r="D45" s="31"/>
      <c r="E45" s="32"/>
      <c r="F45" s="32"/>
      <c r="G45" s="32"/>
      <c r="H45" s="32"/>
      <c r="I45" s="33"/>
    </row>
    <row r="46" spans="1:10" ht="15.6">
      <c r="A46" s="71" t="s">
        <v>85</v>
      </c>
      <c r="B46" s="550"/>
      <c r="C46" s="31"/>
      <c r="D46" s="31"/>
      <c r="E46" s="32"/>
      <c r="F46" s="32"/>
      <c r="G46" s="32"/>
      <c r="H46" s="32"/>
      <c r="I46" s="33"/>
    </row>
    <row r="47" spans="1:10" ht="15.6">
      <c r="A47" s="71" t="s">
        <v>86</v>
      </c>
      <c r="B47" s="551"/>
      <c r="C47" s="31"/>
      <c r="D47" s="31"/>
      <c r="E47" s="32"/>
      <c r="F47" s="32"/>
      <c r="G47" s="32"/>
      <c r="H47" s="32"/>
      <c r="I47" s="33"/>
    </row>
    <row r="48" spans="1:10" ht="31.2">
      <c r="A48" s="34" t="s">
        <v>105</v>
      </c>
      <c r="B48" s="30" t="s">
        <v>28</v>
      </c>
      <c r="C48" s="31"/>
      <c r="D48" s="31"/>
      <c r="E48" s="32"/>
      <c r="F48" s="32"/>
      <c r="G48" s="32"/>
      <c r="H48" s="32"/>
      <c r="I48" s="33"/>
    </row>
    <row r="49" spans="1:10" ht="31.2">
      <c r="A49" s="71" t="s">
        <v>397</v>
      </c>
      <c r="B49" s="30" t="s">
        <v>29</v>
      </c>
      <c r="C49" s="73">
        <v>1129.96</v>
      </c>
      <c r="D49" s="17">
        <v>631.12</v>
      </c>
      <c r="E49" s="36">
        <f>SUM(F49:I49)</f>
        <v>437.40999999999997</v>
      </c>
      <c r="F49" s="36">
        <v>109.36</v>
      </c>
      <c r="G49" s="36">
        <v>109.35</v>
      </c>
      <c r="H49" s="36">
        <v>109.35</v>
      </c>
      <c r="I49" s="38">
        <v>109.35</v>
      </c>
    </row>
    <row r="50" spans="1:10" ht="15.6">
      <c r="A50" s="71" t="s">
        <v>92</v>
      </c>
      <c r="B50" s="37" t="s">
        <v>31</v>
      </c>
      <c r="C50" s="74"/>
      <c r="D50" s="31"/>
      <c r="E50" s="32"/>
      <c r="F50" s="32"/>
      <c r="G50" s="32"/>
      <c r="H50" s="32"/>
      <c r="I50" s="132"/>
    </row>
    <row r="51" spans="1:10" ht="31.2">
      <c r="A51" s="61" t="s">
        <v>106</v>
      </c>
      <c r="B51" s="30" t="s">
        <v>47</v>
      </c>
      <c r="C51" s="74"/>
      <c r="D51" s="31"/>
      <c r="E51" s="32"/>
      <c r="F51" s="32"/>
      <c r="G51" s="32"/>
      <c r="H51" s="32"/>
      <c r="I51" s="132"/>
    </row>
    <row r="52" spans="1:10" ht="31.2">
      <c r="A52" s="34" t="s">
        <v>398</v>
      </c>
      <c r="B52" s="30" t="s">
        <v>48</v>
      </c>
      <c r="C52" s="32"/>
      <c r="D52" s="32"/>
      <c r="E52" s="32"/>
      <c r="F52" s="32"/>
      <c r="G52" s="32"/>
      <c r="H52" s="32"/>
      <c r="I52" s="132"/>
    </row>
    <row r="53" spans="1:10" ht="45.75" customHeight="1">
      <c r="A53" s="35" t="s">
        <v>75</v>
      </c>
      <c r="B53" s="39" t="s">
        <v>69</v>
      </c>
      <c r="C53" s="36">
        <f>C54</f>
        <v>17979.170000000002</v>
      </c>
      <c r="D53" s="36">
        <f>D54</f>
        <v>19054.97</v>
      </c>
      <c r="E53" s="36">
        <f>E54</f>
        <v>11945.781000000001</v>
      </c>
      <c r="F53" s="36">
        <f t="shared" ref="F53:I54" si="3">F54</f>
        <v>3267.2610000000004</v>
      </c>
      <c r="G53" s="36">
        <f t="shared" si="3"/>
        <v>3272.3299999999995</v>
      </c>
      <c r="H53" s="36">
        <f t="shared" si="3"/>
        <v>2690.15</v>
      </c>
      <c r="I53" s="38">
        <f t="shared" si="3"/>
        <v>2716.04</v>
      </c>
    </row>
    <row r="54" spans="1:10" ht="81" customHeight="1">
      <c r="A54" s="35" t="s">
        <v>257</v>
      </c>
      <c r="B54" s="39" t="s">
        <v>69</v>
      </c>
      <c r="C54" s="17">
        <f>C55+C63</f>
        <v>17979.170000000002</v>
      </c>
      <c r="D54" s="36">
        <f>D55</f>
        <v>19054.97</v>
      </c>
      <c r="E54" s="36">
        <f>E55</f>
        <v>11945.781000000001</v>
      </c>
      <c r="F54" s="36">
        <f t="shared" si="3"/>
        <v>3267.2610000000004</v>
      </c>
      <c r="G54" s="36">
        <f t="shared" si="3"/>
        <v>3272.3299999999995</v>
      </c>
      <c r="H54" s="36">
        <f t="shared" si="3"/>
        <v>2690.15</v>
      </c>
      <c r="I54" s="38">
        <f t="shared" si="3"/>
        <v>2716.04</v>
      </c>
    </row>
    <row r="55" spans="1:10" ht="19.5" customHeight="1">
      <c r="A55" s="141" t="s">
        <v>399</v>
      </c>
      <c r="B55" s="30" t="s">
        <v>76</v>
      </c>
      <c r="C55" s="40">
        <f>SUM(C56:C62)</f>
        <v>17079.170000000002</v>
      </c>
      <c r="D55" s="41">
        <f>D56+D57+D58+D59+D60+D61+D62</f>
        <v>19054.97</v>
      </c>
      <c r="E55" s="41">
        <f>E56+E57+E58+E59+E60+E61</f>
        <v>11945.781000000001</v>
      </c>
      <c r="F55" s="41">
        <f t="shared" ref="F55:I55" si="4">F56+F57+F58+F59+F60+F61</f>
        <v>3267.2610000000004</v>
      </c>
      <c r="G55" s="41">
        <f t="shared" si="4"/>
        <v>3272.3299999999995</v>
      </c>
      <c r="H55" s="41">
        <f>H56+H57+H58+H59+H60+H61</f>
        <v>2690.15</v>
      </c>
      <c r="I55" s="41">
        <f t="shared" si="4"/>
        <v>2716.04</v>
      </c>
      <c r="J55" s="16"/>
    </row>
    <row r="56" spans="1:10" ht="31.2">
      <c r="A56" s="71" t="s">
        <v>94</v>
      </c>
      <c r="B56" s="30" t="s">
        <v>77</v>
      </c>
      <c r="C56" s="511">
        <v>13965.83</v>
      </c>
      <c r="D56" s="17">
        <v>14241.68</v>
      </c>
      <c r="E56" s="36">
        <f>F56+G56+H56+I56</f>
        <v>8601.86</v>
      </c>
      <c r="F56" s="32">
        <v>2150.4699999999998</v>
      </c>
      <c r="G56" s="32">
        <v>2150.4699999999998</v>
      </c>
      <c r="H56" s="32">
        <v>2150.46</v>
      </c>
      <c r="I56" s="33">
        <v>2150.46</v>
      </c>
      <c r="J56" s="116"/>
    </row>
    <row r="57" spans="1:10" ht="31.2">
      <c r="A57" s="71" t="s">
        <v>95</v>
      </c>
      <c r="B57" s="30" t="s">
        <v>78</v>
      </c>
      <c r="C57" s="511">
        <v>3001.92</v>
      </c>
      <c r="D57" s="17">
        <v>3133.3</v>
      </c>
      <c r="E57" s="36">
        <f>F57+G57+H57+I57</f>
        <v>1892.42</v>
      </c>
      <c r="F57" s="75">
        <v>473.11</v>
      </c>
      <c r="G57" s="75">
        <v>473.1</v>
      </c>
      <c r="H57" s="75">
        <v>473.11</v>
      </c>
      <c r="I57" s="143">
        <v>473.1</v>
      </c>
      <c r="J57" s="16"/>
    </row>
    <row r="58" spans="1:10" ht="31.2">
      <c r="A58" s="71" t="s">
        <v>96</v>
      </c>
      <c r="B58" s="30" t="s">
        <v>79</v>
      </c>
      <c r="C58" s="511">
        <v>65.06</v>
      </c>
      <c r="D58" s="17">
        <v>375.98</v>
      </c>
      <c r="E58" s="126">
        <f>F58+G58+H58+I58</f>
        <v>223.24</v>
      </c>
      <c r="F58" s="117">
        <v>49.37</v>
      </c>
      <c r="G58" s="117">
        <v>62.25</v>
      </c>
      <c r="H58" s="117">
        <v>49.37</v>
      </c>
      <c r="I58" s="118">
        <v>62.25</v>
      </c>
    </row>
    <row r="59" spans="1:10" ht="48">
      <c r="A59" s="71" t="s">
        <v>107</v>
      </c>
      <c r="B59" s="30" t="s">
        <v>80</v>
      </c>
      <c r="C59" s="511">
        <v>11.4</v>
      </c>
      <c r="D59" s="17">
        <v>991.47</v>
      </c>
      <c r="E59" s="36">
        <f t="shared" ref="E59:E61" si="5">F59+G59+H59+I59</f>
        <v>1024.98</v>
      </c>
      <c r="F59" s="119">
        <v>502.01</v>
      </c>
      <c r="G59" s="117">
        <v>505.78</v>
      </c>
      <c r="H59" s="117">
        <v>7.86</v>
      </c>
      <c r="I59" s="118">
        <v>9.33</v>
      </c>
    </row>
    <row r="60" spans="1:10" ht="15.6">
      <c r="A60" s="516" t="s">
        <v>411</v>
      </c>
      <c r="B60" s="30" t="s">
        <v>81</v>
      </c>
      <c r="C60" s="511"/>
      <c r="D60" s="17"/>
      <c r="E60" s="518">
        <f>F60+G60+H60+I60</f>
        <v>1E-3</v>
      </c>
      <c r="F60" s="519">
        <v>1E-3</v>
      </c>
      <c r="G60" s="117">
        <v>0</v>
      </c>
      <c r="H60" s="117">
        <v>0</v>
      </c>
      <c r="I60" s="118">
        <v>0</v>
      </c>
    </row>
    <row r="61" spans="1:10" ht="31.8">
      <c r="A61" s="71" t="s">
        <v>108</v>
      </c>
      <c r="B61" s="30" t="s">
        <v>83</v>
      </c>
      <c r="C61" s="511">
        <v>4.96</v>
      </c>
      <c r="D61" s="17">
        <v>182.75</v>
      </c>
      <c r="E61" s="126">
        <f t="shared" si="5"/>
        <v>203.28</v>
      </c>
      <c r="F61" s="117">
        <v>92.3</v>
      </c>
      <c r="G61" s="117">
        <v>80.73</v>
      </c>
      <c r="H61" s="117">
        <v>9.35</v>
      </c>
      <c r="I61" s="118">
        <v>20.9</v>
      </c>
    </row>
    <row r="62" spans="1:10" s="11" customFormat="1" ht="15.6">
      <c r="A62" s="71" t="s">
        <v>82</v>
      </c>
      <c r="B62" s="30" t="s">
        <v>84</v>
      </c>
      <c r="C62" s="17">
        <v>30</v>
      </c>
      <c r="D62" s="17">
        <v>129.79</v>
      </c>
      <c r="E62" s="36"/>
      <c r="F62" s="32"/>
      <c r="G62" s="42"/>
      <c r="H62" s="32"/>
      <c r="I62" s="33"/>
      <c r="J62" s="8"/>
    </row>
    <row r="63" spans="1:10" ht="16.2">
      <c r="A63" s="72" t="s">
        <v>400</v>
      </c>
      <c r="B63" s="30" t="s">
        <v>410</v>
      </c>
      <c r="C63" s="17">
        <v>900</v>
      </c>
      <c r="D63" s="17"/>
      <c r="E63" s="36"/>
      <c r="F63" s="36"/>
      <c r="G63" s="36"/>
      <c r="H63" s="36"/>
      <c r="I63" s="38"/>
    </row>
    <row r="64" spans="1:10" ht="16.2" thickBot="1">
      <c r="A64" s="68" t="s">
        <v>109</v>
      </c>
      <c r="B64" s="82" t="s">
        <v>49</v>
      </c>
      <c r="C64" s="43"/>
      <c r="D64" s="43"/>
      <c r="E64" s="44"/>
      <c r="F64" s="44"/>
      <c r="G64" s="44"/>
      <c r="H64" s="44"/>
      <c r="I64" s="77"/>
    </row>
    <row r="65" spans="1:10" s="138" customFormat="1" ht="18.75" customHeight="1" thickBot="1">
      <c r="A65" s="133" t="s">
        <v>18</v>
      </c>
      <c r="B65" s="134" t="s">
        <v>401</v>
      </c>
      <c r="C65" s="135">
        <f>C56+C57+C58+C59+C61+C62+C63+C44+C45+C48+C49</f>
        <v>19109.13</v>
      </c>
      <c r="D65" s="136">
        <f>D63+D42+D49</f>
        <v>19686.09</v>
      </c>
      <c r="E65" s="136">
        <f>E63+E42</f>
        <v>12383.191000000001</v>
      </c>
      <c r="F65" s="136">
        <f>F63+F42</f>
        <v>3376.6210000000005</v>
      </c>
      <c r="G65" s="136">
        <f>G63+G42</f>
        <v>3381.6799999999994</v>
      </c>
      <c r="H65" s="136">
        <f>H63+H42</f>
        <v>2799.5</v>
      </c>
      <c r="I65" s="136">
        <f>I63+I42</f>
        <v>2825.39</v>
      </c>
      <c r="J65" s="137"/>
    </row>
    <row r="66" spans="1:10" ht="31.2">
      <c r="A66" s="95" t="s">
        <v>52</v>
      </c>
      <c r="B66" s="96" t="s">
        <v>402</v>
      </c>
      <c r="C66" s="97"/>
      <c r="D66" s="97"/>
      <c r="E66" s="98"/>
      <c r="F66" s="98"/>
      <c r="G66" s="98"/>
      <c r="H66" s="98"/>
      <c r="I66" s="99"/>
    </row>
    <row r="67" spans="1:10" ht="16.5" customHeight="1">
      <c r="A67" s="115" t="s">
        <v>53</v>
      </c>
      <c r="B67" s="87" t="s">
        <v>5</v>
      </c>
      <c r="C67" s="46">
        <v>0</v>
      </c>
      <c r="D67" s="46">
        <v>0</v>
      </c>
      <c r="E67" s="127">
        <v>0</v>
      </c>
      <c r="F67" s="47">
        <v>0</v>
      </c>
      <c r="G67" s="47">
        <v>0</v>
      </c>
      <c r="H67" s="47">
        <v>0</v>
      </c>
      <c r="I67" s="48">
        <v>0</v>
      </c>
    </row>
    <row r="68" spans="1:10" ht="45.75" customHeight="1">
      <c r="A68" s="79" t="s">
        <v>97</v>
      </c>
      <c r="B68" s="552" t="s">
        <v>6</v>
      </c>
      <c r="C68" s="46"/>
      <c r="D68" s="46"/>
      <c r="E68" s="127"/>
      <c r="F68" s="47"/>
      <c r="G68" s="47"/>
      <c r="H68" s="47"/>
      <c r="I68" s="48"/>
    </row>
    <row r="69" spans="1:10" ht="16.5" customHeight="1">
      <c r="A69" s="115" t="s">
        <v>56</v>
      </c>
      <c r="B69" s="553"/>
      <c r="C69" s="46"/>
      <c r="D69" s="46"/>
      <c r="E69" s="127"/>
      <c r="F69" s="47"/>
      <c r="G69" s="47"/>
      <c r="H69" s="47"/>
      <c r="I69" s="48"/>
    </row>
    <row r="70" spans="1:10" ht="63" customHeight="1">
      <c r="A70" s="79" t="s">
        <v>403</v>
      </c>
      <c r="B70" s="552" t="s">
        <v>7</v>
      </c>
      <c r="C70" s="46">
        <v>0</v>
      </c>
      <c r="D70" s="46">
        <v>0</v>
      </c>
      <c r="E70" s="127">
        <v>0</v>
      </c>
      <c r="F70" s="47">
        <v>0</v>
      </c>
      <c r="G70" s="47">
        <v>0</v>
      </c>
      <c r="H70" s="47">
        <v>0</v>
      </c>
      <c r="I70" s="48">
        <v>0</v>
      </c>
    </row>
    <row r="71" spans="1:10" ht="15.6">
      <c r="A71" s="79" t="s">
        <v>98</v>
      </c>
      <c r="B71" s="553"/>
      <c r="C71" s="51"/>
      <c r="D71" s="51"/>
      <c r="E71" s="127"/>
      <c r="F71" s="47"/>
      <c r="G71" s="47"/>
      <c r="H71" s="47"/>
      <c r="I71" s="48"/>
    </row>
    <row r="72" spans="1:10" ht="35.4" customHeight="1">
      <c r="A72" s="79" t="s">
        <v>99</v>
      </c>
      <c r="B72" s="88" t="s">
        <v>8</v>
      </c>
      <c r="C72" s="17">
        <v>0</v>
      </c>
      <c r="D72" s="17">
        <v>0</v>
      </c>
      <c r="E72" s="36">
        <v>0</v>
      </c>
      <c r="F72" s="32">
        <v>0</v>
      </c>
      <c r="G72" s="32">
        <v>0</v>
      </c>
      <c r="H72" s="32">
        <v>0</v>
      </c>
      <c r="I72" s="33">
        <v>0</v>
      </c>
    </row>
    <row r="73" spans="1:10" ht="31.2">
      <c r="A73" s="80" t="s">
        <v>54</v>
      </c>
      <c r="B73" s="88" t="s">
        <v>9</v>
      </c>
      <c r="C73" s="46">
        <v>0</v>
      </c>
      <c r="D73" s="17">
        <v>0</v>
      </c>
      <c r="E73" s="36">
        <v>0</v>
      </c>
      <c r="F73" s="32">
        <v>0</v>
      </c>
      <c r="G73" s="32">
        <v>0</v>
      </c>
      <c r="H73" s="32">
        <v>0</v>
      </c>
      <c r="I73" s="33">
        <v>0</v>
      </c>
    </row>
    <row r="74" spans="1:10" ht="15.6">
      <c r="A74" s="79" t="s">
        <v>55</v>
      </c>
      <c r="B74" s="88" t="s">
        <v>404</v>
      </c>
      <c r="C74" s="46">
        <v>0</v>
      </c>
      <c r="D74" s="17">
        <v>0</v>
      </c>
      <c r="E74" s="36">
        <v>0</v>
      </c>
      <c r="F74" s="32">
        <v>0</v>
      </c>
      <c r="G74" s="32">
        <v>0</v>
      </c>
      <c r="H74" s="32">
        <v>0</v>
      </c>
      <c r="I74" s="33">
        <v>0</v>
      </c>
    </row>
    <row r="75" spans="1:10" ht="16.2" thickBot="1">
      <c r="A75" s="100" t="s">
        <v>56</v>
      </c>
      <c r="B75" s="101" t="s">
        <v>405</v>
      </c>
      <c r="C75" s="57"/>
      <c r="D75" s="57"/>
      <c r="E75" s="102"/>
      <c r="F75" s="102"/>
      <c r="G75" s="102"/>
      <c r="H75" s="102"/>
      <c r="I75" s="103"/>
    </row>
    <row r="76" spans="1:10" ht="16.2" thickBot="1">
      <c r="A76" s="554" t="s">
        <v>57</v>
      </c>
      <c r="B76" s="555"/>
      <c r="C76" s="555"/>
      <c r="D76" s="555"/>
      <c r="E76" s="555"/>
      <c r="F76" s="555"/>
      <c r="G76" s="555"/>
      <c r="H76" s="555"/>
      <c r="I76" s="556"/>
    </row>
    <row r="77" spans="1:10" ht="31.2">
      <c r="A77" s="104" t="s">
        <v>58</v>
      </c>
      <c r="B77" s="105"/>
      <c r="C77" s="106"/>
      <c r="D77" s="106"/>
      <c r="E77" s="107"/>
      <c r="F77" s="107"/>
      <c r="G77" s="107"/>
      <c r="H77" s="108"/>
      <c r="I77" s="109"/>
    </row>
    <row r="78" spans="1:10" ht="15.6">
      <c r="A78" s="34" t="s">
        <v>70</v>
      </c>
      <c r="B78" s="37" t="s">
        <v>10</v>
      </c>
      <c r="C78" s="49"/>
      <c r="D78" s="49"/>
      <c r="E78" s="47"/>
      <c r="F78" s="47"/>
      <c r="G78" s="47"/>
      <c r="H78" s="55"/>
      <c r="I78" s="48"/>
    </row>
    <row r="79" spans="1:10" ht="31.2">
      <c r="A79" s="34" t="s">
        <v>100</v>
      </c>
      <c r="B79" s="37" t="s">
        <v>11</v>
      </c>
      <c r="C79" s="49"/>
      <c r="D79" s="49"/>
      <c r="E79" s="47"/>
      <c r="F79" s="47"/>
      <c r="G79" s="47"/>
      <c r="H79" s="55"/>
      <c r="I79" s="48"/>
    </row>
    <row r="80" spans="1:10" s="6" customFormat="1" ht="15.6">
      <c r="A80" s="34" t="s">
        <v>224</v>
      </c>
      <c r="B80" s="37" t="s">
        <v>12</v>
      </c>
      <c r="C80" s="51">
        <v>0</v>
      </c>
      <c r="D80" s="51">
        <f>D74</f>
        <v>0</v>
      </c>
      <c r="E80" s="51">
        <f t="shared" ref="E80:I80" si="6">E74</f>
        <v>0</v>
      </c>
      <c r="F80" s="50">
        <f t="shared" si="6"/>
        <v>0</v>
      </c>
      <c r="G80" s="50">
        <f t="shared" si="6"/>
        <v>0</v>
      </c>
      <c r="H80" s="50">
        <f t="shared" si="6"/>
        <v>0</v>
      </c>
      <c r="I80" s="76">
        <f t="shared" si="6"/>
        <v>0</v>
      </c>
    </row>
    <row r="81" spans="1:9" s="6" customFormat="1" ht="49.2" customHeight="1" thickBot="1">
      <c r="A81" s="81" t="s">
        <v>406</v>
      </c>
      <c r="B81" s="52" t="s">
        <v>1</v>
      </c>
      <c r="C81" s="59"/>
      <c r="D81" s="59"/>
      <c r="E81" s="53"/>
      <c r="F81" s="53"/>
      <c r="G81" s="53"/>
      <c r="H81" s="60"/>
      <c r="I81" s="54"/>
    </row>
    <row r="82" spans="1:9" ht="16.2" thickBot="1">
      <c r="A82" s="554" t="s">
        <v>407</v>
      </c>
      <c r="B82" s="555"/>
      <c r="C82" s="555"/>
      <c r="D82" s="555"/>
      <c r="E82" s="555"/>
      <c r="F82" s="555"/>
      <c r="G82" s="555"/>
      <c r="H82" s="555"/>
      <c r="I82" s="556"/>
    </row>
    <row r="83" spans="1:9" ht="15.6">
      <c r="A83" s="104" t="s">
        <v>59</v>
      </c>
      <c r="B83" s="110" t="s">
        <v>60</v>
      </c>
      <c r="C83" s="111"/>
      <c r="D83" s="111"/>
      <c r="E83" s="128"/>
      <c r="F83" s="112" t="s">
        <v>0</v>
      </c>
      <c r="G83" s="112" t="s">
        <v>0</v>
      </c>
      <c r="H83" s="112" t="s">
        <v>0</v>
      </c>
      <c r="I83" s="113" t="s">
        <v>0</v>
      </c>
    </row>
    <row r="84" spans="1:9" ht="16.2">
      <c r="A84" s="35" t="s">
        <v>110</v>
      </c>
      <c r="B84" s="37" t="s">
        <v>61</v>
      </c>
      <c r="C84" s="49"/>
      <c r="D84" s="49"/>
      <c r="E84" s="47"/>
      <c r="F84" s="47"/>
      <c r="G84" s="47"/>
      <c r="H84" s="55"/>
      <c r="I84" s="48"/>
    </row>
    <row r="85" spans="1:9" ht="30" customHeight="1">
      <c r="A85" s="35" t="s">
        <v>71</v>
      </c>
      <c r="B85" s="37" t="s">
        <v>62</v>
      </c>
      <c r="C85" s="57"/>
      <c r="D85" s="57"/>
      <c r="E85" s="129"/>
      <c r="F85" s="58" t="s">
        <v>0</v>
      </c>
      <c r="G85" s="58" t="s">
        <v>0</v>
      </c>
      <c r="H85" s="58" t="s">
        <v>0</v>
      </c>
      <c r="I85" s="56" t="s">
        <v>0</v>
      </c>
    </row>
    <row r="86" spans="1:9" ht="15.6">
      <c r="A86" s="34" t="s">
        <v>65</v>
      </c>
      <c r="B86" s="37" t="s">
        <v>63</v>
      </c>
      <c r="C86" s="49"/>
      <c r="D86" s="49"/>
      <c r="E86" s="47"/>
      <c r="F86" s="47"/>
      <c r="G86" s="47"/>
      <c r="H86" s="55"/>
      <c r="I86" s="48"/>
    </row>
    <row r="87" spans="1:9" ht="16.2" thickBot="1">
      <c r="A87" s="78" t="s">
        <v>408</v>
      </c>
      <c r="B87" s="52" t="s">
        <v>64</v>
      </c>
      <c r="C87" s="59"/>
      <c r="D87" s="59"/>
      <c r="E87" s="53"/>
      <c r="F87" s="53"/>
      <c r="G87" s="53"/>
      <c r="H87" s="60"/>
      <c r="I87" s="54"/>
    </row>
    <row r="88" spans="1:9" ht="10.5" customHeight="1">
      <c r="A88" s="12"/>
      <c r="B88" s="13"/>
      <c r="C88" s="14"/>
      <c r="D88" s="14"/>
      <c r="E88" s="130"/>
      <c r="F88" s="15"/>
      <c r="G88" s="15"/>
      <c r="H88" s="15"/>
      <c r="I88" s="15"/>
    </row>
    <row r="89" spans="1:9" ht="16.8">
      <c r="A89" s="114" t="s">
        <v>412</v>
      </c>
      <c r="B89" s="114"/>
      <c r="C89" s="114"/>
      <c r="D89" s="114"/>
      <c r="E89" s="114"/>
      <c r="F89" s="114"/>
      <c r="G89" s="544" t="s">
        <v>262</v>
      </c>
      <c r="H89" s="544"/>
      <c r="I89" s="544"/>
    </row>
    <row r="90" spans="1:9" ht="16.8">
      <c r="A90" s="62"/>
    </row>
    <row r="91" spans="1:9" ht="16.8">
      <c r="A91" s="114" t="s">
        <v>154</v>
      </c>
      <c r="B91" s="114"/>
      <c r="C91" s="114"/>
      <c r="D91" s="114"/>
      <c r="E91" s="114"/>
      <c r="F91" s="114"/>
      <c r="G91" s="544" t="s">
        <v>264</v>
      </c>
      <c r="H91" s="544"/>
      <c r="I91" s="544"/>
    </row>
    <row r="92" spans="1:9">
      <c r="A92" s="12"/>
    </row>
    <row r="93" spans="1:9">
      <c r="A93" s="12"/>
    </row>
    <row r="94" spans="1:9">
      <c r="A94" s="12"/>
    </row>
    <row r="95" spans="1:9">
      <c r="A95" s="12"/>
    </row>
  </sheetData>
  <mergeCells count="42">
    <mergeCell ref="G89:I89"/>
    <mergeCell ref="G91:I91"/>
    <mergeCell ref="B29:I29"/>
    <mergeCell ref="B45:B47"/>
    <mergeCell ref="B68:B69"/>
    <mergeCell ref="B70:B71"/>
    <mergeCell ref="A76:I76"/>
    <mergeCell ref="A82:I82"/>
    <mergeCell ref="A24:I24"/>
    <mergeCell ref="A25:I25"/>
    <mergeCell ref="A26:I26"/>
    <mergeCell ref="A27:A28"/>
    <mergeCell ref="B27:B28"/>
    <mergeCell ref="C27:C28"/>
    <mergeCell ref="D27:D28"/>
    <mergeCell ref="E27:E28"/>
    <mergeCell ref="F27:I27"/>
    <mergeCell ref="A23:I23"/>
    <mergeCell ref="B14:F14"/>
    <mergeCell ref="G14:H14"/>
    <mergeCell ref="B15:F15"/>
    <mergeCell ref="G15:H15"/>
    <mergeCell ref="B16:F16"/>
    <mergeCell ref="G16:H16"/>
    <mergeCell ref="B17:F17"/>
    <mergeCell ref="G17:H17"/>
    <mergeCell ref="B19:H19"/>
    <mergeCell ref="B20:H20"/>
    <mergeCell ref="B21:H21"/>
    <mergeCell ref="B11:F11"/>
    <mergeCell ref="G11:H11"/>
    <mergeCell ref="B12:F12"/>
    <mergeCell ref="G12:H12"/>
    <mergeCell ref="B13:F13"/>
    <mergeCell ref="G13:H13"/>
    <mergeCell ref="A10:F10"/>
    <mergeCell ref="G10:H10"/>
    <mergeCell ref="F2:I2"/>
    <mergeCell ref="F3:I3"/>
    <mergeCell ref="F4:I4"/>
    <mergeCell ref="G6:I6"/>
    <mergeCell ref="F8:H8"/>
  </mergeCells>
  <pageMargins left="0.7" right="0.7" top="0.75" bottom="0.75" header="0.3" footer="0.3"/>
  <pageSetup paperSize="9"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5"/>
  <sheetViews>
    <sheetView topLeftCell="A49" zoomScale="90" zoomScaleNormal="90" workbookViewId="0">
      <selection activeCell="A6" sqref="A6:I91"/>
    </sheetView>
  </sheetViews>
  <sheetFormatPr defaultColWidth="11" defaultRowHeight="15"/>
  <cols>
    <col min="1" max="1" width="34.109375" style="23" customWidth="1"/>
    <col min="2" max="2" width="8.33203125" style="3" customWidth="1"/>
    <col min="3" max="3" width="11" style="3" customWidth="1"/>
    <col min="4" max="4" width="12.6640625" style="3" customWidth="1"/>
    <col min="5" max="5" width="12.109375" style="123" customWidth="1"/>
    <col min="6" max="6" width="11.109375" style="8" customWidth="1"/>
    <col min="7" max="7" width="11" style="8" customWidth="1"/>
    <col min="8" max="8" width="10.88671875" style="8" customWidth="1"/>
    <col min="9" max="9" width="14" style="8" customWidth="1"/>
    <col min="10" max="10" width="33" style="8" customWidth="1"/>
    <col min="11" max="16384" width="11" style="8"/>
  </cols>
  <sheetData>
    <row r="1" spans="1:13" ht="15.75" hidden="1" customHeight="1">
      <c r="A1" s="63"/>
      <c r="B1" s="18"/>
      <c r="C1" s="18" t="e">
        <f>#REF!/1000</f>
        <v>#REF!</v>
      </c>
      <c r="D1" s="18"/>
      <c r="E1" s="19"/>
      <c r="F1" s="19" t="e">
        <f>#REF!/1000</f>
        <v>#REF!</v>
      </c>
      <c r="G1" s="19"/>
      <c r="H1" s="19"/>
      <c r="I1" s="19" t="e">
        <f>#REF!/1000</f>
        <v>#REF!</v>
      </c>
      <c r="J1" s="19"/>
      <c r="K1" s="19" t="e">
        <f>#REF!/1000</f>
        <v>#REF!</v>
      </c>
      <c r="L1" s="19"/>
      <c r="M1" s="19"/>
    </row>
    <row r="2" spans="1:13" ht="15.75" hidden="1" customHeight="1">
      <c r="A2" s="64"/>
      <c r="B2" s="4"/>
      <c r="C2" s="4"/>
      <c r="D2" s="4"/>
      <c r="E2" s="120"/>
      <c r="F2" s="523" t="s">
        <v>72</v>
      </c>
      <c r="G2" s="523"/>
      <c r="H2" s="523"/>
      <c r="I2" s="523"/>
    </row>
    <row r="3" spans="1:13" ht="15.75" hidden="1" customHeight="1">
      <c r="A3" s="64"/>
      <c r="B3" s="4"/>
      <c r="C3" s="4"/>
      <c r="D3" s="4"/>
      <c r="E3" s="120"/>
      <c r="F3" s="523" t="s">
        <v>73</v>
      </c>
      <c r="G3" s="523"/>
      <c r="H3" s="523"/>
      <c r="I3" s="523"/>
    </row>
    <row r="4" spans="1:13" ht="15.75" hidden="1" customHeight="1">
      <c r="A4" s="64"/>
      <c r="B4" s="4"/>
      <c r="C4" s="4"/>
      <c r="D4" s="4"/>
      <c r="E4" s="120"/>
      <c r="F4" s="523" t="s">
        <v>74</v>
      </c>
      <c r="G4" s="523"/>
      <c r="H4" s="523"/>
      <c r="I4" s="523"/>
    </row>
    <row r="5" spans="1:13" ht="11.25" hidden="1" customHeight="1">
      <c r="A5" s="65"/>
      <c r="B5" s="4"/>
      <c r="C5" s="4"/>
      <c r="D5" s="4"/>
      <c r="E5" s="121"/>
      <c r="F5" s="4"/>
      <c r="G5" s="7"/>
      <c r="H5" s="7"/>
      <c r="I5" s="7"/>
    </row>
    <row r="6" spans="1:13" ht="53.25" customHeight="1">
      <c r="A6" s="65"/>
      <c r="B6" s="4"/>
      <c r="C6" s="4"/>
      <c r="D6" s="4"/>
      <c r="E6" s="121"/>
      <c r="F6" s="4"/>
      <c r="G6" s="524" t="s">
        <v>414</v>
      </c>
      <c r="H6" s="524"/>
      <c r="I6" s="524"/>
    </row>
    <row r="7" spans="1:13" ht="9.75" customHeight="1">
      <c r="A7" s="65"/>
      <c r="B7" s="4"/>
      <c r="C7" s="4"/>
      <c r="D7" s="4"/>
      <c r="E7" s="121"/>
      <c r="F7" s="4"/>
      <c r="G7" s="140"/>
      <c r="H7" s="140"/>
      <c r="I7" s="140"/>
    </row>
    <row r="8" spans="1:13" ht="15.6">
      <c r="A8" s="66"/>
      <c r="B8" s="4"/>
      <c r="C8" s="4"/>
      <c r="D8" s="4"/>
      <c r="E8" s="121"/>
      <c r="F8" s="523"/>
      <c r="G8" s="523"/>
      <c r="H8" s="523"/>
      <c r="I8" s="1" t="s">
        <v>33</v>
      </c>
    </row>
    <row r="9" spans="1:13" ht="15.6">
      <c r="A9" s="66" t="s">
        <v>2</v>
      </c>
      <c r="B9" s="4"/>
      <c r="C9" s="4"/>
      <c r="D9" s="4"/>
      <c r="E9" s="120"/>
      <c r="F9" s="4"/>
      <c r="G9" s="4"/>
      <c r="H9" s="9" t="s">
        <v>34</v>
      </c>
      <c r="I9" s="1">
        <v>2026</v>
      </c>
    </row>
    <row r="10" spans="1:13" ht="36" customHeight="1">
      <c r="A10" s="520" t="s">
        <v>254</v>
      </c>
      <c r="B10" s="520"/>
      <c r="C10" s="520"/>
      <c r="D10" s="520"/>
      <c r="E10" s="520"/>
      <c r="F10" s="520"/>
      <c r="G10" s="521" t="s">
        <v>3</v>
      </c>
      <c r="H10" s="522"/>
      <c r="I10" s="1">
        <v>41779965</v>
      </c>
    </row>
    <row r="11" spans="1:13" ht="15.6">
      <c r="A11" s="10" t="s">
        <v>22</v>
      </c>
      <c r="B11" s="525" t="s">
        <v>66</v>
      </c>
      <c r="C11" s="525"/>
      <c r="D11" s="525"/>
      <c r="E11" s="525"/>
      <c r="F11" s="525"/>
      <c r="G11" s="526" t="s">
        <v>13</v>
      </c>
      <c r="H11" s="526"/>
      <c r="I11" s="1">
        <v>150</v>
      </c>
    </row>
    <row r="12" spans="1:13" ht="15.6">
      <c r="A12" s="10" t="s">
        <v>35</v>
      </c>
      <c r="B12" s="527" t="s">
        <v>252</v>
      </c>
      <c r="C12" s="527"/>
      <c r="D12" s="527"/>
      <c r="E12" s="527"/>
      <c r="F12" s="527"/>
      <c r="G12" s="526" t="s">
        <v>36</v>
      </c>
      <c r="H12" s="526"/>
      <c r="I12" s="1">
        <v>511700000</v>
      </c>
    </row>
    <row r="13" spans="1:13" ht="15.6">
      <c r="A13" s="10" t="s">
        <v>87</v>
      </c>
      <c r="B13" s="528" t="s">
        <v>255</v>
      </c>
      <c r="C13" s="528"/>
      <c r="D13" s="528"/>
      <c r="E13" s="528"/>
      <c r="F13" s="528"/>
      <c r="G13" s="526"/>
      <c r="H13" s="526"/>
      <c r="I13" s="1"/>
    </row>
    <row r="14" spans="1:13" ht="15.6">
      <c r="A14" s="10" t="s">
        <v>23</v>
      </c>
      <c r="B14" s="525" t="s">
        <v>88</v>
      </c>
      <c r="C14" s="525"/>
      <c r="D14" s="525"/>
      <c r="E14" s="525"/>
      <c r="F14" s="525"/>
      <c r="G14" s="526"/>
      <c r="H14" s="526"/>
      <c r="I14" s="1"/>
    </row>
    <row r="15" spans="1:13" ht="31.5" customHeight="1">
      <c r="A15" s="10" t="s">
        <v>380</v>
      </c>
      <c r="B15" s="525"/>
      <c r="C15" s="525"/>
      <c r="D15" s="525"/>
      <c r="E15" s="525"/>
      <c r="F15" s="525"/>
      <c r="G15" s="529" t="s">
        <v>4</v>
      </c>
      <c r="H15" s="529"/>
      <c r="I15" s="510" t="s">
        <v>67</v>
      </c>
    </row>
    <row r="16" spans="1:13" ht="15.6">
      <c r="A16" s="10" t="s">
        <v>89</v>
      </c>
      <c r="B16" s="525" t="s">
        <v>90</v>
      </c>
      <c r="C16" s="525"/>
      <c r="D16" s="525"/>
      <c r="E16" s="525"/>
      <c r="F16" s="525"/>
      <c r="G16" s="526"/>
      <c r="H16" s="526"/>
      <c r="I16" s="1"/>
    </row>
    <row r="17" spans="1:9" ht="15.6">
      <c r="A17" s="10" t="s">
        <v>37</v>
      </c>
      <c r="B17" s="525" t="s">
        <v>91</v>
      </c>
      <c r="C17" s="525"/>
      <c r="D17" s="525"/>
      <c r="E17" s="525"/>
      <c r="F17" s="525"/>
      <c r="G17" s="526"/>
      <c r="H17" s="526"/>
      <c r="I17" s="1"/>
    </row>
    <row r="18" spans="1:9" ht="15.6">
      <c r="A18" s="10" t="s">
        <v>38</v>
      </c>
      <c r="B18" s="20">
        <v>25</v>
      </c>
      <c r="C18" s="5"/>
      <c r="D18" s="5"/>
      <c r="E18" s="122"/>
      <c r="F18" s="21"/>
      <c r="G18" s="2"/>
      <c r="H18" s="2"/>
      <c r="I18" s="1"/>
    </row>
    <row r="19" spans="1:9" ht="15.6">
      <c r="A19" s="10" t="s">
        <v>19</v>
      </c>
      <c r="B19" s="535" t="s">
        <v>382</v>
      </c>
      <c r="C19" s="536"/>
      <c r="D19" s="536"/>
      <c r="E19" s="536"/>
      <c r="F19" s="536"/>
      <c r="G19" s="536"/>
      <c r="H19" s="537"/>
      <c r="I19" s="22"/>
    </row>
    <row r="20" spans="1:9" ht="15.6">
      <c r="A20" s="10" t="s">
        <v>20</v>
      </c>
      <c r="B20" s="538" t="s">
        <v>381</v>
      </c>
      <c r="C20" s="539"/>
      <c r="D20" s="539"/>
      <c r="E20" s="539"/>
      <c r="F20" s="539"/>
      <c r="G20" s="539"/>
      <c r="H20" s="540"/>
      <c r="I20" s="22"/>
    </row>
    <row r="21" spans="1:9" ht="15.6">
      <c r="A21" s="10" t="s">
        <v>21</v>
      </c>
      <c r="B21" s="541" t="s">
        <v>377</v>
      </c>
      <c r="C21" s="542"/>
      <c r="D21" s="542"/>
      <c r="E21" s="542"/>
      <c r="F21" s="542"/>
      <c r="G21" s="542"/>
      <c r="H21" s="543"/>
      <c r="I21" s="22"/>
    </row>
    <row r="22" spans="1:9" ht="11.25" customHeight="1"/>
    <row r="23" spans="1:9" ht="20.399999999999999">
      <c r="A23" s="545" t="s">
        <v>228</v>
      </c>
      <c r="B23" s="545"/>
      <c r="C23" s="545"/>
      <c r="D23" s="545"/>
      <c r="E23" s="545"/>
      <c r="F23" s="545"/>
      <c r="G23" s="545"/>
      <c r="H23" s="545"/>
      <c r="I23" s="545"/>
    </row>
    <row r="24" spans="1:9" ht="21" thickBot="1">
      <c r="A24" s="557" t="s">
        <v>413</v>
      </c>
      <c r="B24" s="557"/>
      <c r="C24" s="557"/>
      <c r="D24" s="557"/>
      <c r="E24" s="557"/>
      <c r="F24" s="557"/>
      <c r="G24" s="557"/>
      <c r="H24" s="557"/>
      <c r="I24" s="557"/>
    </row>
    <row r="25" spans="1:9" ht="18.75" customHeight="1" thickBot="1">
      <c r="A25" s="558" t="s">
        <v>39</v>
      </c>
      <c r="B25" s="559"/>
      <c r="C25" s="559"/>
      <c r="D25" s="559"/>
      <c r="E25" s="559"/>
      <c r="F25" s="559"/>
      <c r="G25" s="559"/>
      <c r="H25" s="559"/>
      <c r="I25" s="560"/>
    </row>
    <row r="26" spans="1:9" ht="16.5" customHeight="1" thickBot="1">
      <c r="A26" s="561" t="s">
        <v>40</v>
      </c>
      <c r="B26" s="562"/>
      <c r="C26" s="562"/>
      <c r="D26" s="562"/>
      <c r="E26" s="562"/>
      <c r="F26" s="562"/>
      <c r="G26" s="562"/>
      <c r="H26" s="562"/>
      <c r="I26" s="563"/>
    </row>
    <row r="27" spans="1:9" ht="18.600000000000001" customHeight="1">
      <c r="A27" s="564"/>
      <c r="B27" s="565" t="s">
        <v>24</v>
      </c>
      <c r="C27" s="566" t="s">
        <v>378</v>
      </c>
      <c r="D27" s="566" t="s">
        <v>388</v>
      </c>
      <c r="E27" s="530" t="s">
        <v>379</v>
      </c>
      <c r="F27" s="532" t="s">
        <v>383</v>
      </c>
      <c r="G27" s="533"/>
      <c r="H27" s="533"/>
      <c r="I27" s="534"/>
    </row>
    <row r="28" spans="1:9" ht="43.5" customHeight="1" thickBot="1">
      <c r="A28" s="564"/>
      <c r="B28" s="565"/>
      <c r="C28" s="567"/>
      <c r="D28" s="567"/>
      <c r="E28" s="531"/>
      <c r="F28" s="83" t="s">
        <v>384</v>
      </c>
      <c r="G28" s="83" t="s">
        <v>385</v>
      </c>
      <c r="H28" s="83" t="s">
        <v>386</v>
      </c>
      <c r="I28" s="84" t="s">
        <v>387</v>
      </c>
    </row>
    <row r="29" spans="1:9" ht="16.5" customHeight="1" thickBot="1">
      <c r="A29" s="67" t="s">
        <v>50</v>
      </c>
      <c r="B29" s="546"/>
      <c r="C29" s="547"/>
      <c r="D29" s="547"/>
      <c r="E29" s="547"/>
      <c r="F29" s="547"/>
      <c r="G29" s="547"/>
      <c r="H29" s="547"/>
      <c r="I29" s="548"/>
    </row>
    <row r="30" spans="1:9" ht="60" customHeight="1">
      <c r="A30" s="24" t="s">
        <v>389</v>
      </c>
      <c r="B30" s="25" t="s">
        <v>14</v>
      </c>
      <c r="C30" s="26"/>
      <c r="D30" s="26"/>
      <c r="E30" s="27"/>
      <c r="F30" s="27"/>
      <c r="G30" s="27"/>
      <c r="H30" s="27"/>
      <c r="I30" s="28"/>
    </row>
    <row r="31" spans="1:9" ht="18.75" customHeight="1">
      <c r="A31" s="29" t="s">
        <v>30</v>
      </c>
      <c r="B31" s="30" t="s">
        <v>15</v>
      </c>
      <c r="C31" s="31"/>
      <c r="D31" s="31"/>
      <c r="E31" s="32"/>
      <c r="F31" s="32"/>
      <c r="G31" s="32"/>
      <c r="H31" s="32"/>
      <c r="I31" s="33"/>
    </row>
    <row r="32" spans="1:9" ht="18.75" customHeight="1">
      <c r="A32" s="29" t="s">
        <v>41</v>
      </c>
      <c r="B32" s="30" t="s">
        <v>16</v>
      </c>
      <c r="C32" s="31"/>
      <c r="D32" s="31"/>
      <c r="E32" s="32"/>
      <c r="F32" s="32"/>
      <c r="G32" s="32"/>
      <c r="H32" s="32"/>
      <c r="I32" s="33"/>
    </row>
    <row r="33" spans="1:13" ht="29.25" customHeight="1">
      <c r="A33" s="34" t="s">
        <v>101</v>
      </c>
      <c r="B33" s="30" t="s">
        <v>17</v>
      </c>
      <c r="C33" s="31"/>
      <c r="D33" s="31"/>
      <c r="E33" s="32"/>
      <c r="F33" s="32"/>
      <c r="G33" s="32"/>
      <c r="H33" s="32"/>
      <c r="I33" s="33"/>
    </row>
    <row r="34" spans="1:13" s="11" customFormat="1" ht="58.5" customHeight="1">
      <c r="A34" s="35" t="s">
        <v>390</v>
      </c>
      <c r="B34" s="30" t="s">
        <v>42</v>
      </c>
      <c r="C34" s="31"/>
      <c r="D34" s="31"/>
      <c r="E34" s="32"/>
      <c r="F34" s="32"/>
      <c r="G34" s="32"/>
      <c r="H34" s="32"/>
      <c r="I34" s="33"/>
    </row>
    <row r="35" spans="1:13" ht="30" customHeight="1">
      <c r="A35" s="34" t="s">
        <v>102</v>
      </c>
      <c r="B35" s="30" t="s">
        <v>43</v>
      </c>
      <c r="C35" s="31"/>
      <c r="D35" s="31"/>
      <c r="E35" s="32"/>
      <c r="F35" s="32"/>
      <c r="G35" s="32"/>
      <c r="H35" s="32"/>
      <c r="I35" s="33"/>
    </row>
    <row r="36" spans="1:13" ht="31.2">
      <c r="A36" s="34" t="s">
        <v>103</v>
      </c>
      <c r="B36" s="30" t="s">
        <v>44</v>
      </c>
      <c r="C36" s="31"/>
      <c r="D36" s="31"/>
      <c r="E36" s="32"/>
      <c r="F36" s="32"/>
      <c r="G36" s="32"/>
      <c r="H36" s="32"/>
      <c r="I36" s="33"/>
    </row>
    <row r="37" spans="1:13" ht="46.8">
      <c r="A37" s="34" t="s">
        <v>391</v>
      </c>
      <c r="B37" s="86" t="s">
        <v>68</v>
      </c>
      <c r="C37" s="17">
        <v>17079.169999999998</v>
      </c>
      <c r="D37" s="511">
        <v>19054.97</v>
      </c>
      <c r="E37" s="36">
        <f>SUM(F37:I37)</f>
        <v>12543.130000000001</v>
      </c>
      <c r="F37" s="32">
        <f>F53</f>
        <v>3267.2700000000004</v>
      </c>
      <c r="G37" s="32">
        <f>G53</f>
        <v>3095.68</v>
      </c>
      <c r="H37" s="32">
        <f>H53</f>
        <v>3115.5700000000006</v>
      </c>
      <c r="I37" s="33">
        <f>I53</f>
        <v>3064.61</v>
      </c>
      <c r="J37" s="16">
        <f>K37+L37+M37</f>
        <v>12543.128000000001</v>
      </c>
      <c r="K37" s="8">
        <v>11945.79</v>
      </c>
      <c r="L37" s="8">
        <v>520.49800000000005</v>
      </c>
      <c r="M37" s="8">
        <v>76.84</v>
      </c>
    </row>
    <row r="38" spans="1:13" ht="30.75" customHeight="1">
      <c r="A38" s="141" t="s">
        <v>392</v>
      </c>
      <c r="B38" s="86"/>
      <c r="C38" s="17">
        <v>900</v>
      </c>
      <c r="D38" s="511"/>
      <c r="E38" s="36"/>
      <c r="F38" s="32"/>
      <c r="G38" s="32"/>
      <c r="H38" s="32"/>
      <c r="I38" s="33" t="s">
        <v>416</v>
      </c>
    </row>
    <row r="39" spans="1:13" ht="31.8" thickBot="1">
      <c r="A39" s="68" t="s">
        <v>395</v>
      </c>
      <c r="B39" s="82" t="s">
        <v>45</v>
      </c>
      <c r="C39" s="31">
        <v>1129.96</v>
      </c>
      <c r="D39" s="517">
        <v>631.12</v>
      </c>
      <c r="E39" s="36">
        <f>SUM(F39:I39)</f>
        <v>437.40999999999997</v>
      </c>
      <c r="F39" s="32">
        <v>109.36</v>
      </c>
      <c r="G39" s="32">
        <v>109.35</v>
      </c>
      <c r="H39" s="32">
        <v>109.35</v>
      </c>
      <c r="I39" s="33">
        <v>109.35</v>
      </c>
      <c r="J39" s="16"/>
    </row>
    <row r="40" spans="1:13" s="138" customFormat="1" ht="19.5" customHeight="1" thickBot="1">
      <c r="A40" s="133" t="s">
        <v>32</v>
      </c>
      <c r="B40" s="134" t="s">
        <v>46</v>
      </c>
      <c r="C40" s="135">
        <f>C37+C38+C34+C39</f>
        <v>19109.129999999997</v>
      </c>
      <c r="D40" s="136">
        <f t="shared" ref="D40:I40" si="0">D37+D38+D39</f>
        <v>19686.09</v>
      </c>
      <c r="E40" s="136">
        <f t="shared" si="0"/>
        <v>12980.54</v>
      </c>
      <c r="F40" s="136">
        <f t="shared" si="0"/>
        <v>3376.6300000000006</v>
      </c>
      <c r="G40" s="136">
        <f t="shared" si="0"/>
        <v>3205.0299999999997</v>
      </c>
      <c r="H40" s="136">
        <f t="shared" si="0"/>
        <v>3224.9200000000005</v>
      </c>
      <c r="I40" s="136" t="e">
        <f t="shared" si="0"/>
        <v>#VALUE!</v>
      </c>
      <c r="J40" s="139"/>
    </row>
    <row r="41" spans="1:13" ht="18.75" customHeight="1" thickBot="1">
      <c r="A41" s="89" t="s">
        <v>51</v>
      </c>
      <c r="B41" s="90"/>
      <c r="C41" s="91"/>
      <c r="D41" s="92"/>
      <c r="E41" s="125"/>
      <c r="F41" s="93"/>
      <c r="G41" s="93"/>
      <c r="H41" s="93"/>
      <c r="I41" s="94"/>
    </row>
    <row r="42" spans="1:13" ht="47.25" customHeight="1" thickBot="1">
      <c r="A42" s="69" t="s">
        <v>393</v>
      </c>
      <c r="B42" s="85" t="s">
        <v>93</v>
      </c>
      <c r="C42" s="131">
        <v>17979.169999999998</v>
      </c>
      <c r="D42" s="124">
        <f>D43</f>
        <v>19054.97</v>
      </c>
      <c r="E42" s="124">
        <f>E43</f>
        <v>12980.54</v>
      </c>
      <c r="F42" s="124">
        <f t="shared" ref="F42:I42" si="1">F43</f>
        <v>3376.6300000000006</v>
      </c>
      <c r="G42" s="124">
        <f t="shared" si="1"/>
        <v>3205.0299999999997</v>
      </c>
      <c r="H42" s="124">
        <f t="shared" si="1"/>
        <v>3224.9200000000005</v>
      </c>
      <c r="I42" s="142">
        <f t="shared" si="1"/>
        <v>3173.96</v>
      </c>
      <c r="J42" s="16"/>
    </row>
    <row r="43" spans="1:13" ht="33.75" customHeight="1" thickBot="1">
      <c r="A43" s="70" t="s">
        <v>394</v>
      </c>
      <c r="B43" s="85" t="s">
        <v>25</v>
      </c>
      <c r="C43" s="131">
        <v>17979.169999999998</v>
      </c>
      <c r="D43" s="124">
        <f>D53</f>
        <v>19054.97</v>
      </c>
      <c r="E43" s="124">
        <f>E53+E49</f>
        <v>12980.54</v>
      </c>
      <c r="F43" s="124">
        <f>F53+F49</f>
        <v>3376.6300000000006</v>
      </c>
      <c r="G43" s="124">
        <f t="shared" ref="G43:I43" si="2">G53+G49</f>
        <v>3205.0299999999997</v>
      </c>
      <c r="H43" s="124">
        <f t="shared" si="2"/>
        <v>3224.9200000000005</v>
      </c>
      <c r="I43" s="124">
        <f t="shared" si="2"/>
        <v>3173.96</v>
      </c>
    </row>
    <row r="44" spans="1:13" ht="31.2">
      <c r="A44" s="24" t="s">
        <v>396</v>
      </c>
      <c r="B44" s="45" t="s">
        <v>26</v>
      </c>
      <c r="C44" s="26"/>
      <c r="D44" s="26"/>
      <c r="E44" s="27"/>
      <c r="F44" s="27"/>
      <c r="G44" s="27"/>
      <c r="H44" s="27"/>
      <c r="I44" s="28"/>
    </row>
    <row r="45" spans="1:13" ht="31.2">
      <c r="A45" s="34" t="s">
        <v>104</v>
      </c>
      <c r="B45" s="549" t="s">
        <v>27</v>
      </c>
      <c r="C45" s="31"/>
      <c r="D45" s="31"/>
      <c r="E45" s="32"/>
      <c r="F45" s="32"/>
      <c r="G45" s="32"/>
      <c r="H45" s="32"/>
      <c r="I45" s="33"/>
    </row>
    <row r="46" spans="1:13" ht="15.6">
      <c r="A46" s="71" t="s">
        <v>85</v>
      </c>
      <c r="B46" s="550"/>
      <c r="C46" s="31"/>
      <c r="D46" s="31"/>
      <c r="E46" s="32"/>
      <c r="F46" s="32"/>
      <c r="G46" s="32"/>
      <c r="H46" s="32"/>
      <c r="I46" s="33"/>
    </row>
    <row r="47" spans="1:13" ht="15.6">
      <c r="A47" s="71" t="s">
        <v>86</v>
      </c>
      <c r="B47" s="551"/>
      <c r="C47" s="31"/>
      <c r="D47" s="31"/>
      <c r="E47" s="32"/>
      <c r="F47" s="32"/>
      <c r="G47" s="32"/>
      <c r="H47" s="32"/>
      <c r="I47" s="33"/>
    </row>
    <row r="48" spans="1:13" ht="31.2">
      <c r="A48" s="34" t="s">
        <v>105</v>
      </c>
      <c r="B48" s="30" t="s">
        <v>28</v>
      </c>
      <c r="C48" s="31"/>
      <c r="D48" s="31"/>
      <c r="E48" s="32"/>
      <c r="F48" s="32"/>
      <c r="G48" s="32"/>
      <c r="H48" s="32"/>
      <c r="I48" s="33"/>
    </row>
    <row r="49" spans="1:12" ht="31.2">
      <c r="A49" s="71" t="s">
        <v>397</v>
      </c>
      <c r="B49" s="30" t="s">
        <v>29</v>
      </c>
      <c r="C49" s="73">
        <v>1129.96</v>
      </c>
      <c r="D49" s="17">
        <v>631.12</v>
      </c>
      <c r="E49" s="36">
        <f>SUM(F49:I49)</f>
        <v>437.40999999999997</v>
      </c>
      <c r="F49" s="36">
        <v>109.36</v>
      </c>
      <c r="G49" s="36">
        <v>109.35</v>
      </c>
      <c r="H49" s="36">
        <v>109.35</v>
      </c>
      <c r="I49" s="38">
        <v>109.35</v>
      </c>
    </row>
    <row r="50" spans="1:12" ht="15.6">
      <c r="A50" s="71" t="s">
        <v>92</v>
      </c>
      <c r="B50" s="37" t="s">
        <v>31</v>
      </c>
      <c r="C50" s="74"/>
      <c r="D50" s="31"/>
      <c r="E50" s="32"/>
      <c r="F50" s="32"/>
      <c r="G50" s="32"/>
      <c r="H50" s="32"/>
      <c r="I50" s="132"/>
    </row>
    <row r="51" spans="1:12" ht="31.2">
      <c r="A51" s="61" t="s">
        <v>106</v>
      </c>
      <c r="B51" s="30" t="s">
        <v>47</v>
      </c>
      <c r="C51" s="74"/>
      <c r="D51" s="31"/>
      <c r="E51" s="32"/>
      <c r="F51" s="32"/>
      <c r="G51" s="32"/>
      <c r="H51" s="32"/>
      <c r="I51" s="132"/>
    </row>
    <row r="52" spans="1:12" ht="31.2">
      <c r="A52" s="34" t="s">
        <v>398</v>
      </c>
      <c r="B52" s="30" t="s">
        <v>48</v>
      </c>
      <c r="C52" s="32"/>
      <c r="D52" s="32"/>
      <c r="E52" s="32"/>
      <c r="F52" s="32"/>
      <c r="G52" s="32"/>
      <c r="H52" s="32"/>
      <c r="I52" s="132"/>
    </row>
    <row r="53" spans="1:12" ht="45.75" customHeight="1">
      <c r="A53" s="35" t="s">
        <v>75</v>
      </c>
      <c r="B53" s="39" t="s">
        <v>69</v>
      </c>
      <c r="C53" s="36">
        <f>C54</f>
        <v>17979.170000000002</v>
      </c>
      <c r="D53" s="36">
        <f>D54</f>
        <v>19054.97</v>
      </c>
      <c r="E53" s="36">
        <f>E54</f>
        <v>12543.130000000001</v>
      </c>
      <c r="F53" s="36">
        <f t="shared" ref="F53:I54" si="3">F54</f>
        <v>3267.2700000000004</v>
      </c>
      <c r="G53" s="36">
        <f t="shared" si="3"/>
        <v>3095.68</v>
      </c>
      <c r="H53" s="36">
        <f t="shared" si="3"/>
        <v>3115.5700000000006</v>
      </c>
      <c r="I53" s="38">
        <f t="shared" si="3"/>
        <v>3064.61</v>
      </c>
    </row>
    <row r="54" spans="1:12" ht="81" customHeight="1">
      <c r="A54" s="35" t="s">
        <v>257</v>
      </c>
      <c r="B54" s="39" t="s">
        <v>69</v>
      </c>
      <c r="C54" s="17">
        <f>C55+C63</f>
        <v>17979.170000000002</v>
      </c>
      <c r="D54" s="36">
        <f>D55</f>
        <v>19054.97</v>
      </c>
      <c r="E54" s="36">
        <f>E55</f>
        <v>12543.130000000001</v>
      </c>
      <c r="F54" s="36">
        <f t="shared" si="3"/>
        <v>3267.2700000000004</v>
      </c>
      <c r="G54" s="36">
        <f t="shared" si="3"/>
        <v>3095.68</v>
      </c>
      <c r="H54" s="36">
        <f t="shared" si="3"/>
        <v>3115.5700000000006</v>
      </c>
      <c r="I54" s="38">
        <f t="shared" si="3"/>
        <v>3064.61</v>
      </c>
    </row>
    <row r="55" spans="1:12" ht="19.5" customHeight="1">
      <c r="A55" s="141" t="s">
        <v>399</v>
      </c>
      <c r="B55" s="30" t="s">
        <v>76</v>
      </c>
      <c r="C55" s="40">
        <f>SUM(C56:C62)</f>
        <v>17079.170000000002</v>
      </c>
      <c r="D55" s="41">
        <f>D56+D57+D58+D59+D60+D61+D62</f>
        <v>19054.97</v>
      </c>
      <c r="E55" s="41">
        <f t="shared" ref="E55:I55" si="4">E56+E57+E58+E59+E60+E61</f>
        <v>12543.130000000001</v>
      </c>
      <c r="F55" s="41">
        <f t="shared" si="4"/>
        <v>3267.2700000000004</v>
      </c>
      <c r="G55" s="41">
        <f t="shared" si="4"/>
        <v>3095.68</v>
      </c>
      <c r="H55" s="41">
        <f>H56+H57+H58+H59+H60+H61</f>
        <v>3115.5700000000006</v>
      </c>
      <c r="I55" s="41">
        <f t="shared" si="4"/>
        <v>3064.61</v>
      </c>
      <c r="J55" s="16"/>
    </row>
    <row r="56" spans="1:12" ht="31.2">
      <c r="A56" s="71" t="s">
        <v>94</v>
      </c>
      <c r="B56" s="30" t="s">
        <v>77</v>
      </c>
      <c r="C56" s="511">
        <v>13965.83</v>
      </c>
      <c r="D56" s="17">
        <v>14241.68</v>
      </c>
      <c r="E56" s="36">
        <f>F56+G56+H56+I56</f>
        <v>9055.5400000000009</v>
      </c>
      <c r="F56" s="32">
        <v>2150.4699999999998</v>
      </c>
      <c r="G56" s="32">
        <f>2150.47-58.88-58.88</f>
        <v>2032.7099999999996</v>
      </c>
      <c r="H56" s="32">
        <f>2150.46+285.72</f>
        <v>2436.1800000000003</v>
      </c>
      <c r="I56" s="33">
        <f>2150.46+285.72</f>
        <v>2436.1800000000003</v>
      </c>
      <c r="J56" s="116">
        <f>4300.94-2150.47-2091.59</f>
        <v>58.879999999999654</v>
      </c>
      <c r="K56" s="8">
        <f>4183171/1000</f>
        <v>4183.1710000000003</v>
      </c>
      <c r="L56" s="8">
        <f>4872361/2/1000-2150.46</f>
        <v>285.7204999999999</v>
      </c>
    </row>
    <row r="57" spans="1:12" ht="31.2">
      <c r="A57" s="71" t="s">
        <v>95</v>
      </c>
      <c r="B57" s="30" t="s">
        <v>78</v>
      </c>
      <c r="C57" s="511">
        <v>3001.92</v>
      </c>
      <c r="D57" s="17">
        <v>3133.3</v>
      </c>
      <c r="E57" s="36">
        <f>F57+G57+H57+I57</f>
        <v>1959.24</v>
      </c>
      <c r="F57" s="75">
        <v>473.11</v>
      </c>
      <c r="G57" s="75">
        <f>473.1-58.9+0.01</f>
        <v>414.21000000000004</v>
      </c>
      <c r="H57" s="75">
        <f>473.11+62.85+0.01</f>
        <v>535.97</v>
      </c>
      <c r="I57" s="143">
        <f>473.1+62.85</f>
        <v>535.95000000000005</v>
      </c>
      <c r="J57" s="16">
        <f>946.21-473.11-414.205</f>
        <v>58.895000000000039</v>
      </c>
      <c r="K57" s="8">
        <f>887315/1000-473.11</f>
        <v>414.20500000000004</v>
      </c>
      <c r="L57" s="8">
        <f>1071919/2/1000</f>
        <v>535.95950000000005</v>
      </c>
    </row>
    <row r="58" spans="1:12" ht="31.2">
      <c r="A58" s="71" t="s">
        <v>96</v>
      </c>
      <c r="B58" s="30" t="s">
        <v>79</v>
      </c>
      <c r="C58" s="511">
        <v>65.06</v>
      </c>
      <c r="D58" s="17">
        <v>375.98</v>
      </c>
      <c r="E58" s="126">
        <f>F58+G58+H58+I58</f>
        <v>300.08000000000004</v>
      </c>
      <c r="F58" s="117">
        <v>49.37</v>
      </c>
      <c r="G58" s="117">
        <v>62.25</v>
      </c>
      <c r="H58" s="117">
        <f>49.37+76.84</f>
        <v>126.21000000000001</v>
      </c>
      <c r="I58" s="118">
        <v>62.25</v>
      </c>
    </row>
    <row r="59" spans="1:12" ht="48">
      <c r="A59" s="71" t="s">
        <v>107</v>
      </c>
      <c r="B59" s="30" t="s">
        <v>80</v>
      </c>
      <c r="C59" s="511">
        <v>11.4</v>
      </c>
      <c r="D59" s="17">
        <v>991.47</v>
      </c>
      <c r="E59" s="36">
        <f t="shared" ref="E59:E61" si="5">F59+G59+H59+I59</f>
        <v>1024.98</v>
      </c>
      <c r="F59" s="119">
        <v>502.01</v>
      </c>
      <c r="G59" s="117">
        <v>505.78</v>
      </c>
      <c r="H59" s="117">
        <v>7.86</v>
      </c>
      <c r="I59" s="118">
        <v>9.33</v>
      </c>
    </row>
    <row r="60" spans="1:12" ht="15.6">
      <c r="A60" s="516" t="s">
        <v>411</v>
      </c>
      <c r="B60" s="30" t="s">
        <v>81</v>
      </c>
      <c r="C60" s="511"/>
      <c r="D60" s="17"/>
      <c r="E60" s="36">
        <v>0.01</v>
      </c>
      <c r="F60" s="119">
        <v>0.01</v>
      </c>
      <c r="G60" s="117">
        <v>0</v>
      </c>
      <c r="H60" s="117">
        <v>0</v>
      </c>
      <c r="I60" s="118">
        <v>0</v>
      </c>
    </row>
    <row r="61" spans="1:12" ht="31.8">
      <c r="A61" s="71" t="s">
        <v>108</v>
      </c>
      <c r="B61" s="30" t="s">
        <v>83</v>
      </c>
      <c r="C61" s="511">
        <v>4.96</v>
      </c>
      <c r="D61" s="17">
        <v>182.75</v>
      </c>
      <c r="E61" s="126">
        <f t="shared" si="5"/>
        <v>203.28</v>
      </c>
      <c r="F61" s="117">
        <v>92.3</v>
      </c>
      <c r="G61" s="117">
        <v>80.73</v>
      </c>
      <c r="H61" s="117">
        <v>9.35</v>
      </c>
      <c r="I61" s="118">
        <v>20.9</v>
      </c>
    </row>
    <row r="62" spans="1:12" s="11" customFormat="1" ht="15.6">
      <c r="A62" s="71" t="s">
        <v>82</v>
      </c>
      <c r="B62" s="30" t="s">
        <v>84</v>
      </c>
      <c r="C62" s="17">
        <v>30</v>
      </c>
      <c r="D62" s="17">
        <v>129.79</v>
      </c>
      <c r="E62" s="36"/>
      <c r="F62" s="32"/>
      <c r="G62" s="42"/>
      <c r="H62" s="32"/>
      <c r="I62" s="33"/>
      <c r="J62" s="8"/>
    </row>
    <row r="63" spans="1:12" ht="16.2">
      <c r="A63" s="72" t="s">
        <v>400</v>
      </c>
      <c r="B63" s="30" t="s">
        <v>410</v>
      </c>
      <c r="C63" s="17">
        <v>900</v>
      </c>
      <c r="D63" s="17"/>
      <c r="E63" s="36"/>
      <c r="F63" s="36"/>
      <c r="G63" s="36"/>
      <c r="H63" s="36"/>
      <c r="I63" s="38"/>
    </row>
    <row r="64" spans="1:12" ht="16.2" thickBot="1">
      <c r="A64" s="68" t="s">
        <v>109</v>
      </c>
      <c r="B64" s="82" t="s">
        <v>49</v>
      </c>
      <c r="C64" s="43"/>
      <c r="D64" s="43"/>
      <c r="E64" s="44"/>
      <c r="F64" s="44"/>
      <c r="G64" s="44"/>
      <c r="H64" s="44"/>
      <c r="I64" s="77"/>
    </row>
    <row r="65" spans="1:10" s="138" customFormat="1" ht="18.75" customHeight="1" thickBot="1">
      <c r="A65" s="133" t="s">
        <v>18</v>
      </c>
      <c r="B65" s="134" t="s">
        <v>401</v>
      </c>
      <c r="C65" s="135">
        <f>C56+C57+C58+C59+C61+C62+C63+C44+C45+C48+C49</f>
        <v>19109.13</v>
      </c>
      <c r="D65" s="136">
        <f>D63+D42+D49</f>
        <v>19686.09</v>
      </c>
      <c r="E65" s="136">
        <f>E63+E42</f>
        <v>12980.54</v>
      </c>
      <c r="F65" s="136">
        <f>F63+F42</f>
        <v>3376.6300000000006</v>
      </c>
      <c r="G65" s="136">
        <f>G63+G42</f>
        <v>3205.0299999999997</v>
      </c>
      <c r="H65" s="136">
        <f>H63+H42</f>
        <v>3224.9200000000005</v>
      </c>
      <c r="I65" s="136">
        <f>I63+I42</f>
        <v>3173.96</v>
      </c>
      <c r="J65" s="137"/>
    </row>
    <row r="66" spans="1:10" ht="31.2">
      <c r="A66" s="95" t="s">
        <v>52</v>
      </c>
      <c r="B66" s="96" t="s">
        <v>402</v>
      </c>
      <c r="C66" s="97"/>
      <c r="D66" s="97"/>
      <c r="E66" s="98"/>
      <c r="F66" s="98"/>
      <c r="G66" s="98"/>
      <c r="H66" s="98"/>
      <c r="I66" s="99"/>
    </row>
    <row r="67" spans="1:10" ht="16.5" customHeight="1">
      <c r="A67" s="115" t="s">
        <v>53</v>
      </c>
      <c r="B67" s="87" t="s">
        <v>5</v>
      </c>
      <c r="C67" s="46">
        <v>0</v>
      </c>
      <c r="D67" s="46">
        <v>0</v>
      </c>
      <c r="E67" s="127">
        <v>0</v>
      </c>
      <c r="F67" s="47">
        <v>0</v>
      </c>
      <c r="G67" s="47">
        <v>0</v>
      </c>
      <c r="H67" s="47">
        <v>0</v>
      </c>
      <c r="I67" s="48">
        <v>0</v>
      </c>
    </row>
    <row r="68" spans="1:10" ht="45.75" customHeight="1">
      <c r="A68" s="79" t="s">
        <v>97</v>
      </c>
      <c r="B68" s="552" t="s">
        <v>6</v>
      </c>
      <c r="C68" s="46"/>
      <c r="D68" s="46"/>
      <c r="E68" s="127"/>
      <c r="F68" s="47"/>
      <c r="G68" s="47"/>
      <c r="H68" s="47"/>
      <c r="I68" s="48"/>
    </row>
    <row r="69" spans="1:10" ht="16.5" customHeight="1">
      <c r="A69" s="115" t="s">
        <v>56</v>
      </c>
      <c r="B69" s="553"/>
      <c r="C69" s="46"/>
      <c r="D69" s="46"/>
      <c r="E69" s="127"/>
      <c r="F69" s="47"/>
      <c r="G69" s="47"/>
      <c r="H69" s="47"/>
      <c r="I69" s="48"/>
    </row>
    <row r="70" spans="1:10" ht="63" customHeight="1">
      <c r="A70" s="79" t="s">
        <v>403</v>
      </c>
      <c r="B70" s="552" t="s">
        <v>7</v>
      </c>
      <c r="C70" s="46">
        <v>0</v>
      </c>
      <c r="D70" s="46">
        <v>0</v>
      </c>
      <c r="E70" s="127">
        <v>0</v>
      </c>
      <c r="F70" s="47">
        <v>0</v>
      </c>
      <c r="G70" s="47">
        <v>0</v>
      </c>
      <c r="H70" s="47">
        <v>0</v>
      </c>
      <c r="I70" s="48">
        <v>0</v>
      </c>
    </row>
    <row r="71" spans="1:10" ht="15.6">
      <c r="A71" s="79" t="s">
        <v>98</v>
      </c>
      <c r="B71" s="553"/>
      <c r="C71" s="51"/>
      <c r="D71" s="51"/>
      <c r="E71" s="127"/>
      <c r="F71" s="47"/>
      <c r="G71" s="47"/>
      <c r="H71" s="47"/>
      <c r="I71" s="48"/>
    </row>
    <row r="72" spans="1:10" ht="35.4" customHeight="1">
      <c r="A72" s="79" t="s">
        <v>99</v>
      </c>
      <c r="B72" s="88" t="s">
        <v>8</v>
      </c>
      <c r="C72" s="17">
        <v>0</v>
      </c>
      <c r="D72" s="17">
        <v>0</v>
      </c>
      <c r="E72" s="36">
        <v>0</v>
      </c>
      <c r="F72" s="32">
        <v>0</v>
      </c>
      <c r="G72" s="32">
        <v>0</v>
      </c>
      <c r="H72" s="32">
        <v>0</v>
      </c>
      <c r="I72" s="33">
        <v>0</v>
      </c>
    </row>
    <row r="73" spans="1:10" ht="31.2">
      <c r="A73" s="80" t="s">
        <v>54</v>
      </c>
      <c r="B73" s="88" t="s">
        <v>9</v>
      </c>
      <c r="C73" s="46">
        <v>0</v>
      </c>
      <c r="D73" s="17">
        <v>0</v>
      </c>
      <c r="E73" s="36">
        <v>0</v>
      </c>
      <c r="F73" s="32">
        <v>0</v>
      </c>
      <c r="G73" s="32">
        <v>0</v>
      </c>
      <c r="H73" s="32">
        <v>0</v>
      </c>
      <c r="I73" s="33">
        <v>0</v>
      </c>
    </row>
    <row r="74" spans="1:10" ht="15.6">
      <c r="A74" s="79" t="s">
        <v>55</v>
      </c>
      <c r="B74" s="88" t="s">
        <v>404</v>
      </c>
      <c r="C74" s="46">
        <v>0</v>
      </c>
      <c r="D74" s="17">
        <v>0</v>
      </c>
      <c r="E74" s="36">
        <v>0</v>
      </c>
      <c r="F74" s="32">
        <v>0</v>
      </c>
      <c r="G74" s="32">
        <v>0</v>
      </c>
      <c r="H74" s="32">
        <v>0</v>
      </c>
      <c r="I74" s="33">
        <v>0</v>
      </c>
    </row>
    <row r="75" spans="1:10" ht="16.2" thickBot="1">
      <c r="A75" s="100" t="s">
        <v>56</v>
      </c>
      <c r="B75" s="101" t="s">
        <v>405</v>
      </c>
      <c r="C75" s="57"/>
      <c r="D75" s="57"/>
      <c r="E75" s="102"/>
      <c r="F75" s="102"/>
      <c r="G75" s="102"/>
      <c r="H75" s="102"/>
      <c r="I75" s="103"/>
    </row>
    <row r="76" spans="1:10" ht="16.2" thickBot="1">
      <c r="A76" s="554" t="s">
        <v>57</v>
      </c>
      <c r="B76" s="555"/>
      <c r="C76" s="555"/>
      <c r="D76" s="555"/>
      <c r="E76" s="555"/>
      <c r="F76" s="555"/>
      <c r="G76" s="555"/>
      <c r="H76" s="555"/>
      <c r="I76" s="556"/>
    </row>
    <row r="77" spans="1:10" ht="31.2">
      <c r="A77" s="104" t="s">
        <v>58</v>
      </c>
      <c r="B77" s="105"/>
      <c r="C77" s="106"/>
      <c r="D77" s="106"/>
      <c r="E77" s="107"/>
      <c r="F77" s="107"/>
      <c r="G77" s="107"/>
      <c r="H77" s="108"/>
      <c r="I77" s="109"/>
    </row>
    <row r="78" spans="1:10" ht="15.6">
      <c r="A78" s="34" t="s">
        <v>70</v>
      </c>
      <c r="B78" s="37" t="s">
        <v>10</v>
      </c>
      <c r="C78" s="49"/>
      <c r="D78" s="49"/>
      <c r="E78" s="47"/>
      <c r="F78" s="47"/>
      <c r="G78" s="47"/>
      <c r="H78" s="55"/>
      <c r="I78" s="48"/>
    </row>
    <row r="79" spans="1:10" ht="31.2">
      <c r="A79" s="34" t="s">
        <v>100</v>
      </c>
      <c r="B79" s="37" t="s">
        <v>11</v>
      </c>
      <c r="C79" s="49"/>
      <c r="D79" s="49"/>
      <c r="E79" s="47"/>
      <c r="F79" s="47"/>
      <c r="G79" s="47"/>
      <c r="H79" s="55"/>
      <c r="I79" s="48"/>
    </row>
    <row r="80" spans="1:10" s="6" customFormat="1" ht="15.6">
      <c r="A80" s="34" t="s">
        <v>224</v>
      </c>
      <c r="B80" s="37" t="s">
        <v>12</v>
      </c>
      <c r="C80" s="51">
        <v>0</v>
      </c>
      <c r="D80" s="51">
        <f>D74</f>
        <v>0</v>
      </c>
      <c r="E80" s="51">
        <f t="shared" ref="E80:I80" si="6">E74</f>
        <v>0</v>
      </c>
      <c r="F80" s="50">
        <f t="shared" si="6"/>
        <v>0</v>
      </c>
      <c r="G80" s="50">
        <f t="shared" si="6"/>
        <v>0</v>
      </c>
      <c r="H80" s="50">
        <f t="shared" si="6"/>
        <v>0</v>
      </c>
      <c r="I80" s="76">
        <f t="shared" si="6"/>
        <v>0</v>
      </c>
    </row>
    <row r="81" spans="1:9" s="6" customFormat="1" ht="49.2" customHeight="1" thickBot="1">
      <c r="A81" s="81" t="s">
        <v>406</v>
      </c>
      <c r="B81" s="52" t="s">
        <v>1</v>
      </c>
      <c r="C81" s="59"/>
      <c r="D81" s="59"/>
      <c r="E81" s="53"/>
      <c r="F81" s="53"/>
      <c r="G81" s="53"/>
      <c r="H81" s="60"/>
      <c r="I81" s="54"/>
    </row>
    <row r="82" spans="1:9" ht="16.2" thickBot="1">
      <c r="A82" s="554" t="s">
        <v>407</v>
      </c>
      <c r="B82" s="555"/>
      <c r="C82" s="555"/>
      <c r="D82" s="555"/>
      <c r="E82" s="555"/>
      <c r="F82" s="555"/>
      <c r="G82" s="555"/>
      <c r="H82" s="555"/>
      <c r="I82" s="556"/>
    </row>
    <row r="83" spans="1:9" ht="15.6">
      <c r="A83" s="104" t="s">
        <v>59</v>
      </c>
      <c r="B83" s="110" t="s">
        <v>60</v>
      </c>
      <c r="C83" s="111"/>
      <c r="D83" s="111"/>
      <c r="E83" s="128"/>
      <c r="F83" s="112" t="s">
        <v>0</v>
      </c>
      <c r="G83" s="112" t="s">
        <v>0</v>
      </c>
      <c r="H83" s="112" t="s">
        <v>0</v>
      </c>
      <c r="I83" s="113" t="s">
        <v>0</v>
      </c>
    </row>
    <row r="84" spans="1:9" ht="16.2">
      <c r="A84" s="35" t="s">
        <v>110</v>
      </c>
      <c r="B84" s="37" t="s">
        <v>61</v>
      </c>
      <c r="C84" s="49"/>
      <c r="D84" s="49"/>
      <c r="E84" s="47"/>
      <c r="F84" s="47"/>
      <c r="G84" s="47"/>
      <c r="H84" s="55"/>
      <c r="I84" s="48"/>
    </row>
    <row r="85" spans="1:9" ht="30" customHeight="1">
      <c r="A85" s="35" t="s">
        <v>71</v>
      </c>
      <c r="B85" s="37" t="s">
        <v>62</v>
      </c>
      <c r="C85" s="57"/>
      <c r="D85" s="57"/>
      <c r="E85" s="129"/>
      <c r="F85" s="58" t="s">
        <v>0</v>
      </c>
      <c r="G85" s="58" t="s">
        <v>0</v>
      </c>
      <c r="H85" s="58" t="s">
        <v>0</v>
      </c>
      <c r="I85" s="56" t="s">
        <v>0</v>
      </c>
    </row>
    <row r="86" spans="1:9" ht="15.6">
      <c r="A86" s="34" t="s">
        <v>65</v>
      </c>
      <c r="B86" s="37" t="s">
        <v>63</v>
      </c>
      <c r="C86" s="49"/>
      <c r="D86" s="49"/>
      <c r="E86" s="47"/>
      <c r="F86" s="47"/>
      <c r="G86" s="47"/>
      <c r="H86" s="55"/>
      <c r="I86" s="48"/>
    </row>
    <row r="87" spans="1:9" ht="16.2" thickBot="1">
      <c r="A87" s="78" t="s">
        <v>408</v>
      </c>
      <c r="B87" s="52" t="s">
        <v>64</v>
      </c>
      <c r="C87" s="59"/>
      <c r="D87" s="59"/>
      <c r="E87" s="53"/>
      <c r="F87" s="53"/>
      <c r="G87" s="53"/>
      <c r="H87" s="60"/>
      <c r="I87" s="54"/>
    </row>
    <row r="88" spans="1:9" ht="10.5" customHeight="1">
      <c r="A88" s="12"/>
      <c r="B88" s="13"/>
      <c r="C88" s="14"/>
      <c r="D88" s="14"/>
      <c r="E88" s="130"/>
      <c r="F88" s="15"/>
      <c r="G88" s="15"/>
      <c r="H88" s="15"/>
      <c r="I88" s="15"/>
    </row>
    <row r="89" spans="1:9" ht="16.8">
      <c r="A89" s="114" t="s">
        <v>412</v>
      </c>
      <c r="B89" s="114"/>
      <c r="C89" s="114"/>
      <c r="D89" s="114"/>
      <c r="E89" s="114"/>
      <c r="F89" s="114"/>
      <c r="G89" s="544" t="s">
        <v>262</v>
      </c>
      <c r="H89" s="544"/>
      <c r="I89" s="544"/>
    </row>
    <row r="90" spans="1:9" ht="16.8">
      <c r="A90" s="62"/>
    </row>
    <row r="91" spans="1:9" ht="16.8">
      <c r="A91" s="114" t="s">
        <v>154</v>
      </c>
      <c r="B91" s="114"/>
      <c r="C91" s="114"/>
      <c r="D91" s="114"/>
      <c r="E91" s="114"/>
      <c r="F91" s="114"/>
      <c r="G91" s="544" t="s">
        <v>264</v>
      </c>
      <c r="H91" s="544"/>
      <c r="I91" s="544"/>
    </row>
    <row r="92" spans="1:9">
      <c r="A92" s="12"/>
    </row>
    <row r="93" spans="1:9">
      <c r="A93" s="12"/>
    </row>
    <row r="94" spans="1:9">
      <c r="A94" s="12"/>
    </row>
    <row r="95" spans="1:9">
      <c r="A95" s="12"/>
    </row>
  </sheetData>
  <mergeCells count="42">
    <mergeCell ref="G89:I89"/>
    <mergeCell ref="G91:I91"/>
    <mergeCell ref="B29:I29"/>
    <mergeCell ref="B45:B47"/>
    <mergeCell ref="B68:B69"/>
    <mergeCell ref="B70:B71"/>
    <mergeCell ref="A76:I76"/>
    <mergeCell ref="A82:I82"/>
    <mergeCell ref="A24:I24"/>
    <mergeCell ref="A25:I25"/>
    <mergeCell ref="A26:I26"/>
    <mergeCell ref="A27:A28"/>
    <mergeCell ref="B27:B28"/>
    <mergeCell ref="C27:C28"/>
    <mergeCell ref="D27:D28"/>
    <mergeCell ref="E27:E28"/>
    <mergeCell ref="F27:I27"/>
    <mergeCell ref="A23:I23"/>
    <mergeCell ref="B14:F14"/>
    <mergeCell ref="G14:H14"/>
    <mergeCell ref="B15:F15"/>
    <mergeCell ref="G15:H15"/>
    <mergeCell ref="B16:F16"/>
    <mergeCell ref="G16:H16"/>
    <mergeCell ref="B17:F17"/>
    <mergeCell ref="G17:H17"/>
    <mergeCell ref="B19:H19"/>
    <mergeCell ref="B20:H20"/>
    <mergeCell ref="B21:H21"/>
    <mergeCell ref="B11:F11"/>
    <mergeCell ref="G11:H11"/>
    <mergeCell ref="B12:F12"/>
    <mergeCell ref="G12:H12"/>
    <mergeCell ref="B13:F13"/>
    <mergeCell ref="G13:H13"/>
    <mergeCell ref="A10:F10"/>
    <mergeCell ref="G10:H10"/>
    <mergeCell ref="F2:I2"/>
    <mergeCell ref="F3:I3"/>
    <mergeCell ref="F4:I4"/>
    <mergeCell ref="G6:I6"/>
    <mergeCell ref="F8:H8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2"/>
  <sheetViews>
    <sheetView tabSelected="1" topLeftCell="A6" workbookViewId="0">
      <selection activeCell="A6" sqref="A6"/>
    </sheetView>
  </sheetViews>
  <sheetFormatPr defaultColWidth="11" defaultRowHeight="15"/>
  <cols>
    <col min="1" max="1" width="34.109375" style="23" customWidth="1"/>
    <col min="2" max="2" width="8.33203125" style="3" customWidth="1"/>
    <col min="3" max="3" width="11" style="3" customWidth="1"/>
    <col min="4" max="4" width="12.6640625" style="3" customWidth="1"/>
    <col min="5" max="5" width="12.109375" style="123" customWidth="1"/>
    <col min="6" max="6" width="11.109375" style="8" customWidth="1"/>
    <col min="7" max="7" width="11" style="8" customWidth="1"/>
    <col min="8" max="8" width="10.88671875" style="8" customWidth="1"/>
    <col min="9" max="9" width="12.88671875" style="8" customWidth="1"/>
    <col min="10" max="10" width="33" style="8" customWidth="1"/>
    <col min="11" max="16384" width="11" style="8"/>
  </cols>
  <sheetData>
    <row r="1" spans="1:13" ht="15.75" hidden="1" customHeight="1">
      <c r="A1" s="63"/>
      <c r="B1" s="18"/>
      <c r="C1" s="18" t="e">
        <f>#REF!/1000</f>
        <v>#REF!</v>
      </c>
      <c r="D1" s="18"/>
      <c r="E1" s="19"/>
      <c r="F1" s="19" t="e">
        <f>#REF!/1000</f>
        <v>#REF!</v>
      </c>
      <c r="G1" s="19"/>
      <c r="H1" s="19"/>
      <c r="I1" s="19" t="e">
        <f>#REF!/1000</f>
        <v>#REF!</v>
      </c>
      <c r="J1" s="19"/>
      <c r="K1" s="19" t="e">
        <f>#REF!/1000</f>
        <v>#REF!</v>
      </c>
      <c r="L1" s="19"/>
      <c r="M1" s="19"/>
    </row>
    <row r="2" spans="1:13" ht="15.75" hidden="1" customHeight="1">
      <c r="A2" s="64"/>
      <c r="B2" s="4"/>
      <c r="C2" s="4"/>
      <c r="D2" s="4"/>
      <c r="E2" s="120"/>
      <c r="F2" s="523" t="s">
        <v>72</v>
      </c>
      <c r="G2" s="523"/>
      <c r="H2" s="523"/>
      <c r="I2" s="523"/>
    </row>
    <row r="3" spans="1:13" ht="15.75" hidden="1" customHeight="1">
      <c r="A3" s="64"/>
      <c r="B3" s="4"/>
      <c r="C3" s="4"/>
      <c r="D3" s="4"/>
      <c r="E3" s="120"/>
      <c r="F3" s="523" t="s">
        <v>73</v>
      </c>
      <c r="G3" s="523"/>
      <c r="H3" s="523"/>
      <c r="I3" s="523"/>
    </row>
    <row r="4" spans="1:13" ht="15.75" hidden="1" customHeight="1">
      <c r="A4" s="64"/>
      <c r="B4" s="4"/>
      <c r="C4" s="4"/>
      <c r="D4" s="4"/>
      <c r="E4" s="120"/>
      <c r="F4" s="523" t="s">
        <v>74</v>
      </c>
      <c r="G4" s="523"/>
      <c r="H4" s="523"/>
      <c r="I4" s="523"/>
    </row>
    <row r="5" spans="1:13" ht="11.25" hidden="1" customHeight="1">
      <c r="A5" s="65"/>
      <c r="B5" s="4"/>
      <c r="C5" s="4"/>
      <c r="D5" s="4"/>
      <c r="E5" s="121"/>
      <c r="F5" s="4"/>
      <c r="G5" s="7"/>
      <c r="H5" s="7"/>
      <c r="I5" s="7"/>
    </row>
    <row r="6" spans="1:13" ht="46.5" customHeight="1">
      <c r="A6" s="65"/>
      <c r="B6" s="4"/>
      <c r="C6" s="4"/>
      <c r="D6" s="4"/>
      <c r="E6" s="121"/>
      <c r="F6" s="4"/>
      <c r="G6" s="524" t="s">
        <v>415</v>
      </c>
      <c r="H6" s="524"/>
      <c r="I6" s="524"/>
    </row>
    <row r="7" spans="1:13" ht="9.75" customHeight="1">
      <c r="A7" s="65"/>
      <c r="B7" s="4"/>
      <c r="C7" s="4"/>
      <c r="D7" s="4"/>
      <c r="E7" s="121"/>
      <c r="F7" s="4"/>
      <c r="G7" s="140"/>
      <c r="H7" s="140"/>
      <c r="I7" s="140"/>
    </row>
    <row r="8" spans="1:13" ht="15.6">
      <c r="A8" s="66"/>
      <c r="B8" s="4"/>
      <c r="C8" s="4"/>
      <c r="D8" s="4"/>
      <c r="E8" s="121"/>
      <c r="F8" s="523"/>
      <c r="G8" s="523"/>
      <c r="H8" s="523"/>
      <c r="I8" s="1" t="s">
        <v>33</v>
      </c>
    </row>
    <row r="9" spans="1:13" ht="15.6">
      <c r="A9" s="66" t="s">
        <v>2</v>
      </c>
      <c r="B9" s="4"/>
      <c r="C9" s="4"/>
      <c r="D9" s="4"/>
      <c r="E9" s="120"/>
      <c r="F9" s="4"/>
      <c r="G9" s="4"/>
      <c r="H9" s="9" t="s">
        <v>34</v>
      </c>
      <c r="I9" s="1">
        <v>2026</v>
      </c>
    </row>
    <row r="10" spans="1:13" ht="36" customHeight="1">
      <c r="A10" s="520" t="s">
        <v>254</v>
      </c>
      <c r="B10" s="520"/>
      <c r="C10" s="520"/>
      <c r="D10" s="520"/>
      <c r="E10" s="520"/>
      <c r="F10" s="520"/>
      <c r="G10" s="521" t="s">
        <v>3</v>
      </c>
      <c r="H10" s="522"/>
      <c r="I10" s="1">
        <v>41779965</v>
      </c>
    </row>
    <row r="11" spans="1:13" ht="15.6">
      <c r="A11" s="10" t="s">
        <v>22</v>
      </c>
      <c r="B11" s="525" t="s">
        <v>66</v>
      </c>
      <c r="C11" s="525"/>
      <c r="D11" s="525"/>
      <c r="E11" s="525"/>
      <c r="F11" s="525"/>
      <c r="G11" s="526" t="s">
        <v>13</v>
      </c>
      <c r="H11" s="526"/>
      <c r="I11" s="1">
        <v>150</v>
      </c>
    </row>
    <row r="12" spans="1:13" ht="15.6">
      <c r="A12" s="10" t="s">
        <v>35</v>
      </c>
      <c r="B12" s="527" t="s">
        <v>252</v>
      </c>
      <c r="C12" s="527"/>
      <c r="D12" s="527"/>
      <c r="E12" s="527"/>
      <c r="F12" s="527"/>
      <c r="G12" s="526" t="s">
        <v>36</v>
      </c>
      <c r="H12" s="526"/>
      <c r="I12" s="1">
        <v>511700000</v>
      </c>
    </row>
    <row r="13" spans="1:13" ht="15.6">
      <c r="A13" s="10" t="s">
        <v>87</v>
      </c>
      <c r="B13" s="528" t="s">
        <v>255</v>
      </c>
      <c r="C13" s="528"/>
      <c r="D13" s="528"/>
      <c r="E13" s="528"/>
      <c r="F13" s="528"/>
      <c r="G13" s="526"/>
      <c r="H13" s="526"/>
      <c r="I13" s="1"/>
    </row>
    <row r="14" spans="1:13" ht="15.6">
      <c r="A14" s="10" t="s">
        <v>23</v>
      </c>
      <c r="B14" s="525" t="s">
        <v>88</v>
      </c>
      <c r="C14" s="525"/>
      <c r="D14" s="525"/>
      <c r="E14" s="525"/>
      <c r="F14" s="525"/>
      <c r="G14" s="526"/>
      <c r="H14" s="526"/>
      <c r="I14" s="1"/>
    </row>
    <row r="15" spans="1:13" ht="31.5" customHeight="1">
      <c r="A15" s="10" t="s">
        <v>380</v>
      </c>
      <c r="B15" s="525"/>
      <c r="C15" s="525"/>
      <c r="D15" s="525"/>
      <c r="E15" s="525"/>
      <c r="F15" s="525"/>
      <c r="G15" s="529" t="s">
        <v>4</v>
      </c>
      <c r="H15" s="529"/>
      <c r="I15" s="510" t="s">
        <v>67</v>
      </c>
    </row>
    <row r="16" spans="1:13" ht="15.6">
      <c r="A16" s="10" t="s">
        <v>89</v>
      </c>
      <c r="B16" s="525" t="s">
        <v>90</v>
      </c>
      <c r="C16" s="525"/>
      <c r="D16" s="525"/>
      <c r="E16" s="525"/>
      <c r="F16" s="525"/>
      <c r="G16" s="526"/>
      <c r="H16" s="526"/>
      <c r="I16" s="1"/>
    </row>
    <row r="17" spans="1:9" ht="15.6">
      <c r="A17" s="10" t="s">
        <v>37</v>
      </c>
      <c r="B17" s="525" t="s">
        <v>91</v>
      </c>
      <c r="C17" s="525"/>
      <c r="D17" s="525"/>
      <c r="E17" s="525"/>
      <c r="F17" s="525"/>
      <c r="G17" s="526"/>
      <c r="H17" s="526"/>
      <c r="I17" s="1"/>
    </row>
    <row r="18" spans="1:9" ht="15.6">
      <c r="A18" s="10" t="s">
        <v>38</v>
      </c>
      <c r="B18" s="20">
        <v>25</v>
      </c>
      <c r="C18" s="5"/>
      <c r="D18" s="5"/>
      <c r="E18" s="122"/>
      <c r="F18" s="21"/>
      <c r="G18" s="2"/>
      <c r="H18" s="2"/>
      <c r="I18" s="1"/>
    </row>
    <row r="19" spans="1:9" ht="15.6">
      <c r="A19" s="10" t="s">
        <v>19</v>
      </c>
      <c r="B19" s="535" t="s">
        <v>382</v>
      </c>
      <c r="C19" s="536"/>
      <c r="D19" s="536"/>
      <c r="E19" s="536"/>
      <c r="F19" s="536"/>
      <c r="G19" s="536"/>
      <c r="H19" s="537"/>
      <c r="I19" s="22"/>
    </row>
    <row r="20" spans="1:9" ht="15.6">
      <c r="A20" s="10" t="s">
        <v>20</v>
      </c>
      <c r="B20" s="538" t="s">
        <v>381</v>
      </c>
      <c r="C20" s="539"/>
      <c r="D20" s="539"/>
      <c r="E20" s="539"/>
      <c r="F20" s="539"/>
      <c r="G20" s="539"/>
      <c r="H20" s="540"/>
      <c r="I20" s="22"/>
    </row>
    <row r="21" spans="1:9" ht="15.6">
      <c r="A21" s="10" t="s">
        <v>21</v>
      </c>
      <c r="B21" s="541" t="s">
        <v>377</v>
      </c>
      <c r="C21" s="542"/>
      <c r="D21" s="542"/>
      <c r="E21" s="542"/>
      <c r="F21" s="542"/>
      <c r="G21" s="542"/>
      <c r="H21" s="543"/>
      <c r="I21" s="22"/>
    </row>
    <row r="23" spans="1:9" ht="20.399999999999999">
      <c r="A23" s="545" t="s">
        <v>417</v>
      </c>
      <c r="B23" s="545"/>
      <c r="C23" s="545"/>
      <c r="D23" s="545"/>
      <c r="E23" s="545"/>
      <c r="F23" s="545"/>
      <c r="G23" s="545"/>
      <c r="H23" s="545"/>
      <c r="I23" s="545"/>
    </row>
    <row r="24" spans="1:9" ht="21" thickBot="1">
      <c r="A24" s="557" t="s">
        <v>413</v>
      </c>
      <c r="B24" s="557"/>
      <c r="C24" s="557"/>
      <c r="D24" s="557"/>
      <c r="E24" s="557"/>
      <c r="F24" s="557"/>
      <c r="G24" s="557"/>
      <c r="H24" s="557"/>
      <c r="I24" s="557"/>
    </row>
    <row r="25" spans="1:9" ht="16.2" thickBot="1">
      <c r="A25" s="558" t="s">
        <v>39</v>
      </c>
      <c r="B25" s="559"/>
      <c r="C25" s="559"/>
      <c r="D25" s="559"/>
      <c r="E25" s="559"/>
      <c r="F25" s="559"/>
      <c r="G25" s="559"/>
      <c r="H25" s="559"/>
      <c r="I25" s="560"/>
    </row>
    <row r="26" spans="1:9" ht="16.2" thickBot="1">
      <c r="A26" s="561" t="s">
        <v>40</v>
      </c>
      <c r="B26" s="562"/>
      <c r="C26" s="562"/>
      <c r="D26" s="562"/>
      <c r="E26" s="562"/>
      <c r="F26" s="562"/>
      <c r="G26" s="562"/>
      <c r="H26" s="562"/>
      <c r="I26" s="563"/>
    </row>
    <row r="27" spans="1:9" ht="15.6">
      <c r="A27" s="564"/>
      <c r="B27" s="565" t="s">
        <v>24</v>
      </c>
      <c r="C27" s="566" t="s">
        <v>378</v>
      </c>
      <c r="D27" s="566" t="s">
        <v>388</v>
      </c>
      <c r="E27" s="530" t="s">
        <v>379</v>
      </c>
      <c r="F27" s="532" t="s">
        <v>383</v>
      </c>
      <c r="G27" s="533"/>
      <c r="H27" s="533"/>
      <c r="I27" s="534"/>
    </row>
    <row r="28" spans="1:9" ht="51" customHeight="1" thickBot="1">
      <c r="A28" s="564"/>
      <c r="B28" s="565"/>
      <c r="C28" s="567"/>
      <c r="D28" s="567"/>
      <c r="E28" s="531"/>
      <c r="F28" s="83" t="s">
        <v>384</v>
      </c>
      <c r="G28" s="83" t="s">
        <v>385</v>
      </c>
      <c r="H28" s="83" t="s">
        <v>386</v>
      </c>
      <c r="I28" s="84" t="s">
        <v>387</v>
      </c>
    </row>
    <row r="29" spans="1:9" ht="16.2" thickBot="1">
      <c r="A29" s="67" t="s">
        <v>50</v>
      </c>
      <c r="B29" s="546"/>
      <c r="C29" s="547"/>
      <c r="D29" s="547"/>
      <c r="E29" s="547"/>
      <c r="F29" s="547"/>
      <c r="G29" s="547"/>
      <c r="H29" s="547"/>
      <c r="I29" s="548"/>
    </row>
    <row r="30" spans="1:9" ht="62.4">
      <c r="A30" s="24" t="s">
        <v>389</v>
      </c>
      <c r="B30" s="25" t="s">
        <v>14</v>
      </c>
      <c r="C30" s="26"/>
      <c r="D30" s="26"/>
      <c r="E30" s="27"/>
      <c r="F30" s="27"/>
      <c r="G30" s="27"/>
      <c r="H30" s="27"/>
      <c r="I30" s="28"/>
    </row>
    <row r="31" spans="1:9" ht="15.6">
      <c r="A31" s="29" t="s">
        <v>30</v>
      </c>
      <c r="B31" s="30" t="s">
        <v>15</v>
      </c>
      <c r="C31" s="31"/>
      <c r="D31" s="31"/>
      <c r="E31" s="32"/>
      <c r="F31" s="32"/>
      <c r="G31" s="32"/>
      <c r="H31" s="32"/>
      <c r="I31" s="33"/>
    </row>
    <row r="32" spans="1:9" ht="15.6">
      <c r="A32" s="29" t="s">
        <v>41</v>
      </c>
      <c r="B32" s="30" t="s">
        <v>16</v>
      </c>
      <c r="C32" s="31"/>
      <c r="D32" s="31"/>
      <c r="E32" s="32"/>
      <c r="F32" s="32"/>
      <c r="G32" s="32"/>
      <c r="H32" s="32"/>
      <c r="I32" s="33"/>
    </row>
    <row r="33" spans="1:10" ht="31.2">
      <c r="A33" s="34" t="s">
        <v>101</v>
      </c>
      <c r="B33" s="30" t="s">
        <v>17</v>
      </c>
      <c r="C33" s="31"/>
      <c r="D33" s="31"/>
      <c r="E33" s="32"/>
      <c r="F33" s="32"/>
      <c r="G33" s="32"/>
      <c r="H33" s="32"/>
      <c r="I33" s="33"/>
    </row>
    <row r="34" spans="1:10" s="11" customFormat="1" ht="63">
      <c r="A34" s="35" t="s">
        <v>390</v>
      </c>
      <c r="B34" s="30" t="s">
        <v>42</v>
      </c>
      <c r="C34" s="31"/>
      <c r="D34" s="31"/>
      <c r="E34" s="32"/>
      <c r="F34" s="32"/>
      <c r="G34" s="32"/>
      <c r="H34" s="32"/>
      <c r="I34" s="33"/>
    </row>
    <row r="35" spans="1:10" ht="31.2">
      <c r="A35" s="34" t="s">
        <v>102</v>
      </c>
      <c r="B35" s="30" t="s">
        <v>43</v>
      </c>
      <c r="C35" s="31"/>
      <c r="D35" s="31"/>
      <c r="E35" s="32"/>
      <c r="F35" s="32"/>
      <c r="G35" s="32"/>
      <c r="H35" s="32"/>
      <c r="I35" s="33"/>
    </row>
    <row r="36" spans="1:10" ht="31.2">
      <c r="A36" s="34" t="s">
        <v>103</v>
      </c>
      <c r="B36" s="30" t="s">
        <v>44</v>
      </c>
      <c r="C36" s="31"/>
      <c r="D36" s="31"/>
      <c r="E36" s="32"/>
      <c r="F36" s="32"/>
      <c r="G36" s="32"/>
      <c r="H36" s="32"/>
      <c r="I36" s="33"/>
    </row>
    <row r="37" spans="1:10" ht="46.8">
      <c r="A37" s="34" t="s">
        <v>391</v>
      </c>
      <c r="B37" s="86" t="s">
        <v>68</v>
      </c>
      <c r="C37" s="17">
        <v>17079.169999999998</v>
      </c>
      <c r="D37" s="511">
        <f>D42</f>
        <v>19054.97</v>
      </c>
      <c r="E37" s="36">
        <f>SUM(F37:I37)</f>
        <v>12434.881000000001</v>
      </c>
      <c r="F37" s="32">
        <f>F53</f>
        <v>3267.2610000000004</v>
      </c>
      <c r="G37" s="32">
        <f>G53</f>
        <v>3007.9799999999996</v>
      </c>
      <c r="H37" s="32">
        <f>H53</f>
        <v>3105.2900000000004</v>
      </c>
      <c r="I37" s="33">
        <f>I53</f>
        <v>3054.3500000000004</v>
      </c>
      <c r="J37" s="16"/>
    </row>
    <row r="38" spans="1:10" ht="31.2">
      <c r="A38" s="141" t="s">
        <v>392</v>
      </c>
      <c r="B38" s="86"/>
      <c r="C38" s="17">
        <v>900</v>
      </c>
      <c r="D38" s="511"/>
      <c r="E38" s="36"/>
      <c r="F38" s="32"/>
      <c r="G38" s="32"/>
      <c r="H38" s="32"/>
      <c r="I38" s="33"/>
    </row>
    <row r="39" spans="1:10" ht="31.8" thickBot="1">
      <c r="A39" s="68" t="s">
        <v>395</v>
      </c>
      <c r="B39" s="82" t="s">
        <v>45</v>
      </c>
      <c r="C39" s="31">
        <v>1129.96</v>
      </c>
      <c r="D39" s="517">
        <v>631.12</v>
      </c>
      <c r="E39" s="36">
        <f>SUM(F39:I39)</f>
        <v>437.40999999999997</v>
      </c>
      <c r="F39" s="32">
        <v>109.36</v>
      </c>
      <c r="G39" s="32">
        <v>109.35</v>
      </c>
      <c r="H39" s="32">
        <v>109.35</v>
      </c>
      <c r="I39" s="33">
        <v>109.35</v>
      </c>
    </row>
    <row r="40" spans="1:10" s="138" customFormat="1" ht="16.2" thickBot="1">
      <c r="A40" s="133" t="s">
        <v>32</v>
      </c>
      <c r="B40" s="134" t="s">
        <v>46</v>
      </c>
      <c r="C40" s="135">
        <f>C37+C38+C34+C39</f>
        <v>19109.129999999997</v>
      </c>
      <c r="D40" s="136">
        <f t="shared" ref="D40:I40" si="0">D37+D38+D39</f>
        <v>19686.09</v>
      </c>
      <c r="E40" s="136">
        <f t="shared" si="0"/>
        <v>12872.291000000001</v>
      </c>
      <c r="F40" s="136">
        <f t="shared" si="0"/>
        <v>3376.6210000000005</v>
      </c>
      <c r="G40" s="136">
        <f t="shared" si="0"/>
        <v>3117.3299999999995</v>
      </c>
      <c r="H40" s="136">
        <f t="shared" si="0"/>
        <v>3214.6400000000003</v>
      </c>
      <c r="I40" s="136">
        <f t="shared" si="0"/>
        <v>3163.7000000000003</v>
      </c>
      <c r="J40" s="139"/>
    </row>
    <row r="41" spans="1:10" ht="16.8" thickBot="1">
      <c r="A41" s="89" t="s">
        <v>51</v>
      </c>
      <c r="B41" s="90"/>
      <c r="C41" s="91"/>
      <c r="D41" s="92"/>
      <c r="E41" s="125"/>
      <c r="F41" s="93"/>
      <c r="G41" s="93"/>
      <c r="H41" s="93"/>
      <c r="I41" s="94"/>
    </row>
    <row r="42" spans="1:10" ht="47.4" thickBot="1">
      <c r="A42" s="69" t="s">
        <v>393</v>
      </c>
      <c r="B42" s="85" t="s">
        <v>93</v>
      </c>
      <c r="C42" s="131">
        <v>17979.169999999998</v>
      </c>
      <c r="D42" s="124">
        <f>D43</f>
        <v>19054.97</v>
      </c>
      <c r="E42" s="124">
        <f>E43</f>
        <v>12872.291000000001</v>
      </c>
      <c r="F42" s="124">
        <f t="shared" ref="F42:I42" si="1">F43</f>
        <v>3376.6210000000005</v>
      </c>
      <c r="G42" s="124">
        <f t="shared" si="1"/>
        <v>3117.3299999999995</v>
      </c>
      <c r="H42" s="124">
        <f t="shared" si="1"/>
        <v>3214.6400000000003</v>
      </c>
      <c r="I42" s="142">
        <f t="shared" si="1"/>
        <v>3163.7000000000003</v>
      </c>
      <c r="J42" s="16"/>
    </row>
    <row r="43" spans="1:10" ht="33" thickBot="1">
      <c r="A43" s="70" t="s">
        <v>394</v>
      </c>
      <c r="B43" s="85" t="s">
        <v>25</v>
      </c>
      <c r="C43" s="131">
        <v>17979.169999999998</v>
      </c>
      <c r="D43" s="124">
        <f>D53</f>
        <v>19054.97</v>
      </c>
      <c r="E43" s="124">
        <f>E53+E49</f>
        <v>12872.291000000001</v>
      </c>
      <c r="F43" s="124">
        <f>F53+F49</f>
        <v>3376.6210000000005</v>
      </c>
      <c r="G43" s="124">
        <f t="shared" ref="G43:I43" si="2">G53+G49</f>
        <v>3117.3299999999995</v>
      </c>
      <c r="H43" s="124">
        <f t="shared" si="2"/>
        <v>3214.6400000000003</v>
      </c>
      <c r="I43" s="124">
        <f t="shared" si="2"/>
        <v>3163.7000000000003</v>
      </c>
    </row>
    <row r="44" spans="1:10" ht="31.2">
      <c r="A44" s="24" t="s">
        <v>396</v>
      </c>
      <c r="B44" s="45" t="s">
        <v>26</v>
      </c>
      <c r="C44" s="26"/>
      <c r="D44" s="26"/>
      <c r="E44" s="27"/>
      <c r="F44" s="27"/>
      <c r="G44" s="27"/>
      <c r="H44" s="27"/>
      <c r="I44" s="28"/>
    </row>
    <row r="45" spans="1:10" ht="31.2">
      <c r="A45" s="34" t="s">
        <v>104</v>
      </c>
      <c r="B45" s="549" t="s">
        <v>27</v>
      </c>
      <c r="C45" s="31"/>
      <c r="D45" s="31"/>
      <c r="E45" s="32"/>
      <c r="F45" s="32"/>
      <c r="G45" s="32"/>
      <c r="H45" s="32"/>
      <c r="I45" s="33"/>
    </row>
    <row r="46" spans="1:10" ht="15.6">
      <c r="A46" s="71" t="s">
        <v>85</v>
      </c>
      <c r="B46" s="550"/>
      <c r="C46" s="31"/>
      <c r="D46" s="31"/>
      <c r="E46" s="32"/>
      <c r="F46" s="32"/>
      <c r="G46" s="32"/>
      <c r="H46" s="32"/>
      <c r="I46" s="33"/>
    </row>
    <row r="47" spans="1:10" ht="15.6">
      <c r="A47" s="71" t="s">
        <v>86</v>
      </c>
      <c r="B47" s="551"/>
      <c r="C47" s="31"/>
      <c r="D47" s="31"/>
      <c r="E47" s="32"/>
      <c r="F47" s="32"/>
      <c r="G47" s="32"/>
      <c r="H47" s="32"/>
      <c r="I47" s="33"/>
    </row>
    <row r="48" spans="1:10" ht="31.2">
      <c r="A48" s="34" t="s">
        <v>105</v>
      </c>
      <c r="B48" s="30" t="s">
        <v>28</v>
      </c>
      <c r="C48" s="31"/>
      <c r="D48" s="31"/>
      <c r="E48" s="32"/>
      <c r="F48" s="32"/>
      <c r="G48" s="32"/>
      <c r="H48" s="32"/>
      <c r="I48" s="33"/>
    </row>
    <row r="49" spans="1:10" ht="31.2">
      <c r="A49" s="71" t="s">
        <v>397</v>
      </c>
      <c r="B49" s="30" t="s">
        <v>29</v>
      </c>
      <c r="C49" s="73">
        <v>1129.96</v>
      </c>
      <c r="D49" s="17">
        <v>631.12</v>
      </c>
      <c r="E49" s="36">
        <f>SUM(F49:I49)</f>
        <v>437.40999999999997</v>
      </c>
      <c r="F49" s="36">
        <v>109.36</v>
      </c>
      <c r="G49" s="36">
        <v>109.35</v>
      </c>
      <c r="H49" s="36">
        <v>109.35</v>
      </c>
      <c r="I49" s="38">
        <v>109.35</v>
      </c>
    </row>
    <row r="50" spans="1:10" ht="15.6">
      <c r="A50" s="71" t="s">
        <v>92</v>
      </c>
      <c r="B50" s="37" t="s">
        <v>31</v>
      </c>
      <c r="C50" s="74"/>
      <c r="D50" s="31"/>
      <c r="E50" s="32"/>
      <c r="F50" s="32"/>
      <c r="G50" s="32"/>
      <c r="H50" s="32"/>
      <c r="I50" s="132"/>
    </row>
    <row r="51" spans="1:10" ht="31.2">
      <c r="A51" s="61" t="s">
        <v>106</v>
      </c>
      <c r="B51" s="30" t="s">
        <v>47</v>
      </c>
      <c r="C51" s="74"/>
      <c r="D51" s="31"/>
      <c r="E51" s="32"/>
      <c r="F51" s="32"/>
      <c r="G51" s="32"/>
      <c r="H51" s="32"/>
      <c r="I51" s="132"/>
    </row>
    <row r="52" spans="1:10" ht="31.2">
      <c r="A52" s="34" t="s">
        <v>398</v>
      </c>
      <c r="B52" s="30" t="s">
        <v>48</v>
      </c>
      <c r="C52" s="32"/>
      <c r="D52" s="32"/>
      <c r="E52" s="32"/>
      <c r="F52" s="32"/>
      <c r="G52" s="32"/>
      <c r="H52" s="32"/>
      <c r="I52" s="132"/>
    </row>
    <row r="53" spans="1:10" ht="46.8">
      <c r="A53" s="35" t="s">
        <v>75</v>
      </c>
      <c r="B53" s="39" t="s">
        <v>69</v>
      </c>
      <c r="C53" s="36">
        <f>C54</f>
        <v>17979.170000000002</v>
      </c>
      <c r="D53" s="36">
        <f>D54</f>
        <v>19054.97</v>
      </c>
      <c r="E53" s="36">
        <f>E54</f>
        <v>12434.881000000001</v>
      </c>
      <c r="F53" s="36">
        <f t="shared" ref="F53:I54" si="3">F54</f>
        <v>3267.2610000000004</v>
      </c>
      <c r="G53" s="36">
        <f t="shared" si="3"/>
        <v>3007.9799999999996</v>
      </c>
      <c r="H53" s="36">
        <f t="shared" si="3"/>
        <v>3105.2900000000004</v>
      </c>
      <c r="I53" s="38">
        <f t="shared" si="3"/>
        <v>3054.3500000000004</v>
      </c>
    </row>
    <row r="54" spans="1:10" ht="78">
      <c r="A54" s="35" t="s">
        <v>257</v>
      </c>
      <c r="B54" s="39" t="s">
        <v>69</v>
      </c>
      <c r="C54" s="17">
        <f>C55+C63</f>
        <v>17979.170000000002</v>
      </c>
      <c r="D54" s="36">
        <f>D55</f>
        <v>19054.97</v>
      </c>
      <c r="E54" s="36">
        <f>E55</f>
        <v>12434.881000000001</v>
      </c>
      <c r="F54" s="36">
        <f t="shared" si="3"/>
        <v>3267.2610000000004</v>
      </c>
      <c r="G54" s="36">
        <f t="shared" si="3"/>
        <v>3007.9799999999996</v>
      </c>
      <c r="H54" s="36">
        <f t="shared" si="3"/>
        <v>3105.2900000000004</v>
      </c>
      <c r="I54" s="38">
        <f t="shared" si="3"/>
        <v>3054.3500000000004</v>
      </c>
    </row>
    <row r="55" spans="1:10" ht="16.2">
      <c r="A55" s="141" t="s">
        <v>399</v>
      </c>
      <c r="B55" s="30" t="s">
        <v>76</v>
      </c>
      <c r="C55" s="40">
        <f>SUM(C56:C62)</f>
        <v>17079.170000000002</v>
      </c>
      <c r="D55" s="41">
        <f>D56+D57+D58+D59+D60+D61+D62</f>
        <v>19054.97</v>
      </c>
      <c r="E55" s="41">
        <f t="shared" ref="E55:I55" si="4">E56+E57+E58+E59+E60+E61</f>
        <v>12434.881000000001</v>
      </c>
      <c r="F55" s="41">
        <f t="shared" si="4"/>
        <v>3267.2610000000004</v>
      </c>
      <c r="G55" s="41">
        <f t="shared" si="4"/>
        <v>3007.9799999999996</v>
      </c>
      <c r="H55" s="41">
        <f t="shared" si="4"/>
        <v>3105.2900000000004</v>
      </c>
      <c r="I55" s="41">
        <f t="shared" si="4"/>
        <v>3054.3500000000004</v>
      </c>
      <c r="J55" s="16"/>
    </row>
    <row r="56" spans="1:10" ht="31.2">
      <c r="A56" s="71" t="s">
        <v>94</v>
      </c>
      <c r="B56" s="30" t="s">
        <v>77</v>
      </c>
      <c r="C56" s="511">
        <v>13965.83</v>
      </c>
      <c r="D56" s="17">
        <v>14241.68</v>
      </c>
      <c r="E56" s="36">
        <f>F56+G56+H56+I56</f>
        <v>9038.7000000000007</v>
      </c>
      <c r="F56" s="32">
        <f>2150.47</f>
        <v>2150.4699999999998</v>
      </c>
      <c r="G56" s="32">
        <f>2150.47-117.77</f>
        <v>2032.6999999999998</v>
      </c>
      <c r="H56" s="32">
        <f>2150.46+277.3</f>
        <v>2427.7600000000002</v>
      </c>
      <c r="I56" s="32">
        <f>2150.46+277.3+0.01</f>
        <v>2427.7700000000004</v>
      </c>
      <c r="J56" s="116"/>
    </row>
    <row r="57" spans="1:10" ht="31.2">
      <c r="A57" s="71" t="s">
        <v>95</v>
      </c>
      <c r="B57" s="30" t="s">
        <v>78</v>
      </c>
      <c r="C57" s="511">
        <v>3001.92</v>
      </c>
      <c r="D57" s="17">
        <v>3133.3</v>
      </c>
      <c r="E57" s="36">
        <f>F57+G57+H57+I57</f>
        <v>1955.46</v>
      </c>
      <c r="F57" s="32">
        <f>473.1+0.01</f>
        <v>473.11</v>
      </c>
      <c r="G57" s="32">
        <f>473.1-58.96</f>
        <v>414.14000000000004</v>
      </c>
      <c r="H57" s="32">
        <f>473.11+61</f>
        <v>534.11</v>
      </c>
      <c r="I57" s="33">
        <f>473.1+61</f>
        <v>534.1</v>
      </c>
      <c r="J57" s="16"/>
    </row>
    <row r="58" spans="1:10" ht="31.2">
      <c r="A58" s="71" t="s">
        <v>96</v>
      </c>
      <c r="B58" s="30" t="s">
        <v>79</v>
      </c>
      <c r="C58" s="511">
        <v>65.06</v>
      </c>
      <c r="D58" s="17">
        <v>375.98</v>
      </c>
      <c r="E58" s="126">
        <f>F58+G58+H58+I58</f>
        <v>300.08</v>
      </c>
      <c r="F58" s="117">
        <v>49.37</v>
      </c>
      <c r="G58" s="117">
        <v>62.25</v>
      </c>
      <c r="H58" s="117">
        <f>49.37+38.42+38.42</f>
        <v>126.21</v>
      </c>
      <c r="I58" s="118">
        <f>62.25</f>
        <v>62.25</v>
      </c>
    </row>
    <row r="59" spans="1:10" ht="48">
      <c r="A59" s="71" t="s">
        <v>107</v>
      </c>
      <c r="B59" s="30" t="s">
        <v>80</v>
      </c>
      <c r="C59" s="511">
        <v>11.4</v>
      </c>
      <c r="D59" s="17">
        <v>991.47</v>
      </c>
      <c r="E59" s="36">
        <f t="shared" ref="E59:E61" si="5">F59+G59+H59+I59</f>
        <v>937.36</v>
      </c>
      <c r="F59" s="119">
        <v>502.01</v>
      </c>
      <c r="G59" s="117">
        <f>505.78-87.62</f>
        <v>418.15999999999997</v>
      </c>
      <c r="H59" s="117">
        <v>7.86</v>
      </c>
      <c r="I59" s="118">
        <v>9.33</v>
      </c>
    </row>
    <row r="60" spans="1:10" ht="15.6">
      <c r="A60" s="516" t="s">
        <v>411</v>
      </c>
      <c r="B60" s="30" t="s">
        <v>81</v>
      </c>
      <c r="C60" s="511"/>
      <c r="D60" s="17"/>
      <c r="E60" s="518">
        <v>1E-3</v>
      </c>
      <c r="F60" s="519">
        <v>1E-3</v>
      </c>
      <c r="G60" s="117">
        <v>0</v>
      </c>
      <c r="H60" s="117">
        <v>0</v>
      </c>
      <c r="I60" s="118">
        <v>0</v>
      </c>
    </row>
    <row r="61" spans="1:10" ht="31.8">
      <c r="A61" s="71" t="s">
        <v>108</v>
      </c>
      <c r="B61" s="30" t="s">
        <v>83</v>
      </c>
      <c r="C61" s="511">
        <v>4.96</v>
      </c>
      <c r="D61" s="17">
        <v>182.75</v>
      </c>
      <c r="E61" s="126">
        <f t="shared" si="5"/>
        <v>203.28</v>
      </c>
      <c r="F61" s="117">
        <v>92.3</v>
      </c>
      <c r="G61" s="117">
        <v>80.73</v>
      </c>
      <c r="H61" s="117">
        <v>9.35</v>
      </c>
      <c r="I61" s="118">
        <v>20.9</v>
      </c>
    </row>
    <row r="62" spans="1:10" s="11" customFormat="1" ht="15.6">
      <c r="A62" s="71" t="s">
        <v>82</v>
      </c>
      <c r="B62" s="30" t="s">
        <v>84</v>
      </c>
      <c r="C62" s="17">
        <v>30</v>
      </c>
      <c r="D62" s="17">
        <v>129.79</v>
      </c>
      <c r="E62" s="36"/>
      <c r="F62" s="32"/>
      <c r="G62" s="42"/>
      <c r="H62" s="32"/>
      <c r="I62" s="33"/>
      <c r="J62" s="8"/>
    </row>
    <row r="63" spans="1:10" ht="16.2">
      <c r="A63" s="72" t="s">
        <v>400</v>
      </c>
      <c r="B63" s="30" t="s">
        <v>410</v>
      </c>
      <c r="C63" s="17">
        <v>900</v>
      </c>
      <c r="D63" s="17"/>
      <c r="E63" s="36"/>
      <c r="F63" s="36"/>
      <c r="G63" s="36"/>
      <c r="H63" s="36"/>
      <c r="I63" s="38"/>
    </row>
    <row r="64" spans="1:10" ht="16.2" thickBot="1">
      <c r="A64" s="68" t="s">
        <v>109</v>
      </c>
      <c r="B64" s="82" t="s">
        <v>49</v>
      </c>
      <c r="C64" s="43"/>
      <c r="D64" s="43"/>
      <c r="E64" s="44"/>
      <c r="F64" s="44"/>
      <c r="G64" s="44"/>
      <c r="H64" s="44"/>
      <c r="I64" s="77"/>
    </row>
    <row r="65" spans="1:10" s="138" customFormat="1" ht="16.2" thickBot="1">
      <c r="A65" s="133" t="s">
        <v>18</v>
      </c>
      <c r="B65" s="134" t="s">
        <v>401</v>
      </c>
      <c r="C65" s="135">
        <f>C56+C57+C58+C59+C61+C62+C63+C44+C45+C48+C49</f>
        <v>19109.13</v>
      </c>
      <c r="D65" s="136">
        <f>D63+D42+D49</f>
        <v>19686.09</v>
      </c>
      <c r="E65" s="136">
        <f>E63+E42</f>
        <v>12872.291000000001</v>
      </c>
      <c r="F65" s="136">
        <f>F63+F42</f>
        <v>3376.6210000000005</v>
      </c>
      <c r="G65" s="136">
        <f>G63+G42</f>
        <v>3117.3299999999995</v>
      </c>
      <c r="H65" s="136">
        <f>H63+H42</f>
        <v>3214.6400000000003</v>
      </c>
      <c r="I65" s="136">
        <f>I63+I42</f>
        <v>3163.7000000000003</v>
      </c>
      <c r="J65" s="137"/>
    </row>
    <row r="66" spans="1:10" ht="31.2">
      <c r="A66" s="95" t="s">
        <v>52</v>
      </c>
      <c r="B66" s="96" t="s">
        <v>402</v>
      </c>
      <c r="C66" s="97"/>
      <c r="D66" s="97"/>
      <c r="E66" s="98"/>
      <c r="F66" s="98"/>
      <c r="G66" s="98"/>
      <c r="H66" s="98"/>
      <c r="I66" s="99"/>
    </row>
    <row r="67" spans="1:10" ht="15.6">
      <c r="A67" s="115" t="s">
        <v>53</v>
      </c>
      <c r="B67" s="87" t="s">
        <v>5</v>
      </c>
      <c r="C67" s="46">
        <v>0</v>
      </c>
      <c r="D67" s="46">
        <v>0</v>
      </c>
      <c r="E67" s="127">
        <v>0</v>
      </c>
      <c r="F67" s="47">
        <v>0</v>
      </c>
      <c r="G67" s="47">
        <v>0</v>
      </c>
      <c r="H67" s="47">
        <v>0</v>
      </c>
      <c r="I67" s="48">
        <v>0</v>
      </c>
    </row>
    <row r="68" spans="1:10" ht="46.8">
      <c r="A68" s="79" t="s">
        <v>97</v>
      </c>
      <c r="B68" s="552" t="s">
        <v>6</v>
      </c>
      <c r="C68" s="46"/>
      <c r="D68" s="46"/>
      <c r="E68" s="127"/>
      <c r="F68" s="47"/>
      <c r="G68" s="47"/>
      <c r="H68" s="47"/>
      <c r="I68" s="48"/>
    </row>
    <row r="69" spans="1:10" ht="15.6">
      <c r="A69" s="115" t="s">
        <v>56</v>
      </c>
      <c r="B69" s="553"/>
      <c r="C69" s="46"/>
      <c r="D69" s="46"/>
      <c r="E69" s="127"/>
      <c r="F69" s="47"/>
      <c r="G69" s="47"/>
      <c r="H69" s="47"/>
      <c r="I69" s="48"/>
    </row>
    <row r="70" spans="1:10" ht="62.4">
      <c r="A70" s="79" t="s">
        <v>403</v>
      </c>
      <c r="B70" s="552" t="s">
        <v>7</v>
      </c>
      <c r="C70" s="46">
        <v>0</v>
      </c>
      <c r="D70" s="46">
        <v>0</v>
      </c>
      <c r="E70" s="127">
        <v>0</v>
      </c>
      <c r="F70" s="47">
        <v>0</v>
      </c>
      <c r="G70" s="47">
        <v>0</v>
      </c>
      <c r="H70" s="47">
        <v>0</v>
      </c>
      <c r="I70" s="48">
        <v>0</v>
      </c>
    </row>
    <row r="71" spans="1:10" ht="15.6">
      <c r="A71" s="79" t="s">
        <v>98</v>
      </c>
      <c r="B71" s="553"/>
      <c r="C71" s="51"/>
      <c r="D71" s="51"/>
      <c r="E71" s="127"/>
      <c r="F71" s="47"/>
      <c r="G71" s="47"/>
      <c r="H71" s="47"/>
      <c r="I71" s="48"/>
    </row>
    <row r="72" spans="1:10" ht="31.2">
      <c r="A72" s="79" t="s">
        <v>99</v>
      </c>
      <c r="B72" s="88" t="s">
        <v>8</v>
      </c>
      <c r="C72" s="17">
        <v>0</v>
      </c>
      <c r="D72" s="17">
        <v>0</v>
      </c>
      <c r="E72" s="36">
        <v>0</v>
      </c>
      <c r="F72" s="32">
        <v>0</v>
      </c>
      <c r="G72" s="32">
        <v>0</v>
      </c>
      <c r="H72" s="32">
        <v>0</v>
      </c>
      <c r="I72" s="33">
        <v>0</v>
      </c>
    </row>
    <row r="73" spans="1:10" ht="31.2">
      <c r="A73" s="80" t="s">
        <v>54</v>
      </c>
      <c r="B73" s="88" t="s">
        <v>9</v>
      </c>
      <c r="C73" s="46">
        <v>0</v>
      </c>
      <c r="D73" s="17">
        <v>0</v>
      </c>
      <c r="E73" s="36">
        <v>0</v>
      </c>
      <c r="F73" s="32">
        <v>0</v>
      </c>
      <c r="G73" s="32">
        <v>0</v>
      </c>
      <c r="H73" s="32">
        <v>0</v>
      </c>
      <c r="I73" s="33">
        <v>0</v>
      </c>
    </row>
    <row r="74" spans="1:10" ht="15.6">
      <c r="A74" s="79" t="s">
        <v>55</v>
      </c>
      <c r="B74" s="88" t="s">
        <v>404</v>
      </c>
      <c r="C74" s="46">
        <v>0</v>
      </c>
      <c r="D74" s="17">
        <v>0</v>
      </c>
      <c r="E74" s="36">
        <v>0</v>
      </c>
      <c r="F74" s="32">
        <v>0</v>
      </c>
      <c r="G74" s="32">
        <v>0</v>
      </c>
      <c r="H74" s="32">
        <v>0</v>
      </c>
      <c r="I74" s="33">
        <v>0</v>
      </c>
    </row>
    <row r="75" spans="1:10" ht="16.2" thickBot="1">
      <c r="A75" s="100" t="s">
        <v>56</v>
      </c>
      <c r="B75" s="101" t="s">
        <v>405</v>
      </c>
      <c r="C75" s="57"/>
      <c r="D75" s="57"/>
      <c r="E75" s="102"/>
      <c r="F75" s="102"/>
      <c r="G75" s="102"/>
      <c r="H75" s="102"/>
      <c r="I75" s="103"/>
    </row>
    <row r="76" spans="1:10" ht="16.2" thickBot="1">
      <c r="A76" s="554" t="s">
        <v>57</v>
      </c>
      <c r="B76" s="555"/>
      <c r="C76" s="555"/>
      <c r="D76" s="555"/>
      <c r="E76" s="555"/>
      <c r="F76" s="555"/>
      <c r="G76" s="555"/>
      <c r="H76" s="555"/>
      <c r="I76" s="556"/>
    </row>
    <row r="77" spans="1:10" ht="31.2">
      <c r="A77" s="104" t="s">
        <v>58</v>
      </c>
      <c r="B77" s="105"/>
      <c r="C77" s="106"/>
      <c r="D77" s="106"/>
      <c r="E77" s="107"/>
      <c r="F77" s="107"/>
      <c r="G77" s="107"/>
      <c r="H77" s="108"/>
      <c r="I77" s="109"/>
    </row>
    <row r="78" spans="1:10" ht="15.6">
      <c r="A78" s="34" t="s">
        <v>70</v>
      </c>
      <c r="B78" s="37" t="s">
        <v>10</v>
      </c>
      <c r="C78" s="49"/>
      <c r="D78" s="49"/>
      <c r="E78" s="47"/>
      <c r="F78" s="47"/>
      <c r="G78" s="47"/>
      <c r="H78" s="55"/>
      <c r="I78" s="48"/>
    </row>
    <row r="79" spans="1:10" ht="31.2">
      <c r="A79" s="34" t="s">
        <v>100</v>
      </c>
      <c r="B79" s="37" t="s">
        <v>11</v>
      </c>
      <c r="C79" s="49"/>
      <c r="D79" s="49"/>
      <c r="E79" s="47"/>
      <c r="F79" s="47"/>
      <c r="G79" s="47"/>
      <c r="H79" s="55"/>
      <c r="I79" s="48"/>
    </row>
    <row r="80" spans="1:10" s="6" customFormat="1" ht="15.6">
      <c r="A80" s="34" t="s">
        <v>224</v>
      </c>
      <c r="B80" s="37" t="s">
        <v>12</v>
      </c>
      <c r="C80" s="51">
        <v>0</v>
      </c>
      <c r="D80" s="51">
        <f>D74</f>
        <v>0</v>
      </c>
      <c r="E80" s="51">
        <f t="shared" ref="E80:I80" si="6">E74</f>
        <v>0</v>
      </c>
      <c r="F80" s="50">
        <f t="shared" si="6"/>
        <v>0</v>
      </c>
      <c r="G80" s="50">
        <f t="shared" si="6"/>
        <v>0</v>
      </c>
      <c r="H80" s="50">
        <f t="shared" si="6"/>
        <v>0</v>
      </c>
      <c r="I80" s="76">
        <f t="shared" si="6"/>
        <v>0</v>
      </c>
    </row>
    <row r="81" spans="1:9" s="6" customFormat="1" ht="47.4" thickBot="1">
      <c r="A81" s="81" t="s">
        <v>406</v>
      </c>
      <c r="B81" s="52" t="s">
        <v>1</v>
      </c>
      <c r="C81" s="59"/>
      <c r="D81" s="59"/>
      <c r="E81" s="53"/>
      <c r="F81" s="53"/>
      <c r="G81" s="53"/>
      <c r="H81" s="60"/>
      <c r="I81" s="54"/>
    </row>
    <row r="82" spans="1:9" ht="16.2" thickBot="1">
      <c r="A82" s="554" t="s">
        <v>407</v>
      </c>
      <c r="B82" s="555"/>
      <c r="C82" s="555"/>
      <c r="D82" s="555"/>
      <c r="E82" s="555"/>
      <c r="F82" s="555"/>
      <c r="G82" s="555"/>
      <c r="H82" s="555"/>
      <c r="I82" s="556"/>
    </row>
    <row r="83" spans="1:9" ht="15.6">
      <c r="A83" s="104" t="s">
        <v>59</v>
      </c>
      <c r="B83" s="110" t="s">
        <v>60</v>
      </c>
      <c r="C83" s="111"/>
      <c r="D83" s="111"/>
      <c r="E83" s="128"/>
      <c r="F83" s="112" t="s">
        <v>0</v>
      </c>
      <c r="G83" s="112" t="s">
        <v>0</v>
      </c>
      <c r="H83" s="112" t="s">
        <v>0</v>
      </c>
      <c r="I83" s="113" t="s">
        <v>0</v>
      </c>
    </row>
    <row r="84" spans="1:9" ht="16.2">
      <c r="A84" s="35" t="s">
        <v>110</v>
      </c>
      <c r="B84" s="37" t="s">
        <v>61</v>
      </c>
      <c r="C84" s="49"/>
      <c r="D84" s="49"/>
      <c r="E84" s="47"/>
      <c r="F84" s="47"/>
      <c r="G84" s="47"/>
      <c r="H84" s="55"/>
      <c r="I84" s="48"/>
    </row>
    <row r="85" spans="1:9" ht="31.2">
      <c r="A85" s="35" t="s">
        <v>71</v>
      </c>
      <c r="B85" s="37" t="s">
        <v>62</v>
      </c>
      <c r="C85" s="57"/>
      <c r="D85" s="57"/>
      <c r="E85" s="129"/>
      <c r="F85" s="58" t="s">
        <v>0</v>
      </c>
      <c r="G85" s="58" t="s">
        <v>0</v>
      </c>
      <c r="H85" s="58" t="s">
        <v>0</v>
      </c>
      <c r="I85" s="56" t="s">
        <v>0</v>
      </c>
    </row>
    <row r="86" spans="1:9" ht="15.6">
      <c r="A86" s="34" t="s">
        <v>65</v>
      </c>
      <c r="B86" s="37" t="s">
        <v>63</v>
      </c>
      <c r="C86" s="49"/>
      <c r="D86" s="49"/>
      <c r="E86" s="47"/>
      <c r="F86" s="47"/>
      <c r="G86" s="47"/>
      <c r="H86" s="55"/>
      <c r="I86" s="48"/>
    </row>
    <row r="87" spans="1:9" ht="16.2" thickBot="1">
      <c r="A87" s="78" t="s">
        <v>408</v>
      </c>
      <c r="B87" s="52" t="s">
        <v>64</v>
      </c>
      <c r="C87" s="59"/>
      <c r="D87" s="59"/>
      <c r="E87" s="53"/>
      <c r="F87" s="53"/>
      <c r="G87" s="53"/>
      <c r="H87" s="60"/>
      <c r="I87" s="54"/>
    </row>
    <row r="88" spans="1:9" ht="15.6">
      <c r="A88" s="12"/>
      <c r="B88" s="13"/>
      <c r="C88" s="14"/>
      <c r="D88" s="14"/>
      <c r="E88" s="130"/>
      <c r="F88" s="15"/>
      <c r="G88" s="15"/>
      <c r="H88" s="15"/>
      <c r="I88" s="15"/>
    </row>
    <row r="89" spans="1:9" ht="16.8">
      <c r="A89" s="114" t="s">
        <v>412</v>
      </c>
      <c r="B89" s="114"/>
      <c r="C89" s="114"/>
      <c r="D89" s="114"/>
      <c r="E89" s="114"/>
      <c r="F89" s="114"/>
      <c r="G89" s="544" t="s">
        <v>262</v>
      </c>
      <c r="H89" s="544"/>
      <c r="I89" s="544"/>
    </row>
    <row r="90" spans="1:9" ht="16.8">
      <c r="A90" s="62"/>
    </row>
    <row r="91" spans="1:9" ht="16.8">
      <c r="A91" s="114" t="s">
        <v>154</v>
      </c>
      <c r="B91" s="114"/>
      <c r="C91" s="114"/>
      <c r="D91" s="114"/>
      <c r="E91" s="114"/>
      <c r="F91" s="114"/>
      <c r="G91" s="544" t="s">
        <v>264</v>
      </c>
      <c r="H91" s="544"/>
      <c r="I91" s="544"/>
    </row>
    <row r="92" spans="1:9">
      <c r="A92" s="12"/>
    </row>
  </sheetData>
  <mergeCells count="42">
    <mergeCell ref="G89:I89"/>
    <mergeCell ref="G91:I91"/>
    <mergeCell ref="A23:I23"/>
    <mergeCell ref="B29:I29"/>
    <mergeCell ref="B45:B47"/>
    <mergeCell ref="B68:B69"/>
    <mergeCell ref="B70:B71"/>
    <mergeCell ref="A76:I76"/>
    <mergeCell ref="A82:I82"/>
    <mergeCell ref="A24:I24"/>
    <mergeCell ref="A25:I25"/>
    <mergeCell ref="A26:I26"/>
    <mergeCell ref="A27:A28"/>
    <mergeCell ref="B27:B28"/>
    <mergeCell ref="C27:C28"/>
    <mergeCell ref="D27:D28"/>
    <mergeCell ref="E27:E28"/>
    <mergeCell ref="F27:I27"/>
    <mergeCell ref="B17:F17"/>
    <mergeCell ref="G17:H17"/>
    <mergeCell ref="B19:H19"/>
    <mergeCell ref="B20:H20"/>
    <mergeCell ref="B21:H21"/>
    <mergeCell ref="B14:F14"/>
    <mergeCell ref="G14:H14"/>
    <mergeCell ref="B15:F15"/>
    <mergeCell ref="G15:H15"/>
    <mergeCell ref="B16:F16"/>
    <mergeCell ref="G16:H16"/>
    <mergeCell ref="B11:F11"/>
    <mergeCell ref="G11:H11"/>
    <mergeCell ref="B12:F12"/>
    <mergeCell ref="G12:H12"/>
    <mergeCell ref="B13:F13"/>
    <mergeCell ref="G13:H13"/>
    <mergeCell ref="A10:F10"/>
    <mergeCell ref="G10:H10"/>
    <mergeCell ref="F2:I2"/>
    <mergeCell ref="F3:I3"/>
    <mergeCell ref="F4:I4"/>
    <mergeCell ref="G6:I6"/>
    <mergeCell ref="F8:H8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copies="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</sheetPr>
  <dimension ref="A1:BE99"/>
  <sheetViews>
    <sheetView view="pageBreakPreview" topLeftCell="A23" zoomScale="53" zoomScaleSheetLayoutView="53" workbookViewId="0">
      <selection activeCell="Q75" sqref="Q75:S75"/>
    </sheetView>
  </sheetViews>
  <sheetFormatPr defaultColWidth="9.109375" defaultRowHeight="14.4"/>
  <cols>
    <col min="1" max="1" width="5.5546875" style="282" customWidth="1"/>
    <col min="2" max="2" width="10.5546875" style="283" customWidth="1"/>
    <col min="3" max="3" width="60.44140625" style="282" customWidth="1"/>
    <col min="4" max="4" width="16.33203125" style="282" customWidth="1"/>
    <col min="5" max="5" width="15.5546875" style="282" customWidth="1"/>
    <col min="6" max="6" width="19" style="282" customWidth="1"/>
    <col min="7" max="7" width="22.5546875" style="282" customWidth="1"/>
    <col min="8" max="8" width="21.5546875" style="282" customWidth="1"/>
    <col min="9" max="9" width="20.88671875" style="282" customWidth="1"/>
    <col min="10" max="10" width="21.6640625" style="282" customWidth="1"/>
    <col min="11" max="11" width="20.6640625" style="282" customWidth="1"/>
    <col min="12" max="12" width="21.109375" style="282" customWidth="1"/>
    <col min="13" max="13" width="21" style="282" customWidth="1"/>
    <col min="14" max="14" width="18.44140625" style="282" customWidth="1"/>
    <col min="15" max="15" width="18.88671875" style="282" customWidth="1"/>
    <col min="16" max="16" width="19.33203125" style="282" customWidth="1"/>
    <col min="17" max="18" width="18" style="282" customWidth="1"/>
    <col min="19" max="19" width="18.88671875" style="282" customWidth="1"/>
    <col min="20" max="20" width="30.44140625" style="282" customWidth="1"/>
    <col min="21" max="16384" width="9.109375" style="282"/>
  </cols>
  <sheetData>
    <row r="1" spans="1:19" ht="15.6" hidden="1">
      <c r="D1" s="284" t="s">
        <v>283</v>
      </c>
    </row>
    <row r="2" spans="1:19" hidden="1">
      <c r="D2" s="285" t="s">
        <v>284</v>
      </c>
      <c r="E2" s="286" t="s">
        <v>285</v>
      </c>
      <c r="F2" s="287"/>
      <c r="G2" s="287"/>
    </row>
    <row r="3" spans="1:19" hidden="1">
      <c r="D3" s="286" t="s">
        <v>286</v>
      </c>
      <c r="E3" s="287"/>
      <c r="F3" s="287"/>
      <c r="G3" s="288">
        <f>G90</f>
        <v>11945765.9986814</v>
      </c>
    </row>
    <row r="4" spans="1:19" hidden="1">
      <c r="F4" s="289" t="s">
        <v>287</v>
      </c>
    </row>
    <row r="5" spans="1:19" hidden="1">
      <c r="D5" s="572" t="s">
        <v>288</v>
      </c>
      <c r="E5" s="572"/>
      <c r="F5" s="572"/>
      <c r="G5" s="290"/>
    </row>
    <row r="6" spans="1:19" hidden="1">
      <c r="D6" s="573" t="s">
        <v>111</v>
      </c>
      <c r="E6" s="573"/>
      <c r="F6" s="573"/>
    </row>
    <row r="7" spans="1:19" hidden="1">
      <c r="D7" s="290"/>
      <c r="E7" s="291"/>
      <c r="F7" s="572" t="s">
        <v>289</v>
      </c>
      <c r="G7" s="572"/>
    </row>
    <row r="8" spans="1:19" hidden="1">
      <c r="D8" s="573" t="s">
        <v>112</v>
      </c>
      <c r="E8" s="573"/>
      <c r="F8" s="573" t="s">
        <v>290</v>
      </c>
      <c r="G8" s="573"/>
    </row>
    <row r="9" spans="1:19" ht="15.6" hidden="1">
      <c r="D9" s="292" t="s">
        <v>291</v>
      </c>
      <c r="E9" s="293"/>
      <c r="F9" s="291"/>
    </row>
    <row r="10" spans="1:19" hidden="1">
      <c r="D10" s="289" t="s">
        <v>292</v>
      </c>
      <c r="G10" s="282" t="s">
        <v>113</v>
      </c>
    </row>
    <row r="11" spans="1:19" hidden="1"/>
    <row r="12" spans="1:19" hidden="1">
      <c r="D12" s="294"/>
      <c r="E12" s="294"/>
      <c r="F12" s="294"/>
      <c r="G12" s="294"/>
    </row>
    <row r="13" spans="1:19" s="296" customFormat="1" ht="25.5" customHeight="1">
      <c r="A13" s="574" t="s">
        <v>374</v>
      </c>
      <c r="B13" s="574"/>
      <c r="C13" s="574"/>
      <c r="D13" s="574"/>
      <c r="E13" s="574"/>
      <c r="F13" s="574"/>
      <c r="G13" s="574"/>
      <c r="H13" s="574"/>
      <c r="I13" s="574"/>
      <c r="J13" s="574"/>
      <c r="K13" s="574"/>
      <c r="L13" s="574"/>
      <c r="M13" s="574"/>
      <c r="N13" s="574"/>
      <c r="O13" s="574"/>
      <c r="P13" s="574"/>
      <c r="Q13" s="574"/>
      <c r="R13" s="574"/>
      <c r="S13" s="574"/>
    </row>
    <row r="14" spans="1:19" s="297" customFormat="1" ht="21.75" customHeight="1">
      <c r="A14" s="575" t="s">
        <v>293</v>
      </c>
      <c r="B14" s="575"/>
      <c r="C14" s="575"/>
      <c r="D14" s="575"/>
      <c r="E14" s="575"/>
      <c r="F14" s="575"/>
      <c r="G14" s="575"/>
      <c r="H14" s="575"/>
      <c r="I14" s="575"/>
      <c r="J14" s="575"/>
      <c r="K14" s="575"/>
      <c r="L14" s="575"/>
      <c r="M14" s="575"/>
      <c r="N14" s="575"/>
      <c r="O14" s="575"/>
      <c r="P14" s="575"/>
      <c r="Q14" s="575"/>
      <c r="R14" s="575"/>
      <c r="S14" s="575"/>
    </row>
    <row r="15" spans="1:19" s="297" customFormat="1" ht="22.2" customHeight="1">
      <c r="A15" s="299"/>
      <c r="B15" s="299"/>
      <c r="C15" s="299"/>
      <c r="D15" s="299"/>
      <c r="E15" s="299"/>
      <c r="F15" s="299"/>
      <c r="L15" s="298"/>
      <c r="S15" s="300" t="s">
        <v>114</v>
      </c>
    </row>
    <row r="16" spans="1:19" s="301" customFormat="1" ht="15.6" customHeight="1">
      <c r="A16" s="569" t="s">
        <v>115</v>
      </c>
      <c r="B16" s="571" t="s">
        <v>156</v>
      </c>
      <c r="C16" s="569" t="s">
        <v>116</v>
      </c>
      <c r="D16" s="569" t="s">
        <v>117</v>
      </c>
      <c r="E16" s="569" t="s">
        <v>118</v>
      </c>
      <c r="F16" s="569" t="s">
        <v>295</v>
      </c>
      <c r="G16" s="569" t="s">
        <v>296</v>
      </c>
      <c r="H16" s="568" t="s">
        <v>240</v>
      </c>
      <c r="I16" s="568" t="s">
        <v>241</v>
      </c>
      <c r="J16" s="568" t="s">
        <v>242</v>
      </c>
      <c r="K16" s="568" t="s">
        <v>243</v>
      </c>
      <c r="L16" s="568" t="s">
        <v>244</v>
      </c>
      <c r="M16" s="568" t="s">
        <v>245</v>
      </c>
      <c r="N16" s="568" t="s">
        <v>246</v>
      </c>
      <c r="O16" s="568" t="s">
        <v>247</v>
      </c>
      <c r="P16" s="568" t="s">
        <v>248</v>
      </c>
      <c r="Q16" s="568" t="s">
        <v>249</v>
      </c>
      <c r="R16" s="568" t="s">
        <v>250</v>
      </c>
      <c r="S16" s="568" t="s">
        <v>251</v>
      </c>
    </row>
    <row r="17" spans="1:57" s="302" customFormat="1" ht="73.5" customHeight="1">
      <c r="A17" s="570"/>
      <c r="B17" s="571"/>
      <c r="C17" s="576"/>
      <c r="D17" s="569"/>
      <c r="E17" s="569"/>
      <c r="F17" s="569"/>
      <c r="G17" s="569"/>
      <c r="H17" s="568"/>
      <c r="I17" s="568"/>
      <c r="J17" s="568"/>
      <c r="K17" s="568"/>
      <c r="L17" s="568"/>
      <c r="M17" s="568"/>
      <c r="N17" s="568"/>
      <c r="O17" s="568"/>
      <c r="P17" s="568"/>
      <c r="Q17" s="568"/>
      <c r="R17" s="568"/>
      <c r="S17" s="568"/>
    </row>
    <row r="18" spans="1:57" s="302" customFormat="1" ht="70.5" customHeight="1">
      <c r="A18" s="425"/>
      <c r="B18" s="425">
        <v>2610</v>
      </c>
      <c r="C18" s="426" t="s">
        <v>157</v>
      </c>
      <c r="D18" s="425"/>
      <c r="E18" s="425"/>
      <c r="F18" s="425"/>
      <c r="G18" s="427">
        <f t="shared" ref="G18" si="0">G19+G26+G31+G43+G73+G75</f>
        <v>11945765.9986814</v>
      </c>
      <c r="H18" s="427">
        <f t="shared" ref="H18" si="1">H19+H26+H31+H43+H73+H75</f>
        <v>1072027</v>
      </c>
      <c r="I18" s="427">
        <f t="shared" ref="I18" si="2">I19+I26+I31+I43+I73+I75</f>
        <v>1121393</v>
      </c>
      <c r="J18" s="427">
        <f t="shared" ref="J18" si="3">J19+J26+J31+J43+J73+J75</f>
        <v>1073824</v>
      </c>
      <c r="K18" s="427">
        <f t="shared" ref="K18" si="4">K19+K26+K31+K43+K73+K75</f>
        <v>1068172</v>
      </c>
      <c r="L18" s="427">
        <f t="shared" ref="L18" si="5">L19+L26+L31+L43+L73+L75</f>
        <v>1135843</v>
      </c>
      <c r="M18" s="427">
        <f t="shared" ref="M18" si="6">M19+M26+M31+M43+M73+M75</f>
        <v>1068319</v>
      </c>
      <c r="N18" s="427">
        <f t="shared" ref="N18" si="7">N19+N26+N31+N43+N73+N75</f>
        <v>881103</v>
      </c>
      <c r="O18" s="427">
        <f t="shared" ref="O18" si="8">O19+O26+O31+O43+O73+O75</f>
        <v>928308</v>
      </c>
      <c r="P18" s="427">
        <f t="shared" ref="P18" si="9">P19+P26+P31+P43+P73+P75</f>
        <v>880741</v>
      </c>
      <c r="Q18" s="427">
        <f t="shared" ref="Q18" si="10">Q19+Q26+Q31+Q43+Q73+Q75</f>
        <v>882790</v>
      </c>
      <c r="R18" s="427">
        <f t="shared" ref="R18" si="11">R19+R26+R31+R43+R73+R75</f>
        <v>950460</v>
      </c>
      <c r="S18" s="427">
        <f t="shared" ref="S18:T18" si="12">S19+S26+S31+S43+S73+S75</f>
        <v>882786</v>
      </c>
      <c r="T18" s="427">
        <f t="shared" si="12"/>
        <v>11945766</v>
      </c>
    </row>
    <row r="19" spans="1:57" s="302" customFormat="1" ht="22.8">
      <c r="A19" s="429" t="s">
        <v>119</v>
      </c>
      <c r="B19" s="425"/>
      <c r="C19" s="430" t="s">
        <v>120</v>
      </c>
      <c r="D19" s="431"/>
      <c r="E19" s="432"/>
      <c r="F19" s="432"/>
      <c r="G19" s="433">
        <f>SUM(G24,G25)</f>
        <v>8601859</v>
      </c>
      <c r="H19" s="433">
        <f t="shared" ref="H19:T19" si="13">SUM(H24,H25)</f>
        <v>716822</v>
      </c>
      <c r="I19" s="433">
        <f t="shared" si="13"/>
        <v>716822</v>
      </c>
      <c r="J19" s="433">
        <f t="shared" si="13"/>
        <v>716822</v>
      </c>
      <c r="K19" s="433">
        <f t="shared" si="13"/>
        <v>716822</v>
      </c>
      <c r="L19" s="433">
        <f t="shared" si="13"/>
        <v>716822</v>
      </c>
      <c r="M19" s="433">
        <f t="shared" si="13"/>
        <v>716822</v>
      </c>
      <c r="N19" s="433">
        <f t="shared" si="13"/>
        <v>716822</v>
      </c>
      <c r="O19" s="433">
        <f t="shared" si="13"/>
        <v>716821</v>
      </c>
      <c r="P19" s="433">
        <f t="shared" si="13"/>
        <v>716821</v>
      </c>
      <c r="Q19" s="433">
        <f t="shared" si="13"/>
        <v>716821</v>
      </c>
      <c r="R19" s="433">
        <f t="shared" si="13"/>
        <v>716821</v>
      </c>
      <c r="S19" s="433">
        <f t="shared" si="13"/>
        <v>716821</v>
      </c>
      <c r="T19" s="433">
        <f t="shared" si="13"/>
        <v>8601859</v>
      </c>
    </row>
    <row r="20" spans="1:57" s="302" customFormat="1" ht="24.75" customHeight="1">
      <c r="A20" s="434"/>
      <c r="B20" s="435"/>
      <c r="C20" s="436" t="s">
        <v>121</v>
      </c>
      <c r="D20" s="437" t="s">
        <v>122</v>
      </c>
      <c r="E20" s="438">
        <v>25</v>
      </c>
      <c r="F20" s="439">
        <f>G20/12/E20</f>
        <v>19255.48</v>
      </c>
      <c r="G20" s="439">
        <f>'ФОП_2026_25% '!G30*12</f>
        <v>5776644</v>
      </c>
      <c r="H20" s="439">
        <v>481387</v>
      </c>
      <c r="I20" s="439">
        <f>$H$20</f>
        <v>481387</v>
      </c>
      <c r="J20" s="439">
        <f>$H$20</f>
        <v>481387</v>
      </c>
      <c r="K20" s="439">
        <f>$H$20</f>
        <v>481387</v>
      </c>
      <c r="L20" s="439">
        <f t="shared" ref="L20:S20" si="14">$H$20</f>
        <v>481387</v>
      </c>
      <c r="M20" s="439">
        <f t="shared" si="14"/>
        <v>481387</v>
      </c>
      <c r="N20" s="439">
        <f t="shared" si="14"/>
        <v>481387</v>
      </c>
      <c r="O20" s="439">
        <f t="shared" si="14"/>
        <v>481387</v>
      </c>
      <c r="P20" s="439">
        <f t="shared" si="14"/>
        <v>481387</v>
      </c>
      <c r="Q20" s="439">
        <f t="shared" si="14"/>
        <v>481387</v>
      </c>
      <c r="R20" s="439">
        <f t="shared" si="14"/>
        <v>481387</v>
      </c>
      <c r="S20" s="439">
        <f t="shared" si="14"/>
        <v>481387</v>
      </c>
      <c r="T20" s="509">
        <f t="shared" ref="T20:T27" si="15">SUM(H20:S20)</f>
        <v>5776644</v>
      </c>
    </row>
    <row r="21" spans="1:57" s="302" customFormat="1" ht="22.5" customHeight="1">
      <c r="A21" s="434"/>
      <c r="B21" s="435"/>
      <c r="C21" s="436" t="s">
        <v>123</v>
      </c>
      <c r="D21" s="437" t="s">
        <v>122</v>
      </c>
      <c r="E21" s="438">
        <v>24</v>
      </c>
      <c r="F21" s="439">
        <f>G21/12/E21</f>
        <v>1845.5833333333337</v>
      </c>
      <c r="G21" s="439">
        <f>'ФОП_2026_25% '!L30*12</f>
        <v>531528.00000000012</v>
      </c>
      <c r="H21" s="439">
        <v>44294</v>
      </c>
      <c r="I21" s="439">
        <f>$H$21</f>
        <v>44294</v>
      </c>
      <c r="J21" s="439">
        <f>$H$21</f>
        <v>44294</v>
      </c>
      <c r="K21" s="439">
        <f t="shared" ref="K21:S21" si="16">$H$21</f>
        <v>44294</v>
      </c>
      <c r="L21" s="439">
        <f t="shared" si="16"/>
        <v>44294</v>
      </c>
      <c r="M21" s="439">
        <f t="shared" si="16"/>
        <v>44294</v>
      </c>
      <c r="N21" s="439">
        <f t="shared" si="16"/>
        <v>44294</v>
      </c>
      <c r="O21" s="439">
        <f t="shared" si="16"/>
        <v>44294</v>
      </c>
      <c r="P21" s="439">
        <f t="shared" si="16"/>
        <v>44294</v>
      </c>
      <c r="Q21" s="439">
        <f t="shared" si="16"/>
        <v>44294</v>
      </c>
      <c r="R21" s="439">
        <f t="shared" si="16"/>
        <v>44294</v>
      </c>
      <c r="S21" s="439">
        <f t="shared" si="16"/>
        <v>44294</v>
      </c>
      <c r="T21" s="509">
        <f t="shared" si="15"/>
        <v>531528</v>
      </c>
    </row>
    <row r="22" spans="1:57" s="302" customFormat="1" ht="24" customHeight="1">
      <c r="A22" s="434"/>
      <c r="B22" s="435"/>
      <c r="C22" s="436" t="s">
        <v>124</v>
      </c>
      <c r="D22" s="437" t="s">
        <v>122</v>
      </c>
      <c r="E22" s="438">
        <v>19</v>
      </c>
      <c r="F22" s="439">
        <f>G22/12/E22</f>
        <v>2120</v>
      </c>
      <c r="G22" s="439">
        <f>'ФОП_2026_25% '!J30*12</f>
        <v>483360</v>
      </c>
      <c r="H22" s="439">
        <v>40280</v>
      </c>
      <c r="I22" s="439">
        <f>$H$22</f>
        <v>40280</v>
      </c>
      <c r="J22" s="439">
        <f>$H$22</f>
        <v>40280</v>
      </c>
      <c r="K22" s="439">
        <f t="shared" ref="K22:S22" si="17">$H$22</f>
        <v>40280</v>
      </c>
      <c r="L22" s="439">
        <f t="shared" si="17"/>
        <v>40280</v>
      </c>
      <c r="M22" s="439">
        <f t="shared" si="17"/>
        <v>40280</v>
      </c>
      <c r="N22" s="439">
        <f t="shared" si="17"/>
        <v>40280</v>
      </c>
      <c r="O22" s="439">
        <f t="shared" si="17"/>
        <v>40280</v>
      </c>
      <c r="P22" s="439">
        <f t="shared" si="17"/>
        <v>40280</v>
      </c>
      <c r="Q22" s="439">
        <f t="shared" si="17"/>
        <v>40280</v>
      </c>
      <c r="R22" s="439">
        <f t="shared" si="17"/>
        <v>40280</v>
      </c>
      <c r="S22" s="439">
        <f t="shared" si="17"/>
        <v>40280</v>
      </c>
      <c r="T22" s="509">
        <f t="shared" si="15"/>
        <v>483360</v>
      </c>
    </row>
    <row r="23" spans="1:57" s="302" customFormat="1" ht="67.5" customHeight="1">
      <c r="A23" s="434"/>
      <c r="B23" s="435"/>
      <c r="C23" s="440" t="s">
        <v>125</v>
      </c>
      <c r="D23" s="437" t="s">
        <v>122</v>
      </c>
      <c r="E23" s="438">
        <v>23</v>
      </c>
      <c r="F23" s="439">
        <f>G23/12/E23</f>
        <v>4815</v>
      </c>
      <c r="G23" s="439">
        <f>'ФОП_2026_25% '!I30*12</f>
        <v>1328940</v>
      </c>
      <c r="H23" s="439">
        <v>110745</v>
      </c>
      <c r="I23" s="439">
        <f>$H$23</f>
        <v>110745</v>
      </c>
      <c r="J23" s="439">
        <f t="shared" ref="J23:S23" si="18">$H$23</f>
        <v>110745</v>
      </c>
      <c r="K23" s="439">
        <f t="shared" si="18"/>
        <v>110745</v>
      </c>
      <c r="L23" s="439">
        <f t="shared" si="18"/>
        <v>110745</v>
      </c>
      <c r="M23" s="439">
        <f t="shared" si="18"/>
        <v>110745</v>
      </c>
      <c r="N23" s="439">
        <f t="shared" si="18"/>
        <v>110745</v>
      </c>
      <c r="O23" s="439">
        <f t="shared" si="18"/>
        <v>110745</v>
      </c>
      <c r="P23" s="439">
        <f t="shared" si="18"/>
        <v>110745</v>
      </c>
      <c r="Q23" s="439">
        <f t="shared" si="18"/>
        <v>110745</v>
      </c>
      <c r="R23" s="439">
        <f t="shared" si="18"/>
        <v>110745</v>
      </c>
      <c r="S23" s="439">
        <f t="shared" si="18"/>
        <v>110745</v>
      </c>
      <c r="T23" s="509">
        <f t="shared" si="15"/>
        <v>1328940</v>
      </c>
    </row>
    <row r="24" spans="1:57" s="302" customFormat="1" ht="19.95" customHeight="1">
      <c r="A24" s="441"/>
      <c r="B24" s="442"/>
      <c r="C24" s="429" t="s">
        <v>297</v>
      </c>
      <c r="D24" s="443"/>
      <c r="E24" s="444"/>
      <c r="F24" s="433"/>
      <c r="G24" s="445">
        <f>SUM(G20:G23)</f>
        <v>8120472</v>
      </c>
      <c r="H24" s="445">
        <f t="shared" ref="H24:T24" si="19">SUM(H20:H23)</f>
        <v>676706</v>
      </c>
      <c r="I24" s="445">
        <f t="shared" si="19"/>
        <v>676706</v>
      </c>
      <c r="J24" s="445">
        <f t="shared" si="19"/>
        <v>676706</v>
      </c>
      <c r="K24" s="445">
        <f t="shared" si="19"/>
        <v>676706</v>
      </c>
      <c r="L24" s="445">
        <f t="shared" si="19"/>
        <v>676706</v>
      </c>
      <c r="M24" s="445">
        <f t="shared" si="19"/>
        <v>676706</v>
      </c>
      <c r="N24" s="445">
        <f t="shared" si="19"/>
        <v>676706</v>
      </c>
      <c r="O24" s="445">
        <f t="shared" si="19"/>
        <v>676706</v>
      </c>
      <c r="P24" s="445">
        <f t="shared" si="19"/>
        <v>676706</v>
      </c>
      <c r="Q24" s="445">
        <f t="shared" si="19"/>
        <v>676706</v>
      </c>
      <c r="R24" s="445">
        <f t="shared" si="19"/>
        <v>676706</v>
      </c>
      <c r="S24" s="445">
        <f t="shared" si="19"/>
        <v>676706</v>
      </c>
      <c r="T24" s="445">
        <f t="shared" si="19"/>
        <v>8120472</v>
      </c>
    </row>
    <row r="25" spans="1:57" s="302" customFormat="1" ht="71.25" customHeight="1">
      <c r="A25" s="434"/>
      <c r="B25" s="435"/>
      <c r="C25" s="440" t="s">
        <v>253</v>
      </c>
      <c r="D25" s="437" t="s">
        <v>122</v>
      </c>
      <c r="E25" s="446">
        <v>25</v>
      </c>
      <c r="F25" s="439">
        <f>G25/E25</f>
        <v>19255.48</v>
      </c>
      <c r="G25" s="447">
        <f>'ФОП_2026_25% '!P30</f>
        <v>481387</v>
      </c>
      <c r="H25" s="447">
        <v>40116</v>
      </c>
      <c r="I25" s="439">
        <f>$H$25</f>
        <v>40116</v>
      </c>
      <c r="J25" s="439">
        <f t="shared" ref="J25:N25" si="20">$H$25</f>
        <v>40116</v>
      </c>
      <c r="K25" s="439">
        <f t="shared" si="20"/>
        <v>40116</v>
      </c>
      <c r="L25" s="439">
        <f t="shared" si="20"/>
        <v>40116</v>
      </c>
      <c r="M25" s="439">
        <f t="shared" si="20"/>
        <v>40116</v>
      </c>
      <c r="N25" s="439">
        <f t="shared" si="20"/>
        <v>40116</v>
      </c>
      <c r="O25" s="439">
        <f>$H$25-1</f>
        <v>40115</v>
      </c>
      <c r="P25" s="439">
        <f>$H$25-1</f>
        <v>40115</v>
      </c>
      <c r="Q25" s="439">
        <f>$H$25-1</f>
        <v>40115</v>
      </c>
      <c r="R25" s="439">
        <f>$H$25-1</f>
        <v>40115</v>
      </c>
      <c r="S25" s="439">
        <f>$H$25-1</f>
        <v>40115</v>
      </c>
      <c r="T25" s="509">
        <f t="shared" si="15"/>
        <v>481387</v>
      </c>
    </row>
    <row r="26" spans="1:57" s="334" customFormat="1" ht="22.8">
      <c r="A26" s="430" t="s">
        <v>126</v>
      </c>
      <c r="B26" s="442"/>
      <c r="C26" s="429" t="s">
        <v>127</v>
      </c>
      <c r="D26" s="448"/>
      <c r="E26" s="449"/>
      <c r="F26" s="449"/>
      <c r="G26" s="433">
        <f>G27</f>
        <v>1892409</v>
      </c>
      <c r="H26" s="433">
        <f t="shared" ref="H26:T26" si="21">H27</f>
        <v>157701</v>
      </c>
      <c r="I26" s="433">
        <f t="shared" si="21"/>
        <v>157701</v>
      </c>
      <c r="J26" s="433">
        <f t="shared" si="21"/>
        <v>157701</v>
      </c>
      <c r="K26" s="433">
        <f t="shared" si="21"/>
        <v>157701</v>
      </c>
      <c r="L26" s="433">
        <f t="shared" si="21"/>
        <v>157701</v>
      </c>
      <c r="M26" s="433">
        <f t="shared" si="21"/>
        <v>157701</v>
      </c>
      <c r="N26" s="433">
        <f t="shared" si="21"/>
        <v>157701</v>
      </c>
      <c r="O26" s="433">
        <f t="shared" si="21"/>
        <v>157701</v>
      </c>
      <c r="P26" s="433">
        <f t="shared" si="21"/>
        <v>157701</v>
      </c>
      <c r="Q26" s="433">
        <f t="shared" si="21"/>
        <v>157700</v>
      </c>
      <c r="R26" s="433">
        <f t="shared" si="21"/>
        <v>157700</v>
      </c>
      <c r="S26" s="433">
        <f t="shared" si="21"/>
        <v>157700</v>
      </c>
      <c r="T26" s="433">
        <f t="shared" si="21"/>
        <v>1892409</v>
      </c>
    </row>
    <row r="27" spans="1:57" s="302" customFormat="1" ht="116.25" customHeight="1">
      <c r="A27" s="434"/>
      <c r="B27" s="435"/>
      <c r="C27" s="450" t="s">
        <v>128</v>
      </c>
      <c r="D27" s="451" t="s">
        <v>114</v>
      </c>
      <c r="E27" s="446"/>
      <c r="F27" s="446"/>
      <c r="G27" s="447">
        <f>'ФОП_2026_25% '!N33+0.02</f>
        <v>1892409</v>
      </c>
      <c r="H27" s="447">
        <v>157701</v>
      </c>
      <c r="I27" s="447">
        <f>$H$27</f>
        <v>157701</v>
      </c>
      <c r="J27" s="447">
        <f t="shared" ref="J27:P27" si="22">$H$27</f>
        <v>157701</v>
      </c>
      <c r="K27" s="447">
        <f t="shared" si="22"/>
        <v>157701</v>
      </c>
      <c r="L27" s="447">
        <f t="shared" si="22"/>
        <v>157701</v>
      </c>
      <c r="M27" s="447">
        <f t="shared" si="22"/>
        <v>157701</v>
      </c>
      <c r="N27" s="447">
        <f t="shared" si="22"/>
        <v>157701</v>
      </c>
      <c r="O27" s="447">
        <f t="shared" si="22"/>
        <v>157701</v>
      </c>
      <c r="P27" s="447">
        <f t="shared" si="22"/>
        <v>157701</v>
      </c>
      <c r="Q27" s="447">
        <f>$H$27-1</f>
        <v>157700</v>
      </c>
      <c r="R27" s="447">
        <f>$H$27-1</f>
        <v>157700</v>
      </c>
      <c r="S27" s="447">
        <f>$H$27-1</f>
        <v>157700</v>
      </c>
      <c r="T27" s="509">
        <f t="shared" si="15"/>
        <v>1892409</v>
      </c>
    </row>
    <row r="28" spans="1:57" s="302" customFormat="1" ht="21" customHeight="1">
      <c r="A28" s="578"/>
      <c r="B28" s="578"/>
      <c r="C28" s="578"/>
      <c r="D28" s="578"/>
      <c r="E28" s="578"/>
      <c r="F28" s="578"/>
      <c r="G28" s="578"/>
      <c r="H28" s="428"/>
      <c r="I28" s="428"/>
      <c r="J28" s="428"/>
      <c r="K28" s="428"/>
      <c r="L28" s="428"/>
      <c r="M28" s="428"/>
      <c r="N28" s="428"/>
      <c r="O28" s="428"/>
      <c r="P28" s="428"/>
      <c r="Q28" s="428"/>
      <c r="R28" s="428"/>
      <c r="S28" s="428"/>
    </row>
    <row r="29" spans="1:57" s="302" customFormat="1" ht="22.5" customHeight="1">
      <c r="A29" s="569" t="s">
        <v>115</v>
      </c>
      <c r="B29" s="571" t="s">
        <v>156</v>
      </c>
      <c r="C29" s="569" t="s">
        <v>116</v>
      </c>
      <c r="D29" s="569" t="s">
        <v>117</v>
      </c>
      <c r="E29" s="579" t="s">
        <v>129</v>
      </c>
      <c r="F29" s="579" t="s">
        <v>130</v>
      </c>
      <c r="G29" s="579" t="s">
        <v>131</v>
      </c>
      <c r="H29" s="568" t="s">
        <v>240</v>
      </c>
      <c r="I29" s="568" t="s">
        <v>241</v>
      </c>
      <c r="J29" s="568" t="s">
        <v>242</v>
      </c>
      <c r="K29" s="568" t="s">
        <v>243</v>
      </c>
      <c r="L29" s="568" t="s">
        <v>244</v>
      </c>
      <c r="M29" s="568" t="s">
        <v>245</v>
      </c>
      <c r="N29" s="568" t="s">
        <v>246</v>
      </c>
      <c r="O29" s="568" t="s">
        <v>247</v>
      </c>
      <c r="P29" s="568" t="s">
        <v>248</v>
      </c>
      <c r="Q29" s="568" t="s">
        <v>249</v>
      </c>
      <c r="R29" s="568" t="s">
        <v>250</v>
      </c>
      <c r="S29" s="568" t="s">
        <v>251</v>
      </c>
    </row>
    <row r="30" spans="1:57" s="302" customFormat="1" ht="15" customHeight="1">
      <c r="A30" s="570"/>
      <c r="B30" s="571"/>
      <c r="C30" s="576"/>
      <c r="D30" s="569"/>
      <c r="E30" s="579"/>
      <c r="F30" s="579"/>
      <c r="G30" s="579"/>
      <c r="H30" s="568"/>
      <c r="I30" s="568"/>
      <c r="J30" s="568"/>
      <c r="K30" s="568"/>
      <c r="L30" s="568"/>
      <c r="M30" s="568"/>
      <c r="N30" s="568"/>
      <c r="O30" s="568"/>
      <c r="P30" s="568"/>
      <c r="Q30" s="568"/>
      <c r="R30" s="568"/>
      <c r="S30" s="568"/>
    </row>
    <row r="31" spans="1:57" s="302" customFormat="1" ht="48.75" customHeight="1">
      <c r="A31" s="452" t="s">
        <v>132</v>
      </c>
      <c r="B31" s="442"/>
      <c r="C31" s="453" t="s">
        <v>133</v>
      </c>
      <c r="D31" s="448"/>
      <c r="E31" s="449"/>
      <c r="F31" s="449"/>
      <c r="G31" s="433">
        <f>G32+G37</f>
        <v>223241</v>
      </c>
      <c r="H31" s="433">
        <f>H32+H37</f>
        <v>0</v>
      </c>
      <c r="I31" s="433">
        <f t="shared" ref="I31:T31" si="23">I32+I37</f>
        <v>49367</v>
      </c>
      <c r="J31" s="433">
        <f t="shared" si="23"/>
        <v>0</v>
      </c>
      <c r="K31" s="433">
        <f t="shared" si="23"/>
        <v>0</v>
      </c>
      <c r="L31" s="433">
        <f t="shared" si="23"/>
        <v>62254</v>
      </c>
      <c r="M31" s="433">
        <f t="shared" si="23"/>
        <v>0</v>
      </c>
      <c r="N31" s="433">
        <f t="shared" si="23"/>
        <v>0</v>
      </c>
      <c r="O31" s="433">
        <f t="shared" si="23"/>
        <v>49367</v>
      </c>
      <c r="P31" s="433">
        <f t="shared" si="23"/>
        <v>0</v>
      </c>
      <c r="Q31" s="433">
        <f t="shared" si="23"/>
        <v>0</v>
      </c>
      <c r="R31" s="433">
        <f t="shared" si="23"/>
        <v>62253</v>
      </c>
      <c r="S31" s="433">
        <f t="shared" si="23"/>
        <v>0</v>
      </c>
      <c r="T31" s="433">
        <f t="shared" si="23"/>
        <v>223241</v>
      </c>
    </row>
    <row r="32" spans="1:57" s="354" customFormat="1" ht="26.25" customHeight="1">
      <c r="A32" s="454" t="s">
        <v>134</v>
      </c>
      <c r="B32" s="455"/>
      <c r="C32" s="456" t="s">
        <v>226</v>
      </c>
      <c r="D32" s="457"/>
      <c r="E32" s="458"/>
      <c r="F32" s="458"/>
      <c r="G32" s="459">
        <f>SUM(G33:G36)</f>
        <v>204455</v>
      </c>
      <c r="H32" s="459">
        <f t="shared" ref="H32:S32" si="24">SUM(H33:H36)</f>
        <v>0</v>
      </c>
      <c r="I32" s="459">
        <f t="shared" si="24"/>
        <v>49367</v>
      </c>
      <c r="J32" s="459">
        <f t="shared" si="24"/>
        <v>0</v>
      </c>
      <c r="K32" s="459">
        <f t="shared" si="24"/>
        <v>0</v>
      </c>
      <c r="L32" s="459">
        <f t="shared" si="24"/>
        <v>52861</v>
      </c>
      <c r="M32" s="459">
        <f t="shared" si="24"/>
        <v>0</v>
      </c>
      <c r="N32" s="459">
        <f t="shared" si="24"/>
        <v>0</v>
      </c>
      <c r="O32" s="459">
        <f t="shared" si="24"/>
        <v>49367</v>
      </c>
      <c r="P32" s="459">
        <f t="shared" si="24"/>
        <v>0</v>
      </c>
      <c r="Q32" s="459">
        <f t="shared" si="24"/>
        <v>0</v>
      </c>
      <c r="R32" s="459">
        <f t="shared" si="24"/>
        <v>52860</v>
      </c>
      <c r="S32" s="459">
        <f t="shared" si="24"/>
        <v>0</v>
      </c>
      <c r="T32" s="459">
        <f t="shared" ref="T32" si="25">SUM(T33:T36)</f>
        <v>204455</v>
      </c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2"/>
      <c r="AF32" s="302"/>
      <c r="AG32" s="302"/>
      <c r="AH32" s="302"/>
      <c r="AI32" s="302"/>
      <c r="AJ32" s="302"/>
      <c r="AK32" s="302"/>
      <c r="AL32" s="302"/>
      <c r="AM32" s="302"/>
      <c r="AN32" s="302"/>
      <c r="AO32" s="302"/>
      <c r="AP32" s="302"/>
      <c r="AQ32" s="302"/>
      <c r="AR32" s="302"/>
      <c r="AS32" s="302"/>
      <c r="AT32" s="302"/>
      <c r="AU32" s="302"/>
      <c r="AV32" s="302"/>
      <c r="AW32" s="302"/>
      <c r="AX32" s="302"/>
      <c r="AY32" s="302"/>
      <c r="AZ32" s="302"/>
      <c r="BA32" s="302"/>
      <c r="BB32" s="302"/>
      <c r="BC32" s="302"/>
      <c r="BD32" s="302"/>
      <c r="BE32" s="302"/>
    </row>
    <row r="33" spans="1:57" s="354" customFormat="1" ht="22.5" customHeight="1">
      <c r="A33" s="461"/>
      <c r="B33" s="462"/>
      <c r="C33" s="463" t="s">
        <v>229</v>
      </c>
      <c r="D33" s="460" t="s">
        <v>227</v>
      </c>
      <c r="E33" s="465">
        <v>3000</v>
      </c>
      <c r="F33" s="464">
        <v>55.99</v>
      </c>
      <c r="G33" s="439">
        <f>E33*F33</f>
        <v>167970</v>
      </c>
      <c r="H33" s="439"/>
      <c r="I33" s="439">
        <v>41993</v>
      </c>
      <c r="J33" s="439"/>
      <c r="K33" s="439"/>
      <c r="L33" s="439">
        <f>I33-1</f>
        <v>41992</v>
      </c>
      <c r="M33" s="439"/>
      <c r="N33" s="439"/>
      <c r="O33" s="439">
        <f>I33</f>
        <v>41993</v>
      </c>
      <c r="P33" s="439"/>
      <c r="Q33" s="439"/>
      <c r="R33" s="439">
        <f>I33-1</f>
        <v>41992</v>
      </c>
      <c r="S33" s="439"/>
      <c r="T33" s="509">
        <f t="shared" ref="T33:T36" si="26">SUM(H33:S33)</f>
        <v>167970</v>
      </c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  <c r="AE33" s="302"/>
      <c r="AF33" s="302"/>
      <c r="AG33" s="302"/>
      <c r="AH33" s="302"/>
      <c r="AI33" s="302"/>
      <c r="AJ33" s="302"/>
      <c r="AK33" s="302"/>
      <c r="AL33" s="302"/>
      <c r="AM33" s="302"/>
      <c r="AN33" s="302"/>
      <c r="AO33" s="302"/>
      <c r="AP33" s="302"/>
      <c r="AQ33" s="302"/>
      <c r="AR33" s="302"/>
      <c r="AS33" s="302"/>
      <c r="AT33" s="302"/>
      <c r="AU33" s="302"/>
      <c r="AV33" s="302"/>
      <c r="AW33" s="302"/>
      <c r="AX33" s="302"/>
      <c r="AY33" s="302"/>
      <c r="AZ33" s="302"/>
      <c r="BA33" s="302"/>
      <c r="BB33" s="302"/>
      <c r="BC33" s="302"/>
      <c r="BD33" s="302"/>
      <c r="BE33" s="302"/>
    </row>
    <row r="34" spans="1:57" s="354" customFormat="1" ht="26.25" customHeight="1">
      <c r="A34" s="461"/>
      <c r="B34" s="462"/>
      <c r="C34" s="463" t="s">
        <v>324</v>
      </c>
      <c r="D34" s="460" t="s">
        <v>227</v>
      </c>
      <c r="E34" s="465">
        <v>500</v>
      </c>
      <c r="F34" s="464">
        <v>58.99</v>
      </c>
      <c r="G34" s="439">
        <f t="shared" ref="G34" si="27">E34*F34</f>
        <v>29495</v>
      </c>
      <c r="H34" s="439"/>
      <c r="I34" s="439">
        <v>7374</v>
      </c>
      <c r="J34" s="439"/>
      <c r="K34" s="439"/>
      <c r="L34" s="439">
        <f>I34</f>
        <v>7374</v>
      </c>
      <c r="M34" s="439"/>
      <c r="N34" s="439"/>
      <c r="O34" s="439">
        <f>I34</f>
        <v>7374</v>
      </c>
      <c r="P34" s="439"/>
      <c r="Q34" s="439"/>
      <c r="R34" s="439">
        <f>I34-1</f>
        <v>7373</v>
      </c>
      <c r="S34" s="439"/>
      <c r="T34" s="509">
        <f t="shared" si="26"/>
        <v>29495</v>
      </c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302"/>
      <c r="AF34" s="302"/>
      <c r="AG34" s="302"/>
      <c r="AH34" s="302"/>
      <c r="AI34" s="302"/>
      <c r="AJ34" s="302"/>
      <c r="AK34" s="302"/>
      <c r="AL34" s="302"/>
      <c r="AM34" s="302"/>
      <c r="AN34" s="302"/>
      <c r="AO34" s="302"/>
      <c r="AP34" s="302"/>
      <c r="AQ34" s="302"/>
      <c r="AR34" s="302"/>
      <c r="AS34" s="302"/>
      <c r="AT34" s="302"/>
      <c r="AU34" s="302"/>
      <c r="AV34" s="302"/>
      <c r="AW34" s="302"/>
      <c r="AX34" s="302"/>
      <c r="AY34" s="302"/>
      <c r="AZ34" s="302"/>
      <c r="BA34" s="302"/>
      <c r="BB34" s="302"/>
      <c r="BC34" s="302"/>
      <c r="BD34" s="302"/>
      <c r="BE34" s="302"/>
    </row>
    <row r="35" spans="1:57" s="354" customFormat="1" ht="43.5" customHeight="1">
      <c r="A35" s="461"/>
      <c r="B35" s="462"/>
      <c r="C35" s="466" t="s">
        <v>362</v>
      </c>
      <c r="D35" s="467" t="s">
        <v>136</v>
      </c>
      <c r="E35" s="468">
        <v>2</v>
      </c>
      <c r="F35" s="469">
        <v>505</v>
      </c>
      <c r="G35" s="470">
        <f>E35*F35</f>
        <v>1010</v>
      </c>
      <c r="H35" s="470"/>
      <c r="I35" s="470"/>
      <c r="J35" s="470"/>
      <c r="K35" s="470"/>
      <c r="L35" s="470">
        <v>505</v>
      </c>
      <c r="M35" s="470"/>
      <c r="N35" s="470"/>
      <c r="O35" s="470"/>
      <c r="P35" s="470"/>
      <c r="Q35" s="470"/>
      <c r="R35" s="470">
        <v>505</v>
      </c>
      <c r="S35" s="470"/>
      <c r="T35" s="509">
        <f t="shared" si="26"/>
        <v>1010</v>
      </c>
      <c r="U35" s="302"/>
      <c r="V35" s="302"/>
      <c r="W35" s="302"/>
      <c r="X35" s="302"/>
      <c r="Y35" s="302"/>
      <c r="Z35" s="302"/>
      <c r="AA35" s="302"/>
      <c r="AB35" s="302"/>
      <c r="AC35" s="302"/>
      <c r="AD35" s="302"/>
      <c r="AE35" s="302"/>
      <c r="AF35" s="302"/>
      <c r="AG35" s="302"/>
      <c r="AH35" s="302"/>
      <c r="AI35" s="302"/>
      <c r="AJ35" s="302"/>
      <c r="AK35" s="302"/>
      <c r="AL35" s="302"/>
      <c r="AM35" s="302"/>
      <c r="AN35" s="302"/>
      <c r="AO35" s="302"/>
      <c r="AP35" s="302"/>
      <c r="AQ35" s="302"/>
      <c r="AR35" s="302"/>
      <c r="AS35" s="302"/>
      <c r="AT35" s="302"/>
      <c r="AU35" s="302"/>
      <c r="AV35" s="302"/>
      <c r="AW35" s="302"/>
      <c r="AX35" s="302"/>
      <c r="AY35" s="302"/>
      <c r="AZ35" s="302"/>
      <c r="BA35" s="302"/>
      <c r="BB35" s="302"/>
      <c r="BC35" s="302"/>
      <c r="BD35" s="302"/>
      <c r="BE35" s="302"/>
    </row>
    <row r="36" spans="1:57" s="354" customFormat="1" ht="42" customHeight="1">
      <c r="A36" s="461"/>
      <c r="B36" s="462"/>
      <c r="C36" s="466" t="s">
        <v>363</v>
      </c>
      <c r="D36" s="467" t="s">
        <v>136</v>
      </c>
      <c r="E36" s="468">
        <v>2</v>
      </c>
      <c r="F36" s="469">
        <v>2990</v>
      </c>
      <c r="G36" s="470">
        <f>E36*F36</f>
        <v>5980</v>
      </c>
      <c r="H36" s="470"/>
      <c r="I36" s="470"/>
      <c r="J36" s="470"/>
      <c r="K36" s="470"/>
      <c r="L36" s="470">
        <v>2990</v>
      </c>
      <c r="M36" s="470"/>
      <c r="N36" s="470"/>
      <c r="O36" s="470"/>
      <c r="P36" s="470"/>
      <c r="Q36" s="470"/>
      <c r="R36" s="470">
        <v>2990</v>
      </c>
      <c r="S36" s="470"/>
      <c r="T36" s="509">
        <f t="shared" si="26"/>
        <v>5980</v>
      </c>
      <c r="U36" s="302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2"/>
      <c r="AG36" s="302"/>
      <c r="AH36" s="302"/>
      <c r="AI36" s="302"/>
      <c r="AJ36" s="302"/>
      <c r="AK36" s="302"/>
      <c r="AL36" s="302"/>
      <c r="AM36" s="302"/>
      <c r="AN36" s="302"/>
      <c r="AO36" s="302"/>
      <c r="AP36" s="302"/>
      <c r="AQ36" s="302"/>
      <c r="AR36" s="302"/>
      <c r="AS36" s="302"/>
      <c r="AT36" s="302"/>
      <c r="AU36" s="302"/>
      <c r="AV36" s="302"/>
      <c r="AW36" s="302"/>
      <c r="AX36" s="302"/>
      <c r="AY36" s="302"/>
      <c r="AZ36" s="302"/>
      <c r="BA36" s="302"/>
      <c r="BB36" s="302"/>
      <c r="BC36" s="302"/>
      <c r="BD36" s="302"/>
      <c r="BE36" s="302"/>
    </row>
    <row r="37" spans="1:57" s="354" customFormat="1" ht="42.75" customHeight="1">
      <c r="A37" s="454" t="s">
        <v>158</v>
      </c>
      <c r="B37" s="455"/>
      <c r="C37" s="456" t="s">
        <v>325</v>
      </c>
      <c r="D37" s="457"/>
      <c r="E37" s="458"/>
      <c r="F37" s="458"/>
      <c r="G37" s="459">
        <f>SUM(G38:G42)</f>
        <v>18786</v>
      </c>
      <c r="H37" s="459">
        <f t="shared" ref="H37:T37" si="28">SUM(H38:H42)</f>
        <v>0</v>
      </c>
      <c r="I37" s="459">
        <f t="shared" si="28"/>
        <v>0</v>
      </c>
      <c r="J37" s="459">
        <f t="shared" si="28"/>
        <v>0</v>
      </c>
      <c r="K37" s="459">
        <f t="shared" si="28"/>
        <v>0</v>
      </c>
      <c r="L37" s="459">
        <f t="shared" si="28"/>
        <v>9393</v>
      </c>
      <c r="M37" s="459">
        <f t="shared" si="28"/>
        <v>0</v>
      </c>
      <c r="N37" s="459">
        <f t="shared" si="28"/>
        <v>0</v>
      </c>
      <c r="O37" s="459">
        <f t="shared" si="28"/>
        <v>0</v>
      </c>
      <c r="P37" s="459">
        <f t="shared" si="28"/>
        <v>0</v>
      </c>
      <c r="Q37" s="459">
        <f t="shared" si="28"/>
        <v>0</v>
      </c>
      <c r="R37" s="459">
        <f t="shared" si="28"/>
        <v>9393</v>
      </c>
      <c r="S37" s="459">
        <f t="shared" si="28"/>
        <v>0</v>
      </c>
      <c r="T37" s="459">
        <f t="shared" si="28"/>
        <v>18786</v>
      </c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  <c r="AL37" s="302"/>
      <c r="AM37" s="302"/>
      <c r="AN37" s="302"/>
      <c r="AO37" s="302"/>
      <c r="AP37" s="302"/>
      <c r="AQ37" s="302"/>
      <c r="AR37" s="302"/>
      <c r="AS37" s="302"/>
      <c r="AT37" s="302"/>
      <c r="AU37" s="302"/>
      <c r="AV37" s="302"/>
      <c r="AW37" s="302"/>
      <c r="AX37" s="302"/>
      <c r="AY37" s="302"/>
      <c r="AZ37" s="302"/>
      <c r="BA37" s="302"/>
      <c r="BB37" s="302"/>
      <c r="BC37" s="302"/>
      <c r="BD37" s="302"/>
      <c r="BE37" s="302"/>
    </row>
    <row r="38" spans="1:57" s="354" customFormat="1" ht="24" customHeight="1">
      <c r="A38" s="461"/>
      <c r="B38" s="462"/>
      <c r="C38" s="466" t="s">
        <v>364</v>
      </c>
      <c r="D38" s="467" t="s">
        <v>136</v>
      </c>
      <c r="E38" s="468">
        <v>2</v>
      </c>
      <c r="F38" s="469">
        <v>515</v>
      </c>
      <c r="G38" s="470">
        <f>E38*F38</f>
        <v>1030</v>
      </c>
      <c r="H38" s="470"/>
      <c r="I38" s="470"/>
      <c r="J38" s="470"/>
      <c r="K38" s="470"/>
      <c r="L38" s="470">
        <v>515</v>
      </c>
      <c r="M38" s="470"/>
      <c r="N38" s="470"/>
      <c r="O38" s="470"/>
      <c r="P38" s="470"/>
      <c r="Q38" s="470"/>
      <c r="R38" s="470">
        <v>515</v>
      </c>
      <c r="S38" s="470"/>
      <c r="T38" s="509">
        <f t="shared" ref="T38:T42" si="29">SUM(H38:S38)</f>
        <v>1030</v>
      </c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  <c r="AM38" s="302"/>
      <c r="AN38" s="302"/>
      <c r="AO38" s="302"/>
      <c r="AP38" s="302"/>
      <c r="AQ38" s="302"/>
      <c r="AR38" s="302"/>
      <c r="AS38" s="302"/>
      <c r="AT38" s="302"/>
      <c r="AU38" s="302"/>
      <c r="AV38" s="302"/>
      <c r="AW38" s="302"/>
      <c r="AX38" s="302"/>
      <c r="AY38" s="302"/>
      <c r="AZ38" s="302"/>
      <c r="BA38" s="302"/>
      <c r="BB38" s="302"/>
      <c r="BC38" s="302"/>
      <c r="BD38" s="302"/>
      <c r="BE38" s="302"/>
    </row>
    <row r="39" spans="1:57" s="354" customFormat="1" ht="45.75" customHeight="1">
      <c r="A39" s="461"/>
      <c r="B39" s="462"/>
      <c r="C39" s="466" t="s">
        <v>365</v>
      </c>
      <c r="D39" s="467" t="s">
        <v>136</v>
      </c>
      <c r="E39" s="468">
        <v>2</v>
      </c>
      <c r="F39" s="469">
        <v>1124</v>
      </c>
      <c r="G39" s="470">
        <f>E39*F39</f>
        <v>2248</v>
      </c>
      <c r="H39" s="470"/>
      <c r="I39" s="470"/>
      <c r="J39" s="470"/>
      <c r="K39" s="470"/>
      <c r="L39" s="470">
        <v>1124</v>
      </c>
      <c r="M39" s="470"/>
      <c r="N39" s="470"/>
      <c r="O39" s="470"/>
      <c r="P39" s="470"/>
      <c r="Q39" s="470"/>
      <c r="R39" s="470">
        <v>1124</v>
      </c>
      <c r="S39" s="470"/>
      <c r="T39" s="509">
        <f t="shared" si="29"/>
        <v>2248</v>
      </c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  <c r="AH39" s="302"/>
      <c r="AI39" s="302"/>
      <c r="AJ39" s="302"/>
      <c r="AK39" s="302"/>
      <c r="AL39" s="302"/>
      <c r="AM39" s="302"/>
      <c r="AN39" s="302"/>
      <c r="AO39" s="302"/>
      <c r="AP39" s="302"/>
      <c r="AQ39" s="302"/>
      <c r="AR39" s="302"/>
      <c r="AS39" s="302"/>
      <c r="AT39" s="302"/>
      <c r="AU39" s="302"/>
      <c r="AV39" s="302"/>
      <c r="AW39" s="302"/>
      <c r="AX39" s="302"/>
      <c r="AY39" s="302"/>
      <c r="AZ39" s="302"/>
      <c r="BA39" s="302"/>
      <c r="BB39" s="302"/>
      <c r="BC39" s="302"/>
      <c r="BD39" s="302"/>
      <c r="BE39" s="302"/>
    </row>
    <row r="40" spans="1:57" s="354" customFormat="1" ht="24" customHeight="1">
      <c r="A40" s="461"/>
      <c r="B40" s="462"/>
      <c r="C40" s="466" t="s">
        <v>366</v>
      </c>
      <c r="D40" s="467" t="s">
        <v>136</v>
      </c>
      <c r="E40" s="468">
        <v>2</v>
      </c>
      <c r="F40" s="469">
        <v>3591</v>
      </c>
      <c r="G40" s="470">
        <f>E40*F40</f>
        <v>7182</v>
      </c>
      <c r="H40" s="470"/>
      <c r="I40" s="470"/>
      <c r="J40" s="470"/>
      <c r="K40" s="470"/>
      <c r="L40" s="470">
        <v>3591</v>
      </c>
      <c r="M40" s="470"/>
      <c r="N40" s="470"/>
      <c r="O40" s="470"/>
      <c r="P40" s="470"/>
      <c r="Q40" s="470"/>
      <c r="R40" s="470">
        <v>3591</v>
      </c>
      <c r="S40" s="470"/>
      <c r="T40" s="509">
        <f t="shared" si="29"/>
        <v>7182</v>
      </c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2"/>
      <c r="AL40" s="302"/>
      <c r="AM40" s="302"/>
      <c r="AN40" s="302"/>
      <c r="AO40" s="302"/>
      <c r="AP40" s="302"/>
      <c r="AQ40" s="302"/>
      <c r="AR40" s="302"/>
      <c r="AS40" s="302"/>
      <c r="AT40" s="302"/>
      <c r="AU40" s="302"/>
      <c r="AV40" s="302"/>
      <c r="AW40" s="302"/>
      <c r="AX40" s="302"/>
      <c r="AY40" s="302"/>
      <c r="AZ40" s="302"/>
      <c r="BA40" s="302"/>
      <c r="BB40" s="302"/>
      <c r="BC40" s="302"/>
      <c r="BD40" s="302"/>
      <c r="BE40" s="302"/>
    </row>
    <row r="41" spans="1:57" s="354" customFormat="1" ht="24" customHeight="1">
      <c r="A41" s="461"/>
      <c r="B41" s="462"/>
      <c r="C41" s="466" t="s">
        <v>367</v>
      </c>
      <c r="D41" s="467" t="s">
        <v>136</v>
      </c>
      <c r="E41" s="468">
        <v>2</v>
      </c>
      <c r="F41" s="469">
        <v>638</v>
      </c>
      <c r="G41" s="470">
        <f>E41*F41</f>
        <v>1276</v>
      </c>
      <c r="H41" s="470"/>
      <c r="I41" s="470"/>
      <c r="J41" s="470"/>
      <c r="K41" s="470"/>
      <c r="L41" s="470">
        <v>638</v>
      </c>
      <c r="M41" s="470"/>
      <c r="N41" s="470"/>
      <c r="O41" s="470"/>
      <c r="P41" s="470"/>
      <c r="Q41" s="470"/>
      <c r="R41" s="470">
        <v>638</v>
      </c>
      <c r="S41" s="470"/>
      <c r="T41" s="509">
        <f t="shared" si="29"/>
        <v>1276</v>
      </c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2"/>
      <c r="AG41" s="302"/>
      <c r="AH41" s="302"/>
      <c r="AI41" s="302"/>
      <c r="AJ41" s="302"/>
      <c r="AK41" s="302"/>
      <c r="AL41" s="302"/>
      <c r="AM41" s="302"/>
      <c r="AN41" s="302"/>
      <c r="AO41" s="302"/>
      <c r="AP41" s="302"/>
      <c r="AQ41" s="302"/>
      <c r="AR41" s="302"/>
      <c r="AS41" s="302"/>
      <c r="AT41" s="302"/>
      <c r="AU41" s="302"/>
      <c r="AV41" s="302"/>
      <c r="AW41" s="302"/>
      <c r="AX41" s="302"/>
      <c r="AY41" s="302"/>
      <c r="AZ41" s="302"/>
      <c r="BA41" s="302"/>
      <c r="BB41" s="302"/>
      <c r="BC41" s="302"/>
      <c r="BD41" s="302"/>
      <c r="BE41" s="302"/>
    </row>
    <row r="42" spans="1:57" s="354" customFormat="1" ht="25.5" customHeight="1">
      <c r="A42" s="461"/>
      <c r="B42" s="462"/>
      <c r="C42" s="471" t="s">
        <v>368</v>
      </c>
      <c r="D42" s="467" t="s">
        <v>136</v>
      </c>
      <c r="E42" s="468">
        <v>2</v>
      </c>
      <c r="F42" s="469">
        <v>3525</v>
      </c>
      <c r="G42" s="470">
        <f>E42*F42</f>
        <v>7050</v>
      </c>
      <c r="H42" s="470"/>
      <c r="I42" s="470"/>
      <c r="J42" s="470"/>
      <c r="K42" s="470"/>
      <c r="L42" s="470">
        <v>3525</v>
      </c>
      <c r="M42" s="470"/>
      <c r="N42" s="470"/>
      <c r="O42" s="470"/>
      <c r="P42" s="470"/>
      <c r="Q42" s="470"/>
      <c r="R42" s="470">
        <v>3525</v>
      </c>
      <c r="S42" s="470"/>
      <c r="T42" s="509">
        <f t="shared" si="29"/>
        <v>7050</v>
      </c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302"/>
      <c r="AJ42" s="302"/>
      <c r="AK42" s="302"/>
      <c r="AL42" s="302"/>
      <c r="AM42" s="302"/>
      <c r="AN42" s="302"/>
      <c r="AO42" s="302"/>
      <c r="AP42" s="302"/>
      <c r="AQ42" s="302"/>
      <c r="AR42" s="302"/>
      <c r="AS42" s="302"/>
      <c r="AT42" s="302"/>
      <c r="AU42" s="302"/>
      <c r="AV42" s="302"/>
      <c r="AW42" s="302"/>
      <c r="AX42" s="302"/>
      <c r="AY42" s="302"/>
      <c r="AZ42" s="302"/>
      <c r="BA42" s="302"/>
      <c r="BB42" s="302"/>
      <c r="BC42" s="302"/>
      <c r="BD42" s="302"/>
      <c r="BE42" s="302"/>
    </row>
    <row r="43" spans="1:57" s="302" customFormat="1" ht="24.75" customHeight="1">
      <c r="A43" s="449" t="s">
        <v>137</v>
      </c>
      <c r="B43" s="442"/>
      <c r="C43" s="472" t="s">
        <v>138</v>
      </c>
      <c r="D43" s="449"/>
      <c r="E43" s="449"/>
      <c r="F43" s="449"/>
      <c r="G43" s="433">
        <f>G44+G49+G51+G55+G59+G62+G64+G71</f>
        <v>1024973</v>
      </c>
      <c r="H43" s="433">
        <f t="shared" ref="H43:S43" si="30">H44+H49+H51+H55+H59+H62+H64+H71</f>
        <v>166737</v>
      </c>
      <c r="I43" s="433">
        <f t="shared" si="30"/>
        <v>166737</v>
      </c>
      <c r="J43" s="433">
        <f t="shared" si="30"/>
        <v>168537</v>
      </c>
      <c r="K43" s="433">
        <f t="shared" si="30"/>
        <v>166736</v>
      </c>
      <c r="L43" s="433">
        <f t="shared" si="30"/>
        <v>172155</v>
      </c>
      <c r="M43" s="433">
        <f t="shared" si="30"/>
        <v>166886</v>
      </c>
      <c r="N43" s="433">
        <f t="shared" si="30"/>
        <v>3461</v>
      </c>
      <c r="O43" s="433">
        <f t="shared" si="30"/>
        <v>1301</v>
      </c>
      <c r="P43" s="433">
        <f t="shared" si="30"/>
        <v>3101</v>
      </c>
      <c r="Q43" s="433">
        <f t="shared" si="30"/>
        <v>1301</v>
      </c>
      <c r="R43" s="433">
        <f t="shared" si="30"/>
        <v>6720</v>
      </c>
      <c r="S43" s="433">
        <f t="shared" si="30"/>
        <v>1301</v>
      </c>
      <c r="T43" s="433">
        <f t="shared" ref="T43" si="31">T44+T49+T51+T55+T59+T62+T64+T71</f>
        <v>1024973</v>
      </c>
    </row>
    <row r="44" spans="1:57" s="301" customFormat="1" ht="22.8">
      <c r="A44" s="473" t="s">
        <v>139</v>
      </c>
      <c r="B44" s="442"/>
      <c r="C44" s="474" t="s">
        <v>233</v>
      </c>
      <c r="D44" s="442"/>
      <c r="E44" s="442"/>
      <c r="F44" s="442"/>
      <c r="G44" s="475">
        <f>SUM(G45:G48)</f>
        <v>3600</v>
      </c>
      <c r="H44" s="475">
        <f t="shared" ref="H44:S44" si="32">SUM(H45:H48)</f>
        <v>0</v>
      </c>
      <c r="I44" s="475">
        <f t="shared" si="32"/>
        <v>0</v>
      </c>
      <c r="J44" s="475">
        <f t="shared" si="32"/>
        <v>1800</v>
      </c>
      <c r="K44" s="475">
        <f t="shared" si="32"/>
        <v>0</v>
      </c>
      <c r="L44" s="475">
        <f t="shared" si="32"/>
        <v>0</v>
      </c>
      <c r="M44" s="475">
        <f t="shared" si="32"/>
        <v>0</v>
      </c>
      <c r="N44" s="475">
        <f t="shared" si="32"/>
        <v>0</v>
      </c>
      <c r="O44" s="475">
        <f t="shared" si="32"/>
        <v>0</v>
      </c>
      <c r="P44" s="475">
        <f t="shared" si="32"/>
        <v>1800</v>
      </c>
      <c r="Q44" s="475">
        <f t="shared" si="32"/>
        <v>0</v>
      </c>
      <c r="R44" s="475">
        <f t="shared" si="32"/>
        <v>0</v>
      </c>
      <c r="S44" s="475">
        <f t="shared" si="32"/>
        <v>0</v>
      </c>
      <c r="T44" s="475">
        <f t="shared" ref="T44" si="33">SUM(T45:T48)</f>
        <v>3600</v>
      </c>
    </row>
    <row r="45" spans="1:57" s="301" customFormat="1" ht="45.6">
      <c r="A45" s="476"/>
      <c r="B45" s="460"/>
      <c r="C45" s="450" t="s">
        <v>140</v>
      </c>
      <c r="D45" s="460" t="s">
        <v>141</v>
      </c>
      <c r="E45" s="460">
        <v>2</v>
      </c>
      <c r="F45" s="464">
        <v>450</v>
      </c>
      <c r="G45" s="465">
        <f>E45*F45</f>
        <v>900</v>
      </c>
      <c r="H45" s="465"/>
      <c r="I45" s="465"/>
      <c r="J45" s="465">
        <v>450</v>
      </c>
      <c r="K45" s="465"/>
      <c r="L45" s="465"/>
      <c r="M45" s="465"/>
      <c r="N45" s="465"/>
      <c r="O45" s="465"/>
      <c r="P45" s="465">
        <v>450</v>
      </c>
      <c r="Q45" s="465"/>
      <c r="R45" s="465"/>
      <c r="S45" s="465"/>
      <c r="T45" s="509">
        <f t="shared" ref="T45:T48" si="34">SUM(H45:S45)</f>
        <v>900</v>
      </c>
    </row>
    <row r="46" spans="1:57" s="301" customFormat="1" ht="45.6">
      <c r="A46" s="476"/>
      <c r="B46" s="460"/>
      <c r="C46" s="450" t="s">
        <v>160</v>
      </c>
      <c r="D46" s="460" t="s">
        <v>141</v>
      </c>
      <c r="E46" s="460">
        <v>2</v>
      </c>
      <c r="F46" s="464">
        <v>350</v>
      </c>
      <c r="G46" s="465">
        <f t="shared" ref="G46:G48" si="35">E46*F46</f>
        <v>700</v>
      </c>
      <c r="H46" s="465"/>
      <c r="I46" s="465"/>
      <c r="J46" s="465">
        <v>350</v>
      </c>
      <c r="K46" s="465"/>
      <c r="L46" s="465"/>
      <c r="M46" s="465"/>
      <c r="N46" s="465"/>
      <c r="O46" s="465"/>
      <c r="P46" s="465">
        <v>350</v>
      </c>
      <c r="Q46" s="465"/>
      <c r="R46" s="465"/>
      <c r="S46" s="465"/>
      <c r="T46" s="509">
        <f t="shared" si="34"/>
        <v>700</v>
      </c>
    </row>
    <row r="47" spans="1:57" s="301" customFormat="1" ht="42" customHeight="1">
      <c r="A47" s="476"/>
      <c r="B47" s="460"/>
      <c r="C47" s="450" t="s">
        <v>161</v>
      </c>
      <c r="D47" s="460" t="s">
        <v>141</v>
      </c>
      <c r="E47" s="460">
        <v>2</v>
      </c>
      <c r="F47" s="464">
        <v>600</v>
      </c>
      <c r="G47" s="465">
        <f t="shared" si="35"/>
        <v>1200</v>
      </c>
      <c r="H47" s="465"/>
      <c r="I47" s="465"/>
      <c r="J47" s="465">
        <v>600</v>
      </c>
      <c r="K47" s="465"/>
      <c r="L47" s="465"/>
      <c r="M47" s="465"/>
      <c r="N47" s="465"/>
      <c r="O47" s="465"/>
      <c r="P47" s="465">
        <v>600</v>
      </c>
      <c r="Q47" s="465"/>
      <c r="R47" s="465"/>
      <c r="S47" s="465"/>
      <c r="T47" s="509">
        <f t="shared" si="34"/>
        <v>1200</v>
      </c>
    </row>
    <row r="48" spans="1:57" s="301" customFormat="1" ht="22.8">
      <c r="A48" s="476"/>
      <c r="B48" s="460"/>
      <c r="C48" s="450" t="s">
        <v>142</v>
      </c>
      <c r="D48" s="460" t="s">
        <v>141</v>
      </c>
      <c r="E48" s="460">
        <v>2</v>
      </c>
      <c r="F48" s="464">
        <v>400</v>
      </c>
      <c r="G48" s="465">
        <f t="shared" si="35"/>
        <v>800</v>
      </c>
      <c r="H48" s="465"/>
      <c r="I48" s="465"/>
      <c r="J48" s="465">
        <v>400</v>
      </c>
      <c r="K48" s="465"/>
      <c r="L48" s="465"/>
      <c r="M48" s="465"/>
      <c r="N48" s="465"/>
      <c r="O48" s="465"/>
      <c r="P48" s="465">
        <v>400</v>
      </c>
      <c r="Q48" s="465"/>
      <c r="R48" s="465"/>
      <c r="S48" s="465"/>
      <c r="T48" s="509">
        <f t="shared" si="34"/>
        <v>800</v>
      </c>
    </row>
    <row r="49" spans="1:20" s="301" customFormat="1" ht="44.4">
      <c r="A49" s="473" t="s">
        <v>143</v>
      </c>
      <c r="B49" s="442"/>
      <c r="C49" s="474" t="s">
        <v>144</v>
      </c>
      <c r="D49" s="442"/>
      <c r="E49" s="442"/>
      <c r="F49" s="442"/>
      <c r="G49" s="475">
        <f>G50</f>
        <v>7323.0000000000009</v>
      </c>
      <c r="H49" s="475">
        <f t="shared" ref="H49:T49" si="36">H50</f>
        <v>611</v>
      </c>
      <c r="I49" s="475">
        <f t="shared" si="36"/>
        <v>611</v>
      </c>
      <c r="J49" s="475">
        <f t="shared" si="36"/>
        <v>611</v>
      </c>
      <c r="K49" s="475">
        <f t="shared" si="36"/>
        <v>610</v>
      </c>
      <c r="L49" s="475">
        <f t="shared" si="36"/>
        <v>610</v>
      </c>
      <c r="M49" s="475">
        <f t="shared" si="36"/>
        <v>610</v>
      </c>
      <c r="N49" s="475">
        <f t="shared" si="36"/>
        <v>610</v>
      </c>
      <c r="O49" s="475">
        <f t="shared" si="36"/>
        <v>610</v>
      </c>
      <c r="P49" s="475">
        <f t="shared" si="36"/>
        <v>610</v>
      </c>
      <c r="Q49" s="475">
        <f t="shared" si="36"/>
        <v>610</v>
      </c>
      <c r="R49" s="475">
        <f t="shared" si="36"/>
        <v>610</v>
      </c>
      <c r="S49" s="475">
        <f t="shared" si="36"/>
        <v>610</v>
      </c>
      <c r="T49" s="475">
        <f t="shared" si="36"/>
        <v>7323</v>
      </c>
    </row>
    <row r="50" spans="1:20" s="301" customFormat="1" ht="45.6">
      <c r="A50" s="476"/>
      <c r="B50" s="460"/>
      <c r="C50" s="450" t="s">
        <v>326</v>
      </c>
      <c r="D50" s="460" t="s">
        <v>145</v>
      </c>
      <c r="E50" s="464">
        <v>113</v>
      </c>
      <c r="F50" s="464">
        <v>5.4</v>
      </c>
      <c r="G50" s="465">
        <f>E50*F50*12+0.6</f>
        <v>7323.0000000000009</v>
      </c>
      <c r="H50" s="465">
        <v>611</v>
      </c>
      <c r="I50" s="465">
        <f>$H$50</f>
        <v>611</v>
      </c>
      <c r="J50" s="465">
        <f>$H$50</f>
        <v>611</v>
      </c>
      <c r="K50" s="465">
        <f>$J$50-1</f>
        <v>610</v>
      </c>
      <c r="L50" s="465">
        <f t="shared" ref="L50:S50" si="37">$J$50-1</f>
        <v>610</v>
      </c>
      <c r="M50" s="465">
        <f t="shared" si="37"/>
        <v>610</v>
      </c>
      <c r="N50" s="465">
        <f t="shared" si="37"/>
        <v>610</v>
      </c>
      <c r="O50" s="465">
        <f t="shared" si="37"/>
        <v>610</v>
      </c>
      <c r="P50" s="465">
        <f t="shared" si="37"/>
        <v>610</v>
      </c>
      <c r="Q50" s="465">
        <f t="shared" si="37"/>
        <v>610</v>
      </c>
      <c r="R50" s="465">
        <f t="shared" si="37"/>
        <v>610</v>
      </c>
      <c r="S50" s="465">
        <f t="shared" si="37"/>
        <v>610</v>
      </c>
      <c r="T50" s="509">
        <f t="shared" ref="T50" si="38">SUM(H50:S50)</f>
        <v>7323</v>
      </c>
    </row>
    <row r="51" spans="1:20" s="301" customFormat="1" ht="10.5" hidden="1" customHeight="1">
      <c r="A51" s="473" t="s">
        <v>146</v>
      </c>
      <c r="B51" s="442"/>
      <c r="C51" s="474" t="s">
        <v>327</v>
      </c>
      <c r="D51" s="442"/>
      <c r="E51" s="442"/>
      <c r="F51" s="442"/>
      <c r="G51" s="475">
        <f>SUM(G52:G54)</f>
        <v>0</v>
      </c>
      <c r="H51" s="475"/>
      <c r="I51" s="475"/>
      <c r="J51" s="475"/>
      <c r="K51" s="475"/>
      <c r="L51" s="475"/>
      <c r="M51" s="475"/>
      <c r="N51" s="475"/>
      <c r="O51" s="475"/>
      <c r="P51" s="475"/>
      <c r="Q51" s="475"/>
      <c r="R51" s="475"/>
      <c r="S51" s="475"/>
    </row>
    <row r="52" spans="1:20" s="301" customFormat="1" ht="10.5" hidden="1" customHeight="1">
      <c r="A52" s="476"/>
      <c r="B52" s="460"/>
      <c r="C52" s="477" t="s">
        <v>328</v>
      </c>
      <c r="D52" s="460" t="s">
        <v>141</v>
      </c>
      <c r="E52" s="460">
        <v>3</v>
      </c>
      <c r="F52" s="464">
        <v>810</v>
      </c>
      <c r="G52" s="465"/>
      <c r="H52" s="465"/>
      <c r="I52" s="465"/>
      <c r="J52" s="465"/>
      <c r="K52" s="465"/>
      <c r="L52" s="465"/>
      <c r="M52" s="465"/>
      <c r="N52" s="465"/>
      <c r="O52" s="465"/>
      <c r="P52" s="465"/>
      <c r="Q52" s="465"/>
      <c r="R52" s="465"/>
      <c r="S52" s="465"/>
    </row>
    <row r="53" spans="1:20" s="301" customFormat="1" ht="10.5" hidden="1" customHeight="1">
      <c r="A53" s="476"/>
      <c r="B53" s="460"/>
      <c r="C53" s="477" t="s">
        <v>329</v>
      </c>
      <c r="D53" s="460" t="s">
        <v>141</v>
      </c>
      <c r="E53" s="460">
        <v>3</v>
      </c>
      <c r="F53" s="464">
        <v>810</v>
      </c>
      <c r="G53" s="465"/>
      <c r="H53" s="465"/>
      <c r="I53" s="465"/>
      <c r="J53" s="465"/>
      <c r="K53" s="465"/>
      <c r="L53" s="465"/>
      <c r="M53" s="465"/>
      <c r="N53" s="465"/>
      <c r="O53" s="465"/>
      <c r="P53" s="465"/>
      <c r="Q53" s="465"/>
      <c r="R53" s="465"/>
      <c r="S53" s="465"/>
    </row>
    <row r="54" spans="1:20" s="301" customFormat="1" ht="23.25" hidden="1" customHeight="1">
      <c r="A54" s="476"/>
      <c r="B54" s="460"/>
      <c r="C54" s="477" t="s">
        <v>330</v>
      </c>
      <c r="D54" s="460" t="s">
        <v>141</v>
      </c>
      <c r="E54" s="460">
        <v>3</v>
      </c>
      <c r="F54" s="465">
        <v>1120</v>
      </c>
      <c r="G54" s="465"/>
      <c r="H54" s="465"/>
      <c r="I54" s="465"/>
      <c r="J54" s="465"/>
      <c r="K54" s="465"/>
      <c r="L54" s="465"/>
      <c r="M54" s="465"/>
      <c r="N54" s="465"/>
      <c r="O54" s="465"/>
      <c r="P54" s="465"/>
      <c r="Q54" s="465"/>
      <c r="R54" s="465"/>
      <c r="S54" s="465"/>
    </row>
    <row r="55" spans="1:20" s="301" customFormat="1" ht="22.8">
      <c r="A55" s="473" t="s">
        <v>146</v>
      </c>
      <c r="B55" s="442"/>
      <c r="C55" s="474" t="s">
        <v>148</v>
      </c>
      <c r="D55" s="442"/>
      <c r="E55" s="442"/>
      <c r="F55" s="442"/>
      <c r="G55" s="475">
        <f>SUM(G56:G58)</f>
        <v>8442</v>
      </c>
      <c r="H55" s="475">
        <f t="shared" ref="H55:T55" si="39">SUM(H56:H58)</f>
        <v>691</v>
      </c>
      <c r="I55" s="475">
        <f t="shared" si="39"/>
        <v>691</v>
      </c>
      <c r="J55" s="475">
        <f t="shared" si="39"/>
        <v>691</v>
      </c>
      <c r="K55" s="475">
        <f t="shared" si="39"/>
        <v>691</v>
      </c>
      <c r="L55" s="475">
        <f t="shared" si="39"/>
        <v>691</v>
      </c>
      <c r="M55" s="475">
        <f t="shared" si="39"/>
        <v>841</v>
      </c>
      <c r="N55" s="475">
        <f t="shared" si="39"/>
        <v>691</v>
      </c>
      <c r="O55" s="475">
        <f t="shared" si="39"/>
        <v>691</v>
      </c>
      <c r="P55" s="475">
        <f t="shared" si="39"/>
        <v>691</v>
      </c>
      <c r="Q55" s="475">
        <f t="shared" si="39"/>
        <v>691</v>
      </c>
      <c r="R55" s="475">
        <f t="shared" si="39"/>
        <v>691</v>
      </c>
      <c r="S55" s="475">
        <f t="shared" si="39"/>
        <v>691</v>
      </c>
      <c r="T55" s="475">
        <f t="shared" si="39"/>
        <v>8442</v>
      </c>
    </row>
    <row r="56" spans="1:20" s="301" customFormat="1" ht="68.400000000000006">
      <c r="A56" s="476"/>
      <c r="B56" s="460"/>
      <c r="C56" s="477" t="s">
        <v>162</v>
      </c>
      <c r="D56" s="460" t="s">
        <v>149</v>
      </c>
      <c r="E56" s="460">
        <v>12</v>
      </c>
      <c r="F56" s="464">
        <v>641</v>
      </c>
      <c r="G56" s="465">
        <f>E56*F56</f>
        <v>7692</v>
      </c>
      <c r="H56" s="465">
        <v>641</v>
      </c>
      <c r="I56" s="465">
        <f>$H$56</f>
        <v>641</v>
      </c>
      <c r="J56" s="465">
        <f t="shared" ref="J56:S56" si="40">$H$56</f>
        <v>641</v>
      </c>
      <c r="K56" s="465">
        <f t="shared" si="40"/>
        <v>641</v>
      </c>
      <c r="L56" s="465">
        <f t="shared" si="40"/>
        <v>641</v>
      </c>
      <c r="M56" s="465">
        <f t="shared" si="40"/>
        <v>641</v>
      </c>
      <c r="N56" s="465">
        <f t="shared" si="40"/>
        <v>641</v>
      </c>
      <c r="O56" s="465">
        <f t="shared" si="40"/>
        <v>641</v>
      </c>
      <c r="P56" s="465">
        <f t="shared" si="40"/>
        <v>641</v>
      </c>
      <c r="Q56" s="465">
        <f t="shared" si="40"/>
        <v>641</v>
      </c>
      <c r="R56" s="465">
        <f t="shared" si="40"/>
        <v>641</v>
      </c>
      <c r="S56" s="465">
        <f t="shared" si="40"/>
        <v>641</v>
      </c>
      <c r="T56" s="509">
        <f t="shared" ref="T56:T58" si="41">SUM(H56:S56)</f>
        <v>7692</v>
      </c>
    </row>
    <row r="57" spans="1:20" s="301" customFormat="1" ht="22.8">
      <c r="A57" s="476"/>
      <c r="B57" s="460"/>
      <c r="C57" s="477" t="s">
        <v>163</v>
      </c>
      <c r="D57" s="460" t="s">
        <v>149</v>
      </c>
      <c r="E57" s="460">
        <v>12</v>
      </c>
      <c r="F57" s="464">
        <v>50</v>
      </c>
      <c r="G57" s="465">
        <f t="shared" ref="G57:G58" si="42">E57*F57</f>
        <v>600</v>
      </c>
      <c r="H57" s="465">
        <v>50</v>
      </c>
      <c r="I57" s="465">
        <f>$H$57</f>
        <v>50</v>
      </c>
      <c r="J57" s="465">
        <f t="shared" ref="J57:S57" si="43">$H$57</f>
        <v>50</v>
      </c>
      <c r="K57" s="465">
        <f t="shared" si="43"/>
        <v>50</v>
      </c>
      <c r="L57" s="465">
        <f t="shared" si="43"/>
        <v>50</v>
      </c>
      <c r="M57" s="465">
        <f t="shared" si="43"/>
        <v>50</v>
      </c>
      <c r="N57" s="465">
        <f t="shared" si="43"/>
        <v>50</v>
      </c>
      <c r="O57" s="465">
        <f t="shared" si="43"/>
        <v>50</v>
      </c>
      <c r="P57" s="465">
        <f t="shared" si="43"/>
        <v>50</v>
      </c>
      <c r="Q57" s="465">
        <f t="shared" si="43"/>
        <v>50</v>
      </c>
      <c r="R57" s="465">
        <f t="shared" si="43"/>
        <v>50</v>
      </c>
      <c r="S57" s="465">
        <f t="shared" si="43"/>
        <v>50</v>
      </c>
      <c r="T57" s="509">
        <f t="shared" si="41"/>
        <v>600</v>
      </c>
    </row>
    <row r="58" spans="1:20" s="301" customFormat="1" ht="22.8">
      <c r="A58" s="476"/>
      <c r="B58" s="460"/>
      <c r="C58" s="477" t="s">
        <v>150</v>
      </c>
      <c r="D58" s="460" t="s">
        <v>141</v>
      </c>
      <c r="E58" s="460">
        <v>1</v>
      </c>
      <c r="F58" s="464">
        <v>150</v>
      </c>
      <c r="G58" s="465">
        <f t="shared" si="42"/>
        <v>150</v>
      </c>
      <c r="H58" s="465"/>
      <c r="I58" s="465"/>
      <c r="J58" s="465"/>
      <c r="K58" s="465"/>
      <c r="L58" s="465"/>
      <c r="M58" s="465">
        <v>150</v>
      </c>
      <c r="N58" s="465"/>
      <c r="O58" s="465"/>
      <c r="P58" s="465"/>
      <c r="Q58" s="465"/>
      <c r="R58" s="465"/>
      <c r="S58" s="465"/>
      <c r="T58" s="509">
        <f t="shared" si="41"/>
        <v>150</v>
      </c>
    </row>
    <row r="59" spans="1:20" s="301" customFormat="1" ht="44.4">
      <c r="A59" s="478" t="s">
        <v>147</v>
      </c>
      <c r="B59" s="479"/>
      <c r="C59" s="480" t="s">
        <v>225</v>
      </c>
      <c r="D59" s="479"/>
      <c r="E59" s="479"/>
      <c r="F59" s="481"/>
      <c r="G59" s="482">
        <f>SUM(G60:G61)</f>
        <v>798678</v>
      </c>
      <c r="H59" s="482">
        <f t="shared" ref="H59:T59" si="44">SUM(H60:H61)</f>
        <v>133113</v>
      </c>
      <c r="I59" s="482">
        <f t="shared" si="44"/>
        <v>133113</v>
      </c>
      <c r="J59" s="482">
        <f t="shared" si="44"/>
        <v>133113</v>
      </c>
      <c r="K59" s="482">
        <f t="shared" si="44"/>
        <v>133113</v>
      </c>
      <c r="L59" s="482">
        <f t="shared" si="44"/>
        <v>133113</v>
      </c>
      <c r="M59" s="482">
        <f t="shared" si="44"/>
        <v>133113</v>
      </c>
      <c r="N59" s="482">
        <f t="shared" si="44"/>
        <v>0</v>
      </c>
      <c r="O59" s="482">
        <f t="shared" si="44"/>
        <v>0</v>
      </c>
      <c r="P59" s="482">
        <f t="shared" si="44"/>
        <v>0</v>
      </c>
      <c r="Q59" s="482">
        <f t="shared" si="44"/>
        <v>0</v>
      </c>
      <c r="R59" s="482">
        <f t="shared" si="44"/>
        <v>0</v>
      </c>
      <c r="S59" s="482">
        <f t="shared" si="44"/>
        <v>0</v>
      </c>
      <c r="T59" s="482">
        <f t="shared" si="44"/>
        <v>798678</v>
      </c>
    </row>
    <row r="60" spans="1:20" s="380" customFormat="1" ht="45.6">
      <c r="A60" s="483"/>
      <c r="B60" s="484"/>
      <c r="C60" s="485" t="s">
        <v>331</v>
      </c>
      <c r="D60" s="486" t="s">
        <v>141</v>
      </c>
      <c r="E60" s="484">
        <v>6</v>
      </c>
      <c r="F60" s="487">
        <v>42713</v>
      </c>
      <c r="G60" s="487">
        <f>E60*F60</f>
        <v>256278</v>
      </c>
      <c r="H60" s="487">
        <v>42713</v>
      </c>
      <c r="I60" s="487">
        <f>$H$60</f>
        <v>42713</v>
      </c>
      <c r="J60" s="487">
        <f t="shared" ref="J60:M60" si="45">$H$60</f>
        <v>42713</v>
      </c>
      <c r="K60" s="487">
        <f t="shared" si="45"/>
        <v>42713</v>
      </c>
      <c r="L60" s="487">
        <f t="shared" si="45"/>
        <v>42713</v>
      </c>
      <c r="M60" s="487">
        <f t="shared" si="45"/>
        <v>42713</v>
      </c>
      <c r="N60" s="487"/>
      <c r="O60" s="487"/>
      <c r="P60" s="487"/>
      <c r="Q60" s="487"/>
      <c r="R60" s="487"/>
      <c r="S60" s="487"/>
      <c r="T60" s="509">
        <f t="shared" ref="T60:T61" si="46">SUM(H60:S60)</f>
        <v>256278</v>
      </c>
    </row>
    <row r="61" spans="1:20" s="380" customFormat="1" ht="43.5" customHeight="1">
      <c r="A61" s="483"/>
      <c r="B61" s="484"/>
      <c r="C61" s="488" t="s">
        <v>332</v>
      </c>
      <c r="D61" s="486" t="s">
        <v>141</v>
      </c>
      <c r="E61" s="484">
        <v>6</v>
      </c>
      <c r="F61" s="487">
        <v>90400</v>
      </c>
      <c r="G61" s="487">
        <f t="shared" ref="G61" si="47">E61*F61</f>
        <v>542400</v>
      </c>
      <c r="H61" s="487">
        <v>90400</v>
      </c>
      <c r="I61" s="487">
        <f>$H$61</f>
        <v>90400</v>
      </c>
      <c r="J61" s="487">
        <f t="shared" ref="J61:M61" si="48">$H$61</f>
        <v>90400</v>
      </c>
      <c r="K61" s="487">
        <f t="shared" si="48"/>
        <v>90400</v>
      </c>
      <c r="L61" s="487">
        <f t="shared" si="48"/>
        <v>90400</v>
      </c>
      <c r="M61" s="487">
        <f t="shared" si="48"/>
        <v>90400</v>
      </c>
      <c r="N61" s="487"/>
      <c r="O61" s="487"/>
      <c r="P61" s="487"/>
      <c r="Q61" s="487"/>
      <c r="R61" s="487"/>
      <c r="S61" s="487"/>
      <c r="T61" s="509">
        <f t="shared" si="46"/>
        <v>542400</v>
      </c>
    </row>
    <row r="62" spans="1:20" s="380" customFormat="1" ht="66.599999999999994">
      <c r="A62" s="473" t="s">
        <v>333</v>
      </c>
      <c r="B62" s="442"/>
      <c r="C62" s="474" t="s">
        <v>334</v>
      </c>
      <c r="D62" s="442"/>
      <c r="E62" s="442"/>
      <c r="F62" s="442"/>
      <c r="G62" s="475">
        <f>SUM(G63:G63)</f>
        <v>193932</v>
      </c>
      <c r="H62" s="475">
        <f t="shared" ref="H62:T62" si="49">SUM(H63:H63)</f>
        <v>32322</v>
      </c>
      <c r="I62" s="475">
        <f t="shared" si="49"/>
        <v>32322</v>
      </c>
      <c r="J62" s="475">
        <f t="shared" si="49"/>
        <v>32322</v>
      </c>
      <c r="K62" s="475">
        <f t="shared" si="49"/>
        <v>32322</v>
      </c>
      <c r="L62" s="475">
        <f t="shared" si="49"/>
        <v>32322</v>
      </c>
      <c r="M62" s="475">
        <f t="shared" si="49"/>
        <v>32322</v>
      </c>
      <c r="N62" s="475">
        <f t="shared" si="49"/>
        <v>0</v>
      </c>
      <c r="O62" s="475">
        <f t="shared" si="49"/>
        <v>0</v>
      </c>
      <c r="P62" s="475">
        <f t="shared" si="49"/>
        <v>0</v>
      </c>
      <c r="Q62" s="475">
        <f t="shared" si="49"/>
        <v>0</v>
      </c>
      <c r="R62" s="475">
        <f t="shared" si="49"/>
        <v>0</v>
      </c>
      <c r="S62" s="475">
        <f t="shared" si="49"/>
        <v>0</v>
      </c>
      <c r="T62" s="475">
        <f t="shared" si="49"/>
        <v>193932</v>
      </c>
    </row>
    <row r="63" spans="1:20" s="380" customFormat="1" ht="70.5" customHeight="1">
      <c r="A63" s="483"/>
      <c r="B63" s="484"/>
      <c r="C63" s="508" t="s">
        <v>334</v>
      </c>
      <c r="D63" s="468" t="s">
        <v>141</v>
      </c>
      <c r="E63" s="468">
        <v>6</v>
      </c>
      <c r="F63" s="489">
        <v>32322</v>
      </c>
      <c r="G63" s="489">
        <f>E63*F63</f>
        <v>193932</v>
      </c>
      <c r="H63" s="489">
        <v>32322</v>
      </c>
      <c r="I63" s="489">
        <f>$H$63</f>
        <v>32322</v>
      </c>
      <c r="J63" s="489">
        <f t="shared" ref="J63:M63" si="50">$H$63</f>
        <v>32322</v>
      </c>
      <c r="K63" s="489">
        <f t="shared" si="50"/>
        <v>32322</v>
      </c>
      <c r="L63" s="489">
        <f t="shared" si="50"/>
        <v>32322</v>
      </c>
      <c r="M63" s="489">
        <f t="shared" si="50"/>
        <v>32322</v>
      </c>
      <c r="N63" s="489"/>
      <c r="O63" s="489"/>
      <c r="P63" s="489"/>
      <c r="Q63" s="489"/>
      <c r="R63" s="489"/>
      <c r="S63" s="489"/>
      <c r="T63" s="509">
        <f t="shared" ref="T63" si="51">SUM(H63:S63)</f>
        <v>193932</v>
      </c>
    </row>
    <row r="64" spans="1:20" s="380" customFormat="1" ht="23.25" customHeight="1">
      <c r="A64" s="478" t="s">
        <v>335</v>
      </c>
      <c r="B64" s="479"/>
      <c r="C64" s="480" t="s">
        <v>336</v>
      </c>
      <c r="D64" s="479"/>
      <c r="E64" s="479"/>
      <c r="F64" s="481"/>
      <c r="G64" s="482">
        <f>SUM(G65:G70)</f>
        <v>10838</v>
      </c>
      <c r="H64" s="482">
        <f t="shared" ref="H64:T64" si="52">SUM(H65:H70)</f>
        <v>0</v>
      </c>
      <c r="I64" s="482">
        <f t="shared" si="52"/>
        <v>0</v>
      </c>
      <c r="J64" s="482">
        <f t="shared" si="52"/>
        <v>0</v>
      </c>
      <c r="K64" s="482">
        <f t="shared" si="52"/>
        <v>0</v>
      </c>
      <c r="L64" s="482">
        <f t="shared" si="52"/>
        <v>5419</v>
      </c>
      <c r="M64" s="482">
        <f t="shared" si="52"/>
        <v>0</v>
      </c>
      <c r="N64" s="482">
        <f t="shared" si="52"/>
        <v>0</v>
      </c>
      <c r="O64" s="482">
        <f t="shared" si="52"/>
        <v>0</v>
      </c>
      <c r="P64" s="482">
        <f t="shared" si="52"/>
        <v>0</v>
      </c>
      <c r="Q64" s="482">
        <f t="shared" si="52"/>
        <v>0</v>
      </c>
      <c r="R64" s="482">
        <f t="shared" si="52"/>
        <v>5419</v>
      </c>
      <c r="S64" s="482">
        <f t="shared" si="52"/>
        <v>0</v>
      </c>
      <c r="T64" s="482">
        <f t="shared" si="52"/>
        <v>10838</v>
      </c>
    </row>
    <row r="65" spans="1:47" s="380" customFormat="1" ht="22.8">
      <c r="A65" s="483"/>
      <c r="B65" s="484"/>
      <c r="C65" s="471" t="s">
        <v>337</v>
      </c>
      <c r="D65" s="468" t="s">
        <v>141</v>
      </c>
      <c r="E65" s="468">
        <v>2</v>
      </c>
      <c r="F65" s="490">
        <v>1512.62</v>
      </c>
      <c r="G65" s="490">
        <f>E65*F65-0.88</f>
        <v>3024.3599999999997</v>
      </c>
      <c r="H65" s="490"/>
      <c r="I65" s="490"/>
      <c r="J65" s="490"/>
      <c r="K65" s="490"/>
      <c r="L65" s="490">
        <v>1512.18</v>
      </c>
      <c r="M65" s="490"/>
      <c r="N65" s="490"/>
      <c r="O65" s="490"/>
      <c r="P65" s="490"/>
      <c r="Q65" s="490"/>
      <c r="R65" s="490">
        <v>1512.18</v>
      </c>
      <c r="S65" s="490"/>
      <c r="T65" s="509">
        <f t="shared" ref="T65:T70" si="53">SUM(H65:S65)</f>
        <v>3024.36</v>
      </c>
    </row>
    <row r="66" spans="1:47" s="380" customFormat="1" ht="22.8">
      <c r="A66" s="483"/>
      <c r="B66" s="484"/>
      <c r="C66" s="471" t="s">
        <v>369</v>
      </c>
      <c r="D66" s="468" t="s">
        <v>141</v>
      </c>
      <c r="E66" s="468">
        <v>2</v>
      </c>
      <c r="F66" s="490">
        <v>232.14</v>
      </c>
      <c r="G66" s="490">
        <f>E66*F66</f>
        <v>464.28</v>
      </c>
      <c r="H66" s="490"/>
      <c r="I66" s="490"/>
      <c r="J66" s="490"/>
      <c r="K66" s="490"/>
      <c r="L66" s="490">
        <v>232.14</v>
      </c>
      <c r="M66" s="490"/>
      <c r="N66" s="490"/>
      <c r="O66" s="490"/>
      <c r="P66" s="490"/>
      <c r="Q66" s="490"/>
      <c r="R66" s="490">
        <v>232.14</v>
      </c>
      <c r="S66" s="490"/>
      <c r="T66" s="509">
        <f t="shared" si="53"/>
        <v>464.28</v>
      </c>
    </row>
    <row r="67" spans="1:47" s="380" customFormat="1" ht="22.8">
      <c r="A67" s="483"/>
      <c r="B67" s="484"/>
      <c r="C67" s="471" t="s">
        <v>370</v>
      </c>
      <c r="D67" s="468" t="s">
        <v>141</v>
      </c>
      <c r="E67" s="491">
        <v>2</v>
      </c>
      <c r="F67" s="490">
        <v>348.74</v>
      </c>
      <c r="G67" s="490">
        <f>E67*F67</f>
        <v>697.48</v>
      </c>
      <c r="H67" s="490"/>
      <c r="I67" s="490"/>
      <c r="J67" s="490"/>
      <c r="K67" s="490"/>
      <c r="L67" s="490">
        <v>348.74</v>
      </c>
      <c r="M67" s="490"/>
      <c r="N67" s="490"/>
      <c r="O67" s="490"/>
      <c r="P67" s="490"/>
      <c r="Q67" s="490"/>
      <c r="R67" s="490">
        <v>348.74</v>
      </c>
      <c r="S67" s="490"/>
      <c r="T67" s="509">
        <f t="shared" si="53"/>
        <v>697.48</v>
      </c>
    </row>
    <row r="68" spans="1:47" s="380" customFormat="1" ht="22.8">
      <c r="A68" s="483"/>
      <c r="B68" s="484"/>
      <c r="C68" s="471" t="s">
        <v>371</v>
      </c>
      <c r="D68" s="468" t="s">
        <v>141</v>
      </c>
      <c r="E68" s="491">
        <v>2</v>
      </c>
      <c r="F68" s="490">
        <v>581.94000000000005</v>
      </c>
      <c r="G68" s="490">
        <f>E68*F68</f>
        <v>1163.8800000000001</v>
      </c>
      <c r="H68" s="490"/>
      <c r="I68" s="490"/>
      <c r="J68" s="490"/>
      <c r="K68" s="490"/>
      <c r="L68" s="490">
        <v>581.94000000000005</v>
      </c>
      <c r="M68" s="490"/>
      <c r="N68" s="490"/>
      <c r="O68" s="490"/>
      <c r="P68" s="490"/>
      <c r="Q68" s="490"/>
      <c r="R68" s="490">
        <v>581.94000000000005</v>
      </c>
      <c r="S68" s="490"/>
      <c r="T68" s="509">
        <f t="shared" si="53"/>
        <v>1163.8800000000001</v>
      </c>
    </row>
    <row r="69" spans="1:47" s="380" customFormat="1" ht="22.8">
      <c r="A69" s="483"/>
      <c r="B69" s="484"/>
      <c r="C69" s="471" t="s">
        <v>372</v>
      </c>
      <c r="D69" s="468" t="s">
        <v>141</v>
      </c>
      <c r="E69" s="491">
        <v>2</v>
      </c>
      <c r="F69" s="490">
        <v>988</v>
      </c>
      <c r="G69" s="490">
        <f>E69*F69</f>
        <v>1976</v>
      </c>
      <c r="H69" s="490"/>
      <c r="I69" s="490"/>
      <c r="J69" s="490"/>
      <c r="K69" s="490"/>
      <c r="L69" s="490">
        <v>988</v>
      </c>
      <c r="M69" s="490"/>
      <c r="N69" s="490"/>
      <c r="O69" s="490"/>
      <c r="P69" s="490"/>
      <c r="Q69" s="490"/>
      <c r="R69" s="490">
        <v>988</v>
      </c>
      <c r="S69" s="490"/>
      <c r="T69" s="509">
        <f t="shared" si="53"/>
        <v>1976</v>
      </c>
    </row>
    <row r="70" spans="1:47" s="380" customFormat="1" ht="45.6">
      <c r="A70" s="483"/>
      <c r="B70" s="484"/>
      <c r="C70" s="492" t="s">
        <v>373</v>
      </c>
      <c r="D70" s="468" t="s">
        <v>141</v>
      </c>
      <c r="E70" s="491">
        <v>2</v>
      </c>
      <c r="F70" s="490">
        <v>1756</v>
      </c>
      <c r="G70" s="490">
        <f>E70*F70</f>
        <v>3512</v>
      </c>
      <c r="H70" s="490"/>
      <c r="I70" s="490"/>
      <c r="J70" s="490"/>
      <c r="K70" s="490"/>
      <c r="L70" s="490">
        <v>1756</v>
      </c>
      <c r="M70" s="490"/>
      <c r="N70" s="490"/>
      <c r="O70" s="490"/>
      <c r="P70" s="490"/>
      <c r="Q70" s="490"/>
      <c r="R70" s="490">
        <v>1756</v>
      </c>
      <c r="S70" s="490"/>
      <c r="T70" s="509">
        <f t="shared" si="53"/>
        <v>3512</v>
      </c>
    </row>
    <row r="71" spans="1:47" s="380" customFormat="1" ht="22.8">
      <c r="A71" s="478" t="s">
        <v>338</v>
      </c>
      <c r="B71" s="479"/>
      <c r="C71" s="480" t="s">
        <v>339</v>
      </c>
      <c r="D71" s="479"/>
      <c r="E71" s="479"/>
      <c r="F71" s="481"/>
      <c r="G71" s="482">
        <f>SUM(G72:G72)</f>
        <v>2160</v>
      </c>
      <c r="H71" s="482">
        <f t="shared" ref="H71:T71" si="54">SUM(H72:H72)</f>
        <v>0</v>
      </c>
      <c r="I71" s="482">
        <f t="shared" si="54"/>
        <v>0</v>
      </c>
      <c r="J71" s="482">
        <f t="shared" si="54"/>
        <v>0</v>
      </c>
      <c r="K71" s="482">
        <f t="shared" si="54"/>
        <v>0</v>
      </c>
      <c r="L71" s="482">
        <f t="shared" si="54"/>
        <v>0</v>
      </c>
      <c r="M71" s="482">
        <f t="shared" si="54"/>
        <v>0</v>
      </c>
      <c r="N71" s="482">
        <f t="shared" si="54"/>
        <v>2160</v>
      </c>
      <c r="O71" s="482">
        <f t="shared" si="54"/>
        <v>0</v>
      </c>
      <c r="P71" s="482">
        <f t="shared" si="54"/>
        <v>0</v>
      </c>
      <c r="Q71" s="482">
        <f t="shared" si="54"/>
        <v>0</v>
      </c>
      <c r="R71" s="482">
        <f t="shared" si="54"/>
        <v>0</v>
      </c>
      <c r="S71" s="482">
        <f t="shared" si="54"/>
        <v>0</v>
      </c>
      <c r="T71" s="482">
        <f t="shared" si="54"/>
        <v>2160</v>
      </c>
    </row>
    <row r="72" spans="1:47" s="380" customFormat="1" ht="64.5" customHeight="1">
      <c r="A72" s="483"/>
      <c r="B72" s="484"/>
      <c r="C72" s="493" t="s">
        <v>340</v>
      </c>
      <c r="D72" s="468" t="s">
        <v>141</v>
      </c>
      <c r="E72" s="468">
        <v>1</v>
      </c>
      <c r="F72" s="489">
        <v>2160</v>
      </c>
      <c r="G72" s="489">
        <f>E72*F72</f>
        <v>2160</v>
      </c>
      <c r="H72" s="489"/>
      <c r="I72" s="489"/>
      <c r="J72" s="489"/>
      <c r="K72" s="489"/>
      <c r="L72" s="489"/>
      <c r="M72" s="489"/>
      <c r="N72" s="489">
        <v>2160</v>
      </c>
      <c r="O72" s="489"/>
      <c r="P72" s="489"/>
      <c r="Q72" s="489"/>
      <c r="R72" s="489"/>
      <c r="S72" s="489"/>
      <c r="T72" s="509">
        <f t="shared" ref="T72" si="55">SUM(H72:S72)</f>
        <v>2160</v>
      </c>
    </row>
    <row r="73" spans="1:47" s="380" customFormat="1" ht="22.8">
      <c r="A73" s="494" t="s">
        <v>234</v>
      </c>
      <c r="B73" s="479"/>
      <c r="C73" s="495" t="s">
        <v>235</v>
      </c>
      <c r="D73" s="496"/>
      <c r="E73" s="494"/>
      <c r="F73" s="494"/>
      <c r="G73" s="497">
        <f>G74</f>
        <v>1</v>
      </c>
      <c r="H73" s="497">
        <f t="shared" ref="H73:T73" si="56">H74</f>
        <v>1</v>
      </c>
      <c r="I73" s="497">
        <f t="shared" si="56"/>
        <v>0</v>
      </c>
      <c r="J73" s="497">
        <f t="shared" si="56"/>
        <v>0</v>
      </c>
      <c r="K73" s="497">
        <f t="shared" si="56"/>
        <v>0</v>
      </c>
      <c r="L73" s="497">
        <f t="shared" si="56"/>
        <v>0</v>
      </c>
      <c r="M73" s="497">
        <f t="shared" si="56"/>
        <v>0</v>
      </c>
      <c r="N73" s="497">
        <f t="shared" si="56"/>
        <v>0</v>
      </c>
      <c r="O73" s="497">
        <f t="shared" si="56"/>
        <v>0</v>
      </c>
      <c r="P73" s="497">
        <f t="shared" si="56"/>
        <v>0</v>
      </c>
      <c r="Q73" s="497">
        <f t="shared" si="56"/>
        <v>0</v>
      </c>
      <c r="R73" s="497">
        <f t="shared" si="56"/>
        <v>0</v>
      </c>
      <c r="S73" s="497">
        <f t="shared" si="56"/>
        <v>0</v>
      </c>
      <c r="T73" s="497">
        <f t="shared" si="56"/>
        <v>1</v>
      </c>
    </row>
    <row r="74" spans="1:47" s="380" customFormat="1" ht="22.8">
      <c r="A74" s="483"/>
      <c r="B74" s="484"/>
      <c r="C74" s="498" t="s">
        <v>236</v>
      </c>
      <c r="D74" s="486" t="s">
        <v>141</v>
      </c>
      <c r="E74" s="484">
        <v>1</v>
      </c>
      <c r="F74" s="487">
        <v>1</v>
      </c>
      <c r="G74" s="487">
        <f>E74*F74</f>
        <v>1</v>
      </c>
      <c r="H74" s="487">
        <v>1</v>
      </c>
      <c r="I74" s="487"/>
      <c r="J74" s="487"/>
      <c r="K74" s="487"/>
      <c r="L74" s="487"/>
      <c r="M74" s="487"/>
      <c r="N74" s="487"/>
      <c r="O74" s="487"/>
      <c r="P74" s="487"/>
      <c r="Q74" s="487"/>
      <c r="R74" s="487"/>
      <c r="S74" s="487"/>
      <c r="T74" s="509">
        <f t="shared" ref="T74" si="57">SUM(H74:S74)</f>
        <v>1</v>
      </c>
    </row>
    <row r="75" spans="1:47" s="400" customFormat="1" ht="21" customHeight="1">
      <c r="A75" s="449" t="s">
        <v>237</v>
      </c>
      <c r="B75" s="442"/>
      <c r="C75" s="495" t="s">
        <v>151</v>
      </c>
      <c r="D75" s="448"/>
      <c r="E75" s="449"/>
      <c r="F75" s="449"/>
      <c r="G75" s="433">
        <f>G76+G80+G85</f>
        <v>203282.99868139997</v>
      </c>
      <c r="H75" s="433">
        <f t="shared" ref="H75:S75" si="58">H76+H80+H85</f>
        <v>30766</v>
      </c>
      <c r="I75" s="433">
        <f t="shared" si="58"/>
        <v>30766</v>
      </c>
      <c r="J75" s="433">
        <f t="shared" si="58"/>
        <v>30764</v>
      </c>
      <c r="K75" s="433">
        <f t="shared" si="58"/>
        <v>26913</v>
      </c>
      <c r="L75" s="433">
        <f t="shared" si="58"/>
        <v>26911</v>
      </c>
      <c r="M75" s="433">
        <f t="shared" si="58"/>
        <v>26910</v>
      </c>
      <c r="N75" s="433">
        <f t="shared" si="58"/>
        <v>3119</v>
      </c>
      <c r="O75" s="433">
        <f t="shared" si="58"/>
        <v>3118</v>
      </c>
      <c r="P75" s="433">
        <f t="shared" si="58"/>
        <v>3118</v>
      </c>
      <c r="Q75" s="433">
        <f t="shared" si="58"/>
        <v>6968</v>
      </c>
      <c r="R75" s="433">
        <f t="shared" si="58"/>
        <v>6966</v>
      </c>
      <c r="S75" s="433">
        <f t="shared" si="58"/>
        <v>6964</v>
      </c>
      <c r="T75" s="433">
        <f t="shared" ref="T75" si="59">T76+T80+T85</f>
        <v>203283</v>
      </c>
      <c r="U75" s="399"/>
      <c r="V75" s="399"/>
      <c r="W75" s="399"/>
      <c r="X75" s="399"/>
      <c r="Y75" s="399"/>
      <c r="Z75" s="399"/>
      <c r="AA75" s="399"/>
      <c r="AB75" s="399"/>
      <c r="AC75" s="399"/>
      <c r="AD75" s="399"/>
      <c r="AE75" s="399"/>
      <c r="AF75" s="399"/>
      <c r="AG75" s="399"/>
      <c r="AH75" s="399"/>
      <c r="AI75" s="399"/>
      <c r="AJ75" s="399"/>
      <c r="AK75" s="399"/>
      <c r="AL75" s="399"/>
      <c r="AM75" s="399"/>
      <c r="AN75" s="399"/>
      <c r="AO75" s="399"/>
      <c r="AP75" s="399"/>
      <c r="AQ75" s="399"/>
      <c r="AR75" s="399"/>
      <c r="AS75" s="399"/>
      <c r="AT75" s="399"/>
      <c r="AU75" s="399"/>
    </row>
    <row r="76" spans="1:47" s="301" customFormat="1" ht="22.8">
      <c r="A76" s="478" t="s">
        <v>238</v>
      </c>
      <c r="B76" s="479"/>
      <c r="C76" s="480" t="s">
        <v>152</v>
      </c>
      <c r="D76" s="479"/>
      <c r="E76" s="479"/>
      <c r="F76" s="481"/>
      <c r="G76" s="482">
        <f>SUM(G77:G79)</f>
        <v>37109.999681400004</v>
      </c>
      <c r="H76" s="482">
        <f t="shared" ref="H76:S76" si="60">SUM(H77:H79)</f>
        <v>4670</v>
      </c>
      <c r="I76" s="482">
        <f t="shared" si="60"/>
        <v>4670</v>
      </c>
      <c r="J76" s="482">
        <f t="shared" si="60"/>
        <v>4670</v>
      </c>
      <c r="K76" s="482">
        <f t="shared" si="60"/>
        <v>1517</v>
      </c>
      <c r="L76" s="482">
        <f t="shared" si="60"/>
        <v>1516</v>
      </c>
      <c r="M76" s="482">
        <f t="shared" si="60"/>
        <v>1516</v>
      </c>
      <c r="N76" s="482">
        <f t="shared" si="60"/>
        <v>1516</v>
      </c>
      <c r="O76" s="482">
        <f t="shared" si="60"/>
        <v>1516</v>
      </c>
      <c r="P76" s="482">
        <f t="shared" si="60"/>
        <v>1516</v>
      </c>
      <c r="Q76" s="482">
        <f t="shared" si="60"/>
        <v>4669</v>
      </c>
      <c r="R76" s="482">
        <f t="shared" si="60"/>
        <v>4667</v>
      </c>
      <c r="S76" s="482">
        <f t="shared" si="60"/>
        <v>4667</v>
      </c>
      <c r="T76" s="482">
        <f t="shared" ref="T76" si="61">SUM(T77:T79)</f>
        <v>37110</v>
      </c>
    </row>
    <row r="77" spans="1:47" s="301" customFormat="1" ht="22.8">
      <c r="A77" s="499"/>
      <c r="B77" s="484"/>
      <c r="C77" s="500" t="s">
        <v>341</v>
      </c>
      <c r="D77" s="467" t="s">
        <v>153</v>
      </c>
      <c r="E77" s="501">
        <v>7</v>
      </c>
      <c r="F77" s="469">
        <v>2702.25</v>
      </c>
      <c r="G77" s="470">
        <f>E77*F77+0.25</f>
        <v>18916</v>
      </c>
      <c r="H77" s="470">
        <v>3153</v>
      </c>
      <c r="I77" s="470">
        <v>3153</v>
      </c>
      <c r="J77" s="470">
        <v>3153</v>
      </c>
      <c r="K77" s="470"/>
      <c r="L77" s="470"/>
      <c r="M77" s="470"/>
      <c r="N77" s="470"/>
      <c r="O77" s="470"/>
      <c r="P77" s="470"/>
      <c r="Q77" s="470">
        <v>3153</v>
      </c>
      <c r="R77" s="470">
        <v>3152</v>
      </c>
      <c r="S77" s="470">
        <v>3152</v>
      </c>
      <c r="T77" s="509">
        <f t="shared" ref="T77:T79" si="62">SUM(H77:S77)</f>
        <v>18916</v>
      </c>
    </row>
    <row r="78" spans="1:47" s="301" customFormat="1" ht="45.6">
      <c r="A78" s="499"/>
      <c r="B78" s="484"/>
      <c r="C78" s="500" t="s">
        <v>342</v>
      </c>
      <c r="D78" s="467" t="s">
        <v>149</v>
      </c>
      <c r="E78" s="501">
        <v>12</v>
      </c>
      <c r="F78" s="502">
        <v>42.35</v>
      </c>
      <c r="G78" s="470">
        <f>E78*F78-0.2</f>
        <v>508.00000000000006</v>
      </c>
      <c r="H78" s="470">
        <v>43</v>
      </c>
      <c r="I78" s="470">
        <f>$H$78</f>
        <v>43</v>
      </c>
      <c r="J78" s="470">
        <f t="shared" ref="J78:K78" si="63">$H$78</f>
        <v>43</v>
      </c>
      <c r="K78" s="470">
        <f t="shared" si="63"/>
        <v>43</v>
      </c>
      <c r="L78" s="470">
        <f>$H$78-1</f>
        <v>42</v>
      </c>
      <c r="M78" s="470">
        <f>$L$78</f>
        <v>42</v>
      </c>
      <c r="N78" s="470">
        <f t="shared" ref="N78:S78" si="64">$L$78</f>
        <v>42</v>
      </c>
      <c r="O78" s="470">
        <f t="shared" si="64"/>
        <v>42</v>
      </c>
      <c r="P78" s="470">
        <f t="shared" si="64"/>
        <v>42</v>
      </c>
      <c r="Q78" s="470">
        <f t="shared" si="64"/>
        <v>42</v>
      </c>
      <c r="R78" s="470">
        <f t="shared" si="64"/>
        <v>42</v>
      </c>
      <c r="S78" s="470">
        <f t="shared" si="64"/>
        <v>42</v>
      </c>
      <c r="T78" s="509">
        <f t="shared" si="62"/>
        <v>508</v>
      </c>
    </row>
    <row r="79" spans="1:47" s="301" customFormat="1" ht="59.25" customHeight="1">
      <c r="A79" s="499"/>
      <c r="B79" s="484"/>
      <c r="C79" s="500" t="s">
        <v>343</v>
      </c>
      <c r="D79" s="467" t="s">
        <v>344</v>
      </c>
      <c r="E79" s="501">
        <f>0.006397*12</f>
        <v>7.6763999999999999E-2</v>
      </c>
      <c r="F79" s="469">
        <v>230388.85</v>
      </c>
      <c r="G79" s="470">
        <f>E79*F79+0.43</f>
        <v>17685.999681400001</v>
      </c>
      <c r="H79" s="470">
        <v>1474</v>
      </c>
      <c r="I79" s="470">
        <f>$H$79</f>
        <v>1474</v>
      </c>
      <c r="J79" s="470">
        <f>$H$79</f>
        <v>1474</v>
      </c>
      <c r="K79" s="470">
        <f t="shared" ref="K79:P79" si="65">$H$79</f>
        <v>1474</v>
      </c>
      <c r="L79" s="470">
        <f t="shared" si="65"/>
        <v>1474</v>
      </c>
      <c r="M79" s="470">
        <f t="shared" si="65"/>
        <v>1474</v>
      </c>
      <c r="N79" s="470">
        <f t="shared" si="65"/>
        <v>1474</v>
      </c>
      <c r="O79" s="470">
        <f t="shared" si="65"/>
        <v>1474</v>
      </c>
      <c r="P79" s="470">
        <f t="shared" si="65"/>
        <v>1474</v>
      </c>
      <c r="Q79" s="470">
        <f t="shared" ref="Q79" si="66">$H$79</f>
        <v>1474</v>
      </c>
      <c r="R79" s="470">
        <f>$H$79-1</f>
        <v>1473</v>
      </c>
      <c r="S79" s="470">
        <f>$H$79-1</f>
        <v>1473</v>
      </c>
      <c r="T79" s="509">
        <f t="shared" si="62"/>
        <v>17686</v>
      </c>
    </row>
    <row r="80" spans="1:47" ht="44.4">
      <c r="A80" s="478" t="s">
        <v>345</v>
      </c>
      <c r="B80" s="479"/>
      <c r="C80" s="480" t="s">
        <v>346</v>
      </c>
      <c r="D80" s="479"/>
      <c r="E80" s="479"/>
      <c r="F80" s="481"/>
      <c r="G80" s="482">
        <f>SUM(G81:G84)</f>
        <v>2533</v>
      </c>
      <c r="H80" s="482">
        <f t="shared" ref="H80:T80" si="67">SUM(H81:H84)</f>
        <v>213</v>
      </c>
      <c r="I80" s="482">
        <f t="shared" si="67"/>
        <v>213</v>
      </c>
      <c r="J80" s="482">
        <f t="shared" si="67"/>
        <v>213</v>
      </c>
      <c r="K80" s="482">
        <f t="shared" si="67"/>
        <v>212</v>
      </c>
      <c r="L80" s="482">
        <f t="shared" si="67"/>
        <v>211</v>
      </c>
      <c r="M80" s="482">
        <f t="shared" si="67"/>
        <v>211</v>
      </c>
      <c r="N80" s="482">
        <f t="shared" si="67"/>
        <v>211</v>
      </c>
      <c r="O80" s="482">
        <f t="shared" si="67"/>
        <v>210</v>
      </c>
      <c r="P80" s="482">
        <f t="shared" si="67"/>
        <v>210</v>
      </c>
      <c r="Q80" s="482">
        <f t="shared" si="67"/>
        <v>210</v>
      </c>
      <c r="R80" s="482">
        <f t="shared" si="67"/>
        <v>210</v>
      </c>
      <c r="S80" s="482">
        <f t="shared" si="67"/>
        <v>209</v>
      </c>
      <c r="T80" s="482">
        <f t="shared" si="67"/>
        <v>2533</v>
      </c>
    </row>
    <row r="81" spans="1:20" ht="22.8">
      <c r="A81" s="499"/>
      <c r="B81" s="484"/>
      <c r="C81" s="503" t="s">
        <v>347</v>
      </c>
      <c r="D81" s="501" t="s">
        <v>348</v>
      </c>
      <c r="E81" s="501">
        <v>24</v>
      </c>
      <c r="F81" s="504">
        <v>32.664000000000001</v>
      </c>
      <c r="G81" s="470">
        <f>E81*F81+0.06</f>
        <v>783.99599999999998</v>
      </c>
      <c r="H81" s="470">
        <v>66</v>
      </c>
      <c r="I81" s="470">
        <f>$H$81</f>
        <v>66</v>
      </c>
      <c r="J81" s="470">
        <f t="shared" ref="J81:K81" si="68">$H$81</f>
        <v>66</v>
      </c>
      <c r="K81" s="470">
        <f t="shared" si="68"/>
        <v>66</v>
      </c>
      <c r="L81" s="470">
        <f>$H$81-1</f>
        <v>65</v>
      </c>
      <c r="M81" s="470">
        <f>$H$81-1</f>
        <v>65</v>
      </c>
      <c r="N81" s="470">
        <f t="shared" ref="N81:S81" si="69">$H$81-1</f>
        <v>65</v>
      </c>
      <c r="O81" s="470">
        <f t="shared" si="69"/>
        <v>65</v>
      </c>
      <c r="P81" s="470">
        <f t="shared" si="69"/>
        <v>65</v>
      </c>
      <c r="Q81" s="470">
        <f t="shared" si="69"/>
        <v>65</v>
      </c>
      <c r="R81" s="470">
        <f t="shared" si="69"/>
        <v>65</v>
      </c>
      <c r="S81" s="470">
        <f t="shared" si="69"/>
        <v>65</v>
      </c>
      <c r="T81" s="509">
        <f t="shared" ref="T81:T84" si="70">SUM(H81:S81)</f>
        <v>784</v>
      </c>
    </row>
    <row r="82" spans="1:20" ht="22.8">
      <c r="A82" s="499"/>
      <c r="B82" s="484"/>
      <c r="C82" s="503" t="s">
        <v>349</v>
      </c>
      <c r="D82" s="501" t="s">
        <v>348</v>
      </c>
      <c r="E82" s="501">
        <v>24</v>
      </c>
      <c r="F82" s="504">
        <v>44.616</v>
      </c>
      <c r="G82" s="470">
        <f>E82*F82+0.22</f>
        <v>1071.0040000000001</v>
      </c>
      <c r="H82" s="470">
        <v>90</v>
      </c>
      <c r="I82" s="470">
        <f>$H$82</f>
        <v>90</v>
      </c>
      <c r="J82" s="470">
        <f t="shared" ref="J82" si="71">$H$82</f>
        <v>90</v>
      </c>
      <c r="K82" s="470">
        <f>$H$82-1</f>
        <v>89</v>
      </c>
      <c r="L82" s="470">
        <f>$H$82-1</f>
        <v>89</v>
      </c>
      <c r="M82" s="470">
        <f>$H$82-1</f>
        <v>89</v>
      </c>
      <c r="N82" s="470">
        <f t="shared" ref="N82:S82" si="72">$H$82-1</f>
        <v>89</v>
      </c>
      <c r="O82" s="470">
        <f t="shared" si="72"/>
        <v>89</v>
      </c>
      <c r="P82" s="470">
        <f t="shared" si="72"/>
        <v>89</v>
      </c>
      <c r="Q82" s="470">
        <f t="shared" si="72"/>
        <v>89</v>
      </c>
      <c r="R82" s="470">
        <f t="shared" si="72"/>
        <v>89</v>
      </c>
      <c r="S82" s="470">
        <f t="shared" si="72"/>
        <v>89</v>
      </c>
      <c r="T82" s="509">
        <f t="shared" si="70"/>
        <v>1071</v>
      </c>
    </row>
    <row r="83" spans="1:20" ht="45.6">
      <c r="A83" s="499"/>
      <c r="B83" s="484"/>
      <c r="C83" s="503" t="s">
        <v>350</v>
      </c>
      <c r="D83" s="501" t="s">
        <v>149</v>
      </c>
      <c r="E83" s="501">
        <v>12</v>
      </c>
      <c r="F83" s="504">
        <v>30.89</v>
      </c>
      <c r="G83" s="470">
        <f>E83*F83+0.32</f>
        <v>371</v>
      </c>
      <c r="H83" s="470">
        <v>31</v>
      </c>
      <c r="I83" s="470">
        <f>$H$83</f>
        <v>31</v>
      </c>
      <c r="J83" s="470">
        <f t="shared" ref="J83:R83" si="73">$H$83</f>
        <v>31</v>
      </c>
      <c r="K83" s="470">
        <f t="shared" si="73"/>
        <v>31</v>
      </c>
      <c r="L83" s="470">
        <f t="shared" si="73"/>
        <v>31</v>
      </c>
      <c r="M83" s="470">
        <f t="shared" si="73"/>
        <v>31</v>
      </c>
      <c r="N83" s="470">
        <f t="shared" si="73"/>
        <v>31</v>
      </c>
      <c r="O83" s="470">
        <f t="shared" si="73"/>
        <v>31</v>
      </c>
      <c r="P83" s="470">
        <f t="shared" si="73"/>
        <v>31</v>
      </c>
      <c r="Q83" s="470">
        <f t="shared" si="73"/>
        <v>31</v>
      </c>
      <c r="R83" s="470">
        <f t="shared" si="73"/>
        <v>31</v>
      </c>
      <c r="S83" s="470">
        <f>$H$83-1</f>
        <v>30</v>
      </c>
      <c r="T83" s="509">
        <f t="shared" si="70"/>
        <v>371</v>
      </c>
    </row>
    <row r="84" spans="1:20" ht="45.6">
      <c r="A84" s="499"/>
      <c r="B84" s="484"/>
      <c r="C84" s="503" t="s">
        <v>351</v>
      </c>
      <c r="D84" s="501" t="s">
        <v>149</v>
      </c>
      <c r="E84" s="501">
        <v>12</v>
      </c>
      <c r="F84" s="504">
        <v>25.56</v>
      </c>
      <c r="G84" s="470">
        <f>E84*F84+0.28</f>
        <v>306.99999999999994</v>
      </c>
      <c r="H84" s="470">
        <v>26</v>
      </c>
      <c r="I84" s="470">
        <f>$H$84</f>
        <v>26</v>
      </c>
      <c r="J84" s="470">
        <f t="shared" ref="J84:N84" si="74">$H$84</f>
        <v>26</v>
      </c>
      <c r="K84" s="470">
        <f t="shared" si="74"/>
        <v>26</v>
      </c>
      <c r="L84" s="470">
        <f t="shared" si="74"/>
        <v>26</v>
      </c>
      <c r="M84" s="470">
        <f t="shared" si="74"/>
        <v>26</v>
      </c>
      <c r="N84" s="470">
        <f t="shared" si="74"/>
        <v>26</v>
      </c>
      <c r="O84" s="470">
        <f>$H$84-1</f>
        <v>25</v>
      </c>
      <c r="P84" s="470">
        <f>$H$84-1</f>
        <v>25</v>
      </c>
      <c r="Q84" s="470">
        <f>$H$84-1</f>
        <v>25</v>
      </c>
      <c r="R84" s="470">
        <f>$H$84-1</f>
        <v>25</v>
      </c>
      <c r="S84" s="470">
        <f>$H$84-1</f>
        <v>25</v>
      </c>
      <c r="T84" s="509">
        <f t="shared" si="70"/>
        <v>307</v>
      </c>
    </row>
    <row r="85" spans="1:20" ht="22.8">
      <c r="A85" s="478" t="s">
        <v>352</v>
      </c>
      <c r="B85" s="479"/>
      <c r="C85" s="480" t="s">
        <v>353</v>
      </c>
      <c r="D85" s="479"/>
      <c r="E85" s="479"/>
      <c r="F85" s="481"/>
      <c r="G85" s="482">
        <f>SUM(G86:G89)-0.01</f>
        <v>163639.99899999998</v>
      </c>
      <c r="H85" s="482">
        <f>SUM(H86:H89)</f>
        <v>25883</v>
      </c>
      <c r="I85" s="482">
        <f t="shared" ref="I85:T85" si="75">SUM(I86:I89)</f>
        <v>25883</v>
      </c>
      <c r="J85" s="482">
        <f t="shared" si="75"/>
        <v>25881</v>
      </c>
      <c r="K85" s="482">
        <f t="shared" si="75"/>
        <v>25184</v>
      </c>
      <c r="L85" s="482">
        <f t="shared" si="75"/>
        <v>25184</v>
      </c>
      <c r="M85" s="482">
        <f t="shared" si="75"/>
        <v>25183</v>
      </c>
      <c r="N85" s="482">
        <f t="shared" si="75"/>
        <v>1392</v>
      </c>
      <c r="O85" s="482">
        <f t="shared" si="75"/>
        <v>1392</v>
      </c>
      <c r="P85" s="482">
        <f t="shared" si="75"/>
        <v>1392</v>
      </c>
      <c r="Q85" s="482">
        <f t="shared" si="75"/>
        <v>2089</v>
      </c>
      <c r="R85" s="482">
        <f t="shared" si="75"/>
        <v>2089</v>
      </c>
      <c r="S85" s="482">
        <f t="shared" si="75"/>
        <v>2088</v>
      </c>
      <c r="T85" s="482">
        <f t="shared" si="75"/>
        <v>163640</v>
      </c>
    </row>
    <row r="86" spans="1:20" ht="49.5" customHeight="1">
      <c r="A86" s="499"/>
      <c r="B86" s="484"/>
      <c r="C86" s="505" t="s">
        <v>354</v>
      </c>
      <c r="D86" s="467" t="s">
        <v>355</v>
      </c>
      <c r="E86" s="491">
        <v>1500</v>
      </c>
      <c r="F86" s="469">
        <f>9.05968*1.2</f>
        <v>10.871616</v>
      </c>
      <c r="G86" s="470">
        <f>E86*F86-0.42</f>
        <v>16307.003999999999</v>
      </c>
      <c r="H86" s="470">
        <v>1631</v>
      </c>
      <c r="I86" s="470">
        <f>$H$86</f>
        <v>1631</v>
      </c>
      <c r="J86" s="470">
        <f>$H$86</f>
        <v>1631</v>
      </c>
      <c r="K86" s="470">
        <v>1087</v>
      </c>
      <c r="L86" s="470">
        <f>$K$86</f>
        <v>1087</v>
      </c>
      <c r="M86" s="470">
        <f t="shared" ref="M86:P86" si="76">$K$86</f>
        <v>1087</v>
      </c>
      <c r="N86" s="470">
        <f t="shared" si="76"/>
        <v>1087</v>
      </c>
      <c r="O86" s="470">
        <f t="shared" si="76"/>
        <v>1087</v>
      </c>
      <c r="P86" s="470">
        <f t="shared" si="76"/>
        <v>1087</v>
      </c>
      <c r="Q86" s="470">
        <f>$H$86</f>
        <v>1631</v>
      </c>
      <c r="R86" s="470">
        <f t="shared" ref="R86" si="77">$H$86</f>
        <v>1631</v>
      </c>
      <c r="S86" s="470">
        <f>$H$86-1</f>
        <v>1630</v>
      </c>
      <c r="T86" s="509">
        <f t="shared" ref="T86:T89" si="78">SUM(H86:S86)</f>
        <v>16307</v>
      </c>
    </row>
    <row r="87" spans="1:20" ht="49.5" customHeight="1">
      <c r="A87" s="499"/>
      <c r="B87" s="484"/>
      <c r="C87" s="505" t="s">
        <v>375</v>
      </c>
      <c r="D87" s="467" t="s">
        <v>356</v>
      </c>
      <c r="E87" s="491">
        <v>1500</v>
      </c>
      <c r="F87" s="506">
        <v>3.055212</v>
      </c>
      <c r="G87" s="470">
        <f>E87*F87+0.18</f>
        <v>4582.9980000000005</v>
      </c>
      <c r="H87" s="470">
        <v>459</v>
      </c>
      <c r="I87" s="470">
        <f>$H$87</f>
        <v>459</v>
      </c>
      <c r="J87" s="470">
        <f>$H$87</f>
        <v>459</v>
      </c>
      <c r="K87" s="470">
        <v>306</v>
      </c>
      <c r="L87" s="470">
        <f>$K$87</f>
        <v>306</v>
      </c>
      <c r="M87" s="470">
        <f>$K$87-1</f>
        <v>305</v>
      </c>
      <c r="N87" s="470">
        <f>$K$87-1</f>
        <v>305</v>
      </c>
      <c r="O87" s="470">
        <f>$K$87-1</f>
        <v>305</v>
      </c>
      <c r="P87" s="470">
        <f>$K$87-1</f>
        <v>305</v>
      </c>
      <c r="Q87" s="470">
        <f>$H$87-1</f>
        <v>458</v>
      </c>
      <c r="R87" s="470">
        <f>$H$87-1</f>
        <v>458</v>
      </c>
      <c r="S87" s="470">
        <f>$H$87-1</f>
        <v>458</v>
      </c>
      <c r="T87" s="509">
        <f t="shared" si="78"/>
        <v>4583</v>
      </c>
    </row>
    <row r="88" spans="1:20" ht="29.25" customHeight="1">
      <c r="A88" s="499"/>
      <c r="B88" s="484"/>
      <c r="C88" s="505" t="s">
        <v>357</v>
      </c>
      <c r="D88" s="467" t="s">
        <v>355</v>
      </c>
      <c r="E88" s="491">
        <v>10250</v>
      </c>
      <c r="F88" s="469">
        <f>9.05968*1.2</f>
        <v>10.871616</v>
      </c>
      <c r="G88" s="470">
        <f>E88*F88-0.06</f>
        <v>111434.004</v>
      </c>
      <c r="H88" s="470">
        <v>18573</v>
      </c>
      <c r="I88" s="470">
        <f>$H$88</f>
        <v>18573</v>
      </c>
      <c r="J88" s="470">
        <f>$H$88-1</f>
        <v>18572</v>
      </c>
      <c r="K88" s="470">
        <f>$H$88-1</f>
        <v>18572</v>
      </c>
      <c r="L88" s="470">
        <f>$H$88-1</f>
        <v>18572</v>
      </c>
      <c r="M88" s="470">
        <f>$H$88-1</f>
        <v>18572</v>
      </c>
      <c r="N88" s="470"/>
      <c r="O88" s="470"/>
      <c r="P88" s="470"/>
      <c r="Q88" s="470"/>
      <c r="R88" s="470"/>
      <c r="S88" s="470"/>
      <c r="T88" s="509">
        <f t="shared" si="78"/>
        <v>111434</v>
      </c>
    </row>
    <row r="89" spans="1:20" ht="43.5" customHeight="1">
      <c r="A89" s="499"/>
      <c r="B89" s="484"/>
      <c r="C89" s="505" t="s">
        <v>376</v>
      </c>
      <c r="D89" s="467" t="s">
        <v>356</v>
      </c>
      <c r="E89" s="491">
        <v>10250</v>
      </c>
      <c r="F89" s="506">
        <v>3.055212</v>
      </c>
      <c r="G89" s="470">
        <f>E89*F89+0.08</f>
        <v>31316.003000000001</v>
      </c>
      <c r="H89" s="470">
        <v>5220</v>
      </c>
      <c r="I89" s="470">
        <f>$H$89</f>
        <v>5220</v>
      </c>
      <c r="J89" s="470">
        <f>$H$89-1</f>
        <v>5219</v>
      </c>
      <c r="K89" s="470">
        <f>$H$89-1</f>
        <v>5219</v>
      </c>
      <c r="L89" s="470">
        <f>$H$89-1</f>
        <v>5219</v>
      </c>
      <c r="M89" s="470">
        <f>$H$89-1</f>
        <v>5219</v>
      </c>
      <c r="N89" s="470"/>
      <c r="O89" s="470"/>
      <c r="P89" s="470"/>
      <c r="Q89" s="470"/>
      <c r="R89" s="470"/>
      <c r="S89" s="470"/>
      <c r="T89" s="509">
        <f t="shared" si="78"/>
        <v>31316</v>
      </c>
    </row>
    <row r="90" spans="1:20" s="297" customFormat="1" ht="22.8">
      <c r="A90" s="434"/>
      <c r="B90" s="435"/>
      <c r="C90" s="436" t="s">
        <v>239</v>
      </c>
      <c r="D90" s="434"/>
      <c r="E90" s="434"/>
      <c r="F90" s="434"/>
      <c r="G90" s="507">
        <f t="shared" ref="G90:T90" si="79">G19+G26+G31+G43+G73+G75</f>
        <v>11945765.9986814</v>
      </c>
      <c r="H90" s="507">
        <f t="shared" si="79"/>
        <v>1072027</v>
      </c>
      <c r="I90" s="507">
        <f t="shared" si="79"/>
        <v>1121393</v>
      </c>
      <c r="J90" s="507">
        <f t="shared" si="79"/>
        <v>1073824</v>
      </c>
      <c r="K90" s="507">
        <f t="shared" si="79"/>
        <v>1068172</v>
      </c>
      <c r="L90" s="507">
        <f t="shared" si="79"/>
        <v>1135843</v>
      </c>
      <c r="M90" s="507">
        <f t="shared" si="79"/>
        <v>1068319</v>
      </c>
      <c r="N90" s="507">
        <f t="shared" si="79"/>
        <v>881103</v>
      </c>
      <c r="O90" s="507">
        <f t="shared" si="79"/>
        <v>928308</v>
      </c>
      <c r="P90" s="507">
        <f t="shared" si="79"/>
        <v>880741</v>
      </c>
      <c r="Q90" s="507">
        <f t="shared" si="79"/>
        <v>882790</v>
      </c>
      <c r="R90" s="507">
        <f t="shared" si="79"/>
        <v>950460</v>
      </c>
      <c r="S90" s="507">
        <f t="shared" si="79"/>
        <v>882786</v>
      </c>
      <c r="T90" s="507">
        <f t="shared" si="79"/>
        <v>11945766</v>
      </c>
    </row>
    <row r="91" spans="1:20" s="297" customFormat="1" ht="22.8">
      <c r="A91" s="512"/>
      <c r="B91" s="513"/>
      <c r="C91" s="514"/>
      <c r="D91" s="512"/>
      <c r="E91" s="512"/>
      <c r="F91" s="512"/>
      <c r="G91" s="515"/>
      <c r="H91" s="515"/>
      <c r="I91" s="515"/>
      <c r="J91" s="515"/>
      <c r="K91" s="515"/>
      <c r="L91" s="515"/>
      <c r="M91" s="515"/>
      <c r="N91" s="515"/>
      <c r="O91" s="515"/>
      <c r="P91" s="515"/>
      <c r="Q91" s="515"/>
      <c r="R91" s="515"/>
      <c r="S91" s="515"/>
      <c r="T91" s="515"/>
    </row>
    <row r="92" spans="1:20" s="297" customFormat="1" ht="22.8">
      <c r="A92" s="512"/>
      <c r="B92" s="513"/>
      <c r="C92" s="514"/>
      <c r="D92" s="512"/>
      <c r="E92" s="512"/>
      <c r="F92" s="512"/>
      <c r="G92" s="515"/>
      <c r="H92" s="515"/>
      <c r="I92" s="515"/>
      <c r="J92" s="515"/>
      <c r="K92" s="515"/>
      <c r="L92" s="515"/>
      <c r="M92" s="515"/>
      <c r="N92" s="515"/>
      <c r="O92" s="515"/>
      <c r="P92" s="515"/>
      <c r="Q92" s="515"/>
      <c r="R92" s="515"/>
      <c r="S92" s="515"/>
      <c r="T92" s="515"/>
    </row>
    <row r="93" spans="1:20" s="297" customFormat="1" ht="20.399999999999999">
      <c r="B93" s="411"/>
      <c r="C93" s="412"/>
      <c r="G93" s="413"/>
      <c r="H93" s="410"/>
    </row>
    <row r="94" spans="1:20" s="297" customFormat="1" ht="18.75" customHeight="1">
      <c r="A94" s="577" t="s">
        <v>358</v>
      </c>
      <c r="B94" s="577"/>
      <c r="C94" s="577"/>
      <c r="D94" s="417" t="s">
        <v>359</v>
      </c>
      <c r="E94" s="417"/>
      <c r="F94" s="418" t="s">
        <v>262</v>
      </c>
      <c r="G94" s="419"/>
    </row>
    <row r="95" spans="1:20" s="297" customFormat="1" ht="18.75" customHeight="1">
      <c r="A95" s="420"/>
      <c r="B95" s="420"/>
      <c r="C95" s="420"/>
      <c r="D95" s="417"/>
      <c r="E95" s="417"/>
      <c r="F95" s="418"/>
      <c r="G95" s="419"/>
    </row>
    <row r="96" spans="1:20" s="297" customFormat="1" ht="18.75" customHeight="1">
      <c r="A96" s="420"/>
      <c r="B96" s="420"/>
      <c r="C96" s="420"/>
      <c r="D96" s="417"/>
      <c r="E96" s="417"/>
      <c r="F96" s="418"/>
      <c r="G96" s="419"/>
    </row>
    <row r="97" spans="1:7" s="297" customFormat="1" ht="18.75" customHeight="1">
      <c r="A97" s="577" t="s">
        <v>154</v>
      </c>
      <c r="B97" s="577"/>
      <c r="C97" s="577"/>
      <c r="D97" s="421"/>
      <c r="E97" s="421"/>
      <c r="F97" s="418" t="s">
        <v>264</v>
      </c>
      <c r="G97" s="419"/>
    </row>
    <row r="98" spans="1:7" s="297" customFormat="1" ht="21">
      <c r="A98" s="422"/>
      <c r="B98" s="422"/>
      <c r="C98" s="423"/>
      <c r="D98" s="423"/>
      <c r="E98" s="423"/>
      <c r="F98" s="419"/>
      <c r="G98" s="419"/>
    </row>
    <row r="99" spans="1:7">
      <c r="E99" s="424"/>
      <c r="F99" s="294"/>
      <c r="G99" s="294"/>
    </row>
  </sheetData>
  <protectedRanges>
    <protectedRange sqref="C98 E98" name="Диапазон1_1_2"/>
    <protectedRange sqref="E94:E97" name="Диапазон1_1_3"/>
    <protectedRange sqref="D94:D97" name="Диапазон1_1_3_1"/>
    <protectedRange sqref="D98" name="Диапазон1_1_2_1"/>
  </protectedRanges>
  <mergeCells count="48">
    <mergeCell ref="A94:C94"/>
    <mergeCell ref="A97:C97"/>
    <mergeCell ref="S16:S17"/>
    <mergeCell ref="A28:G28"/>
    <mergeCell ref="A29:A30"/>
    <mergeCell ref="B29:B30"/>
    <mergeCell ref="C29:C30"/>
    <mergeCell ref="D29:D30"/>
    <mergeCell ref="E29:E30"/>
    <mergeCell ref="F29:F30"/>
    <mergeCell ref="G29:G30"/>
    <mergeCell ref="M16:M17"/>
    <mergeCell ref="N16:N17"/>
    <mergeCell ref="O16:O17"/>
    <mergeCell ref="P16:P17"/>
    <mergeCell ref="R16:R17"/>
    <mergeCell ref="A13:S13"/>
    <mergeCell ref="A14:S14"/>
    <mergeCell ref="L16:L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D5:F5"/>
    <mergeCell ref="D6:F6"/>
    <mergeCell ref="F7:G7"/>
    <mergeCell ref="D8:E8"/>
    <mergeCell ref="F8:G8"/>
    <mergeCell ref="R29:R30"/>
    <mergeCell ref="S29:S30"/>
    <mergeCell ref="A16:A17"/>
    <mergeCell ref="B16:B17"/>
    <mergeCell ref="M29:M30"/>
    <mergeCell ref="N29:N30"/>
    <mergeCell ref="O29:O30"/>
    <mergeCell ref="P29:P30"/>
    <mergeCell ref="Q29:Q30"/>
    <mergeCell ref="H29:H30"/>
    <mergeCell ref="I29:I30"/>
    <mergeCell ref="J29:J30"/>
    <mergeCell ref="K29:K30"/>
    <mergeCell ref="L29:L30"/>
    <mergeCell ref="Q16:Q17"/>
  </mergeCells>
  <printOptions horizontalCentered="1"/>
  <pageMargins left="0.59055118110236227" right="0.19685039370078741" top="0.59055118110236227" bottom="0.39370078740157483" header="0.31496062992125984" footer="0.31496062992125984"/>
  <pageSetup paperSize="9" scale="35" orientation="landscape" r:id="rId1"/>
  <headerFooter alignWithMargins="0"/>
  <rowBreaks count="1" manualBreakCount="1">
    <brk id="58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5"/>
  </sheetPr>
  <dimension ref="A1:BE126"/>
  <sheetViews>
    <sheetView view="pageBreakPreview" topLeftCell="A24" zoomScale="75" zoomScaleSheetLayoutView="100" workbookViewId="0">
      <selection activeCell="G24" sqref="G24"/>
    </sheetView>
  </sheetViews>
  <sheetFormatPr defaultColWidth="9.109375" defaultRowHeight="14.4"/>
  <cols>
    <col min="1" max="1" width="5.5546875" style="282" customWidth="1"/>
    <col min="2" max="2" width="7.6640625" style="283" customWidth="1"/>
    <col min="3" max="3" width="60.44140625" style="282" customWidth="1"/>
    <col min="4" max="4" width="11.33203125" style="282" customWidth="1"/>
    <col min="5" max="5" width="12.44140625" style="282" customWidth="1"/>
    <col min="6" max="6" width="19" style="282" customWidth="1"/>
    <col min="7" max="7" width="19.33203125" style="282" customWidth="1"/>
    <col min="8" max="8" width="15.33203125" style="282" customWidth="1"/>
    <col min="9" max="9" width="12" style="282" customWidth="1"/>
    <col min="10" max="10" width="14.6640625" style="282" customWidth="1"/>
    <col min="11" max="16384" width="9.109375" style="282"/>
  </cols>
  <sheetData>
    <row r="1" spans="1:7" ht="15.6" hidden="1">
      <c r="D1" s="284" t="s">
        <v>283</v>
      </c>
    </row>
    <row r="2" spans="1:7" hidden="1">
      <c r="D2" s="285" t="s">
        <v>284</v>
      </c>
      <c r="E2" s="286" t="s">
        <v>285</v>
      </c>
      <c r="F2" s="287"/>
      <c r="G2" s="287"/>
    </row>
    <row r="3" spans="1:7" hidden="1">
      <c r="D3" s="286" t="s">
        <v>286</v>
      </c>
      <c r="E3" s="287"/>
      <c r="F3" s="287"/>
      <c r="G3" s="288">
        <f>G119</f>
        <v>11945765.9986814</v>
      </c>
    </row>
    <row r="4" spans="1:7" hidden="1">
      <c r="F4" s="289" t="s">
        <v>287</v>
      </c>
    </row>
    <row r="5" spans="1:7" hidden="1">
      <c r="D5" s="572" t="s">
        <v>288</v>
      </c>
      <c r="E5" s="572"/>
      <c r="F5" s="572"/>
      <c r="G5" s="290"/>
    </row>
    <row r="6" spans="1:7" hidden="1">
      <c r="D6" s="573" t="s">
        <v>111</v>
      </c>
      <c r="E6" s="573"/>
      <c r="F6" s="573"/>
    </row>
    <row r="7" spans="1:7" hidden="1">
      <c r="D7" s="290"/>
      <c r="E7" s="291"/>
      <c r="F7" s="572" t="s">
        <v>289</v>
      </c>
      <c r="G7" s="572"/>
    </row>
    <row r="8" spans="1:7" hidden="1">
      <c r="D8" s="573" t="s">
        <v>112</v>
      </c>
      <c r="E8" s="573"/>
      <c r="F8" s="573" t="s">
        <v>290</v>
      </c>
      <c r="G8" s="573"/>
    </row>
    <row r="9" spans="1:7" ht="15.6" hidden="1">
      <c r="D9" s="292" t="s">
        <v>291</v>
      </c>
      <c r="E9" s="293"/>
      <c r="F9" s="291"/>
    </row>
    <row r="10" spans="1:7" hidden="1">
      <c r="D10" s="289" t="s">
        <v>292</v>
      </c>
      <c r="G10" s="282" t="s">
        <v>113</v>
      </c>
    </row>
    <row r="11" spans="1:7" hidden="1"/>
    <row r="12" spans="1:7" hidden="1">
      <c r="D12" s="294"/>
      <c r="E12" s="294"/>
      <c r="F12" s="294"/>
      <c r="G12" s="294"/>
    </row>
    <row r="13" spans="1:7" ht="15.6">
      <c r="D13" s="294"/>
      <c r="E13" s="294"/>
      <c r="F13" s="294"/>
      <c r="G13" s="295"/>
    </row>
    <row r="14" spans="1:7" ht="18.75" customHeight="1">
      <c r="D14" s="294"/>
      <c r="E14" s="294"/>
      <c r="F14" s="294"/>
      <c r="G14" s="295"/>
    </row>
    <row r="15" spans="1:7" s="296" customFormat="1" ht="22.5" customHeight="1">
      <c r="A15" s="603" t="s">
        <v>409</v>
      </c>
      <c r="B15" s="603"/>
      <c r="C15" s="603"/>
      <c r="D15" s="603"/>
      <c r="E15" s="603"/>
      <c r="F15" s="603"/>
      <c r="G15" s="603"/>
    </row>
    <row r="16" spans="1:7" s="297" customFormat="1" ht="21.75" customHeight="1">
      <c r="A16" s="595" t="s">
        <v>293</v>
      </c>
      <c r="B16" s="595"/>
      <c r="C16" s="595"/>
      <c r="D16" s="595"/>
      <c r="E16" s="595"/>
      <c r="F16" s="595"/>
      <c r="G16" s="595"/>
    </row>
    <row r="17" spans="1:19" s="297" customFormat="1" ht="24" customHeight="1">
      <c r="A17" s="596" t="s">
        <v>231</v>
      </c>
      <c r="B17" s="596"/>
      <c r="C17" s="596"/>
      <c r="D17" s="596"/>
      <c r="E17" s="596"/>
      <c r="F17" s="596"/>
      <c r="G17" s="596"/>
    </row>
    <row r="18" spans="1:19" s="297" customFormat="1" ht="43.5" customHeight="1">
      <c r="A18" s="597" t="s">
        <v>294</v>
      </c>
      <c r="B18" s="597"/>
      <c r="C18" s="597"/>
      <c r="D18" s="597"/>
      <c r="E18" s="597"/>
      <c r="F18" s="597"/>
      <c r="G18" s="597"/>
      <c r="L18" s="298"/>
    </row>
    <row r="19" spans="1:19" s="297" customFormat="1" ht="22.2" customHeight="1" thickBot="1">
      <c r="A19" s="299"/>
      <c r="B19" s="299"/>
      <c r="C19" s="299"/>
      <c r="D19" s="299"/>
      <c r="E19" s="299"/>
      <c r="F19" s="299"/>
      <c r="G19" s="300" t="s">
        <v>114</v>
      </c>
      <c r="L19" s="298"/>
    </row>
    <row r="20" spans="1:19" s="297" customFormat="1" ht="25.5" customHeight="1" thickBot="1">
      <c r="A20" s="598" t="s">
        <v>155</v>
      </c>
      <c r="B20" s="599"/>
      <c r="C20" s="599"/>
      <c r="D20" s="599"/>
      <c r="E20" s="599"/>
      <c r="F20" s="599"/>
      <c r="G20" s="600"/>
    </row>
    <row r="21" spans="1:19" s="301" customFormat="1" ht="15.6" customHeight="1">
      <c r="A21" s="601" t="s">
        <v>115</v>
      </c>
      <c r="B21" s="589" t="s">
        <v>156</v>
      </c>
      <c r="C21" s="602" t="s">
        <v>116</v>
      </c>
      <c r="D21" s="602" t="s">
        <v>117</v>
      </c>
      <c r="E21" s="602" t="s">
        <v>118</v>
      </c>
      <c r="F21" s="602" t="s">
        <v>295</v>
      </c>
      <c r="G21" s="582" t="s">
        <v>296</v>
      </c>
      <c r="H21" s="580"/>
      <c r="I21" s="580"/>
      <c r="J21" s="580"/>
      <c r="K21" s="580"/>
      <c r="L21" s="580"/>
      <c r="M21" s="580"/>
      <c r="N21" s="580"/>
      <c r="O21" s="580"/>
      <c r="P21" s="580"/>
      <c r="Q21" s="580"/>
      <c r="R21" s="580"/>
      <c r="S21" s="580"/>
    </row>
    <row r="22" spans="1:19" s="302" customFormat="1" ht="34.200000000000003" customHeight="1">
      <c r="A22" s="588"/>
      <c r="B22" s="590"/>
      <c r="C22" s="592"/>
      <c r="D22" s="591"/>
      <c r="E22" s="591"/>
      <c r="F22" s="591"/>
      <c r="G22" s="583"/>
      <c r="H22" s="580"/>
      <c r="I22" s="580"/>
      <c r="J22" s="580"/>
      <c r="K22" s="580"/>
      <c r="L22" s="580"/>
      <c r="M22" s="580"/>
      <c r="N22" s="580"/>
      <c r="O22" s="580"/>
      <c r="P22" s="580"/>
      <c r="Q22" s="580"/>
      <c r="R22" s="580"/>
      <c r="S22" s="580"/>
    </row>
    <row r="23" spans="1:19" s="302" customFormat="1" ht="34.200000000000003" customHeight="1">
      <c r="A23" s="303"/>
      <c r="B23" s="304">
        <v>2610</v>
      </c>
      <c r="C23" s="305" t="s">
        <v>157</v>
      </c>
      <c r="D23" s="304"/>
      <c r="E23" s="304"/>
      <c r="F23" s="304"/>
      <c r="G23" s="306">
        <f>G24+G31+G36+G72+G102+G104</f>
        <v>11945765.9986814</v>
      </c>
      <c r="H23" s="307"/>
    </row>
    <row r="24" spans="1:19" s="302" customFormat="1" ht="15.6">
      <c r="A24" s="308" t="s">
        <v>119</v>
      </c>
      <c r="B24" s="304"/>
      <c r="C24" s="309" t="s">
        <v>120</v>
      </c>
      <c r="D24" s="310"/>
      <c r="E24" s="311"/>
      <c r="F24" s="311"/>
      <c r="G24" s="312">
        <f>SUM(G29,G30)</f>
        <v>8601859</v>
      </c>
      <c r="H24" s="307"/>
    </row>
    <row r="25" spans="1:19" s="302" customFormat="1" ht="18.75" customHeight="1">
      <c r="A25" s="313"/>
      <c r="B25" s="314"/>
      <c r="C25" s="315" t="s">
        <v>121</v>
      </c>
      <c r="D25" s="316" t="s">
        <v>122</v>
      </c>
      <c r="E25" s="317">
        <v>25</v>
      </c>
      <c r="F25" s="318">
        <f>G25/12/E25</f>
        <v>19255.48</v>
      </c>
      <c r="G25" s="319">
        <f>'ФОП_2026_25% '!G30*12</f>
        <v>5776644</v>
      </c>
    </row>
    <row r="26" spans="1:19" s="302" customFormat="1" ht="16.5" customHeight="1">
      <c r="A26" s="313"/>
      <c r="B26" s="314"/>
      <c r="C26" s="315" t="s">
        <v>123</v>
      </c>
      <c r="D26" s="316" t="s">
        <v>122</v>
      </c>
      <c r="E26" s="317">
        <v>24</v>
      </c>
      <c r="F26" s="318">
        <f>G26/12/E26</f>
        <v>1845.5833333333337</v>
      </c>
      <c r="G26" s="319">
        <f>'ФОП_2026_25% '!L30*12</f>
        <v>531528.00000000012</v>
      </c>
    </row>
    <row r="27" spans="1:19" s="302" customFormat="1" ht="18" customHeight="1">
      <c r="A27" s="313"/>
      <c r="B27" s="314"/>
      <c r="C27" s="315" t="s">
        <v>124</v>
      </c>
      <c r="D27" s="316" t="s">
        <v>122</v>
      </c>
      <c r="E27" s="317">
        <v>19</v>
      </c>
      <c r="F27" s="318">
        <f>G27/12/E27</f>
        <v>2120</v>
      </c>
      <c r="G27" s="319">
        <f>'ФОП_2026_25% '!J30*12</f>
        <v>483360</v>
      </c>
      <c r="J27" s="320"/>
    </row>
    <row r="28" spans="1:19" s="302" customFormat="1" ht="32.25" customHeight="1">
      <c r="A28" s="313"/>
      <c r="B28" s="314"/>
      <c r="C28" s="321" t="s">
        <v>125</v>
      </c>
      <c r="D28" s="316" t="s">
        <v>122</v>
      </c>
      <c r="E28" s="317">
        <v>23</v>
      </c>
      <c r="F28" s="318">
        <f>G28/12/E28</f>
        <v>4815</v>
      </c>
      <c r="G28" s="319">
        <f>'ФОП_2026_25% '!I30*12</f>
        <v>1328940</v>
      </c>
    </row>
    <row r="29" spans="1:19" s="302" customFormat="1" ht="19.95" customHeight="1">
      <c r="A29" s="322"/>
      <c r="B29" s="323"/>
      <c r="C29" s="324" t="s">
        <v>297</v>
      </c>
      <c r="D29" s="325"/>
      <c r="E29" s="326"/>
      <c r="F29" s="327"/>
      <c r="G29" s="328">
        <f>SUM(G25:G28)</f>
        <v>8120472</v>
      </c>
    </row>
    <row r="30" spans="1:19" s="302" customFormat="1" ht="33" customHeight="1">
      <c r="A30" s="313"/>
      <c r="B30" s="314"/>
      <c r="C30" s="321" t="s">
        <v>253</v>
      </c>
      <c r="D30" s="316" t="s">
        <v>122</v>
      </c>
      <c r="E30" s="329">
        <v>25</v>
      </c>
      <c r="F30" s="318">
        <f>G30/E30</f>
        <v>19255.48</v>
      </c>
      <c r="G30" s="330">
        <f>'ФОП_2026_25% '!P30</f>
        <v>481387</v>
      </c>
    </row>
    <row r="31" spans="1:19" s="334" customFormat="1" ht="15.6">
      <c r="A31" s="331" t="s">
        <v>126</v>
      </c>
      <c r="B31" s="323"/>
      <c r="C31" s="324" t="s">
        <v>127</v>
      </c>
      <c r="D31" s="332"/>
      <c r="E31" s="333"/>
      <c r="F31" s="333"/>
      <c r="G31" s="312">
        <f>G32</f>
        <v>1892409</v>
      </c>
    </row>
    <row r="32" spans="1:19" s="302" customFormat="1" ht="65.25" customHeight="1">
      <c r="A32" s="313"/>
      <c r="B32" s="314"/>
      <c r="C32" s="335" t="s">
        <v>128</v>
      </c>
      <c r="D32" s="336" t="s">
        <v>114</v>
      </c>
      <c r="E32" s="329"/>
      <c r="F32" s="329"/>
      <c r="G32" s="330">
        <f>'ФОП_2026_25% '!N33+0.02</f>
        <v>1892409</v>
      </c>
    </row>
    <row r="33" spans="1:57" s="302" customFormat="1" ht="21" customHeight="1">
      <c r="A33" s="584"/>
      <c r="B33" s="585"/>
      <c r="C33" s="585"/>
      <c r="D33" s="585"/>
      <c r="E33" s="585"/>
      <c r="F33" s="585"/>
      <c r="G33" s="586"/>
    </row>
    <row r="34" spans="1:57" s="302" customFormat="1" ht="22.5" customHeight="1">
      <c r="A34" s="587" t="s">
        <v>115</v>
      </c>
      <c r="B34" s="589" t="s">
        <v>156</v>
      </c>
      <c r="C34" s="591" t="s">
        <v>116</v>
      </c>
      <c r="D34" s="591" t="s">
        <v>117</v>
      </c>
      <c r="E34" s="593" t="s">
        <v>129</v>
      </c>
      <c r="F34" s="593" t="s">
        <v>130</v>
      </c>
      <c r="G34" s="594" t="s">
        <v>131</v>
      </c>
    </row>
    <row r="35" spans="1:57" s="302" customFormat="1" ht="15" customHeight="1">
      <c r="A35" s="588"/>
      <c r="B35" s="590"/>
      <c r="C35" s="592"/>
      <c r="D35" s="591"/>
      <c r="E35" s="593"/>
      <c r="F35" s="593"/>
      <c r="G35" s="594"/>
    </row>
    <row r="36" spans="1:57" s="302" customFormat="1" ht="39" customHeight="1">
      <c r="A36" s="337" t="s">
        <v>132</v>
      </c>
      <c r="B36" s="323"/>
      <c r="C36" s="338" t="s">
        <v>133</v>
      </c>
      <c r="D36" s="332"/>
      <c r="E36" s="333"/>
      <c r="F36" s="333"/>
      <c r="G36" s="312">
        <f>G37+G49+G58+G61+G66</f>
        <v>223241</v>
      </c>
      <c r="H36" s="339"/>
    </row>
    <row r="37" spans="1:57" s="302" customFormat="1" ht="24" hidden="1" customHeight="1">
      <c r="A37" s="340" t="s">
        <v>134</v>
      </c>
      <c r="B37" s="341"/>
      <c r="C37" s="342" t="s">
        <v>135</v>
      </c>
      <c r="D37" s="343"/>
      <c r="E37" s="344"/>
      <c r="F37" s="344"/>
      <c r="G37" s="345">
        <f>SUM(G38:G48)</f>
        <v>0</v>
      </c>
    </row>
    <row r="38" spans="1:57" s="302" customFormat="1" ht="24" hidden="1" customHeight="1">
      <c r="A38" s="346"/>
      <c r="B38" s="347"/>
      <c r="C38" s="348" t="s">
        <v>298</v>
      </c>
      <c r="D38" s="316" t="s">
        <v>299</v>
      </c>
      <c r="E38" s="317">
        <v>1</v>
      </c>
      <c r="F38" s="349">
        <v>26</v>
      </c>
      <c r="G38" s="319"/>
    </row>
    <row r="39" spans="1:57" s="302" customFormat="1" ht="23.25" hidden="1" customHeight="1">
      <c r="A39" s="346"/>
      <c r="B39" s="347"/>
      <c r="C39" s="348" t="s">
        <v>300</v>
      </c>
      <c r="D39" s="316" t="s">
        <v>232</v>
      </c>
      <c r="E39" s="317">
        <v>40</v>
      </c>
      <c r="F39" s="349">
        <v>171</v>
      </c>
      <c r="G39" s="319"/>
    </row>
    <row r="40" spans="1:57" s="354" customFormat="1" ht="18" hidden="1" customHeight="1">
      <c r="A40" s="350"/>
      <c r="B40" s="351"/>
      <c r="C40" s="352" t="s">
        <v>301</v>
      </c>
      <c r="D40" s="347" t="s">
        <v>136</v>
      </c>
      <c r="E40" s="347">
        <v>25</v>
      </c>
      <c r="F40" s="353">
        <v>6.9</v>
      </c>
      <c r="G40" s="319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2"/>
      <c r="AL40" s="302"/>
      <c r="AM40" s="302"/>
      <c r="AN40" s="302"/>
      <c r="AO40" s="302"/>
      <c r="AP40" s="302"/>
      <c r="AQ40" s="302"/>
      <c r="AR40" s="302"/>
      <c r="AS40" s="302"/>
      <c r="AT40" s="302"/>
      <c r="AU40" s="302"/>
      <c r="AV40" s="302"/>
      <c r="AW40" s="302"/>
      <c r="AX40" s="302"/>
      <c r="AY40" s="302"/>
      <c r="AZ40" s="302"/>
      <c r="BA40" s="302"/>
      <c r="BB40" s="302"/>
      <c r="BC40" s="302"/>
      <c r="BD40" s="302"/>
      <c r="BE40" s="302"/>
    </row>
    <row r="41" spans="1:57" s="354" customFormat="1" ht="20.25" hidden="1" customHeight="1">
      <c r="A41" s="350"/>
      <c r="B41" s="351"/>
      <c r="C41" s="352" t="s">
        <v>302</v>
      </c>
      <c r="D41" s="347" t="s">
        <v>136</v>
      </c>
      <c r="E41" s="347">
        <v>4</v>
      </c>
      <c r="F41" s="353">
        <v>96.6</v>
      </c>
      <c r="G41" s="319"/>
      <c r="H41" s="302"/>
      <c r="I41" s="302"/>
      <c r="J41" s="302"/>
      <c r="K41" s="302"/>
      <c r="L41" s="302"/>
      <c r="M41" s="302"/>
      <c r="N41" s="302"/>
      <c r="O41" s="302"/>
      <c r="P41" s="302"/>
      <c r="Q41" s="302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2"/>
      <c r="AG41" s="302"/>
      <c r="AH41" s="302"/>
      <c r="AI41" s="302"/>
      <c r="AJ41" s="302"/>
      <c r="AK41" s="302"/>
      <c r="AL41" s="302"/>
      <c r="AM41" s="302"/>
      <c r="AN41" s="302"/>
      <c r="AO41" s="302"/>
      <c r="AP41" s="302"/>
      <c r="AQ41" s="302"/>
      <c r="AR41" s="302"/>
      <c r="AS41" s="302"/>
      <c r="AT41" s="302"/>
      <c r="AU41" s="302"/>
      <c r="AV41" s="302"/>
      <c r="AW41" s="302"/>
      <c r="AX41" s="302"/>
      <c r="AY41" s="302"/>
      <c r="AZ41" s="302"/>
      <c r="BA41" s="302"/>
      <c r="BB41" s="302"/>
      <c r="BC41" s="302"/>
      <c r="BD41" s="302"/>
      <c r="BE41" s="302"/>
    </row>
    <row r="42" spans="1:57" s="354" customFormat="1" ht="18.75" hidden="1" customHeight="1">
      <c r="A42" s="350"/>
      <c r="B42" s="351"/>
      <c r="C42" s="352" t="s">
        <v>303</v>
      </c>
      <c r="D42" s="347" t="s">
        <v>136</v>
      </c>
      <c r="E42" s="347">
        <v>5</v>
      </c>
      <c r="F42" s="353">
        <v>96.6</v>
      </c>
      <c r="G42" s="319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302"/>
      <c r="AJ42" s="302"/>
      <c r="AK42" s="302"/>
      <c r="AL42" s="302"/>
      <c r="AM42" s="302"/>
      <c r="AN42" s="302"/>
      <c r="AO42" s="302"/>
      <c r="AP42" s="302"/>
      <c r="AQ42" s="302"/>
      <c r="AR42" s="302"/>
      <c r="AS42" s="302"/>
      <c r="AT42" s="302"/>
      <c r="AU42" s="302"/>
      <c r="AV42" s="302"/>
      <c r="AW42" s="302"/>
      <c r="AX42" s="302"/>
      <c r="AY42" s="302"/>
      <c r="AZ42" s="302"/>
      <c r="BA42" s="302"/>
      <c r="BB42" s="302"/>
      <c r="BC42" s="302"/>
      <c r="BD42" s="302"/>
      <c r="BE42" s="302"/>
    </row>
    <row r="43" spans="1:57" s="354" customFormat="1" ht="20.25" hidden="1" customHeight="1">
      <c r="A43" s="350"/>
      <c r="B43" s="351"/>
      <c r="C43" s="352" t="s">
        <v>304</v>
      </c>
      <c r="D43" s="347" t="s">
        <v>136</v>
      </c>
      <c r="E43" s="347">
        <v>5</v>
      </c>
      <c r="F43" s="353">
        <v>7.8</v>
      </c>
      <c r="G43" s="319"/>
      <c r="H43" s="302"/>
      <c r="I43" s="302"/>
      <c r="J43" s="302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2"/>
      <c r="AL43" s="302"/>
      <c r="AM43" s="302"/>
      <c r="AN43" s="302"/>
      <c r="AO43" s="302"/>
      <c r="AP43" s="302"/>
      <c r="AQ43" s="302"/>
      <c r="AR43" s="302"/>
      <c r="AS43" s="302"/>
      <c r="AT43" s="302"/>
      <c r="AU43" s="302"/>
      <c r="AV43" s="302"/>
      <c r="AW43" s="302"/>
      <c r="AX43" s="302"/>
      <c r="AY43" s="302"/>
      <c r="AZ43" s="302"/>
      <c r="BA43" s="302"/>
      <c r="BB43" s="302"/>
      <c r="BC43" s="302"/>
      <c r="BD43" s="302"/>
      <c r="BE43" s="302"/>
    </row>
    <row r="44" spans="1:57" s="354" customFormat="1" ht="20.25" hidden="1" customHeight="1">
      <c r="A44" s="350"/>
      <c r="B44" s="351"/>
      <c r="C44" s="352" t="s">
        <v>305</v>
      </c>
      <c r="D44" s="347" t="s">
        <v>306</v>
      </c>
      <c r="E44" s="347">
        <v>4</v>
      </c>
      <c r="F44" s="353">
        <v>29.4</v>
      </c>
      <c r="G44" s="319"/>
      <c r="H44" s="302"/>
      <c r="I44" s="302"/>
      <c r="J44" s="302"/>
      <c r="K44" s="302"/>
      <c r="L44" s="302"/>
      <c r="M44" s="302"/>
      <c r="N44" s="302"/>
      <c r="O44" s="302"/>
      <c r="P44" s="302"/>
      <c r="Q44" s="302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 s="302"/>
      <c r="AE44" s="302"/>
      <c r="AF44" s="302"/>
      <c r="AG44" s="302"/>
      <c r="AH44" s="302"/>
      <c r="AI44" s="302"/>
      <c r="AJ44" s="302"/>
      <c r="AK44" s="302"/>
      <c r="AL44" s="302"/>
      <c r="AM44" s="302"/>
      <c r="AN44" s="302"/>
      <c r="AO44" s="302"/>
      <c r="AP44" s="302"/>
      <c r="AQ44" s="302"/>
      <c r="AR44" s="302"/>
      <c r="AS44" s="302"/>
      <c r="AT44" s="302"/>
      <c r="AU44" s="302"/>
      <c r="AV44" s="302"/>
      <c r="AW44" s="302"/>
      <c r="AX44" s="302"/>
      <c r="AY44" s="302"/>
      <c r="AZ44" s="302"/>
      <c r="BA44" s="302"/>
      <c r="BB44" s="302"/>
      <c r="BC44" s="302"/>
      <c r="BD44" s="302"/>
      <c r="BE44" s="302"/>
    </row>
    <row r="45" spans="1:57" s="354" customFormat="1" ht="20.25" hidden="1" customHeight="1">
      <c r="A45" s="350"/>
      <c r="B45" s="351"/>
      <c r="C45" s="352" t="s">
        <v>307</v>
      </c>
      <c r="D45" s="347" t="s">
        <v>136</v>
      </c>
      <c r="E45" s="347">
        <v>5</v>
      </c>
      <c r="F45" s="353">
        <v>13.2</v>
      </c>
      <c r="G45" s="319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2"/>
      <c r="AG45" s="302"/>
      <c r="AH45" s="302"/>
      <c r="AI45" s="302"/>
      <c r="AJ45" s="302"/>
      <c r="AK45" s="302"/>
      <c r="AL45" s="302"/>
      <c r="AM45" s="302"/>
      <c r="AN45" s="302"/>
      <c r="AO45" s="302"/>
      <c r="AP45" s="302"/>
      <c r="AQ45" s="302"/>
      <c r="AR45" s="302"/>
      <c r="AS45" s="302"/>
      <c r="AT45" s="302"/>
      <c r="AU45" s="302"/>
      <c r="AV45" s="302"/>
      <c r="AW45" s="302"/>
      <c r="AX45" s="302"/>
      <c r="AY45" s="302"/>
      <c r="AZ45" s="302"/>
      <c r="BA45" s="302"/>
      <c r="BB45" s="302"/>
      <c r="BC45" s="302"/>
      <c r="BD45" s="302"/>
      <c r="BE45" s="302"/>
    </row>
    <row r="46" spans="1:57" s="354" customFormat="1" ht="18.75" hidden="1" customHeight="1">
      <c r="A46" s="350"/>
      <c r="B46" s="351"/>
      <c r="C46" s="352" t="s">
        <v>308</v>
      </c>
      <c r="D46" s="347" t="s">
        <v>136</v>
      </c>
      <c r="E46" s="347">
        <v>1</v>
      </c>
      <c r="F46" s="353">
        <v>420</v>
      </c>
      <c r="G46" s="319"/>
      <c r="H46" s="302"/>
      <c r="I46" s="302"/>
      <c r="J46" s="302"/>
      <c r="K46" s="302"/>
      <c r="L46" s="302"/>
      <c r="M46" s="302"/>
      <c r="N46" s="302"/>
      <c r="O46" s="302"/>
      <c r="P46" s="302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  <c r="AF46" s="302"/>
      <c r="AG46" s="302"/>
      <c r="AH46" s="302"/>
      <c r="AI46" s="302"/>
      <c r="AJ46" s="302"/>
      <c r="AK46" s="302"/>
      <c r="AL46" s="302"/>
      <c r="AM46" s="302"/>
      <c r="AN46" s="302"/>
      <c r="AO46" s="302"/>
      <c r="AP46" s="302"/>
      <c r="AQ46" s="302"/>
      <c r="AR46" s="302"/>
      <c r="AS46" s="302"/>
      <c r="AT46" s="302"/>
      <c r="AU46" s="302"/>
      <c r="AV46" s="302"/>
      <c r="AW46" s="302"/>
      <c r="AX46" s="302"/>
      <c r="AY46" s="302"/>
      <c r="AZ46" s="302"/>
      <c r="BA46" s="302"/>
      <c r="BB46" s="302"/>
      <c r="BC46" s="302"/>
      <c r="BD46" s="302"/>
      <c r="BE46" s="302"/>
    </row>
    <row r="47" spans="1:57" s="354" customFormat="1" ht="21.75" hidden="1" customHeight="1">
      <c r="A47" s="350"/>
      <c r="B47" s="351"/>
      <c r="C47" s="352" t="s">
        <v>308</v>
      </c>
      <c r="D47" s="347" t="s">
        <v>136</v>
      </c>
      <c r="E47" s="347">
        <v>3</v>
      </c>
      <c r="F47" s="353">
        <v>480</v>
      </c>
      <c r="G47" s="319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2"/>
      <c r="AG47" s="302"/>
      <c r="AH47" s="302"/>
      <c r="AI47" s="302"/>
      <c r="AJ47" s="302"/>
      <c r="AK47" s="302"/>
      <c r="AL47" s="302"/>
      <c r="AM47" s="302"/>
      <c r="AN47" s="302"/>
      <c r="AO47" s="302"/>
      <c r="AP47" s="302"/>
      <c r="AQ47" s="302"/>
      <c r="AR47" s="302"/>
      <c r="AS47" s="302"/>
      <c r="AT47" s="302"/>
      <c r="AU47" s="302"/>
      <c r="AV47" s="302"/>
      <c r="AW47" s="302"/>
      <c r="AX47" s="302"/>
      <c r="AY47" s="302"/>
      <c r="AZ47" s="302"/>
      <c r="BA47" s="302"/>
      <c r="BB47" s="302"/>
      <c r="BC47" s="302"/>
      <c r="BD47" s="302"/>
      <c r="BE47" s="302"/>
    </row>
    <row r="48" spans="1:57" s="354" customFormat="1" ht="19.5" hidden="1" customHeight="1">
      <c r="A48" s="350"/>
      <c r="B48" s="351"/>
      <c r="C48" s="352" t="s">
        <v>309</v>
      </c>
      <c r="D48" s="347" t="s">
        <v>136</v>
      </c>
      <c r="E48" s="347">
        <v>5</v>
      </c>
      <c r="F48" s="353">
        <v>7.5</v>
      </c>
      <c r="G48" s="319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  <c r="AF48" s="302"/>
      <c r="AG48" s="302"/>
      <c r="AH48" s="302"/>
      <c r="AI48" s="302"/>
      <c r="AJ48" s="302"/>
      <c r="AK48" s="302"/>
      <c r="AL48" s="302"/>
      <c r="AM48" s="302"/>
      <c r="AN48" s="302"/>
      <c r="AO48" s="302"/>
      <c r="AP48" s="302"/>
      <c r="AQ48" s="302"/>
      <c r="AR48" s="302"/>
      <c r="AS48" s="302"/>
      <c r="AT48" s="302"/>
      <c r="AU48" s="302"/>
      <c r="AV48" s="302"/>
      <c r="AW48" s="302"/>
      <c r="AX48" s="302"/>
      <c r="AY48" s="302"/>
      <c r="AZ48" s="302"/>
      <c r="BA48" s="302"/>
      <c r="BB48" s="302"/>
      <c r="BC48" s="302"/>
      <c r="BD48" s="302"/>
      <c r="BE48" s="302"/>
    </row>
    <row r="49" spans="1:57" s="354" customFormat="1" ht="19.5" hidden="1" customHeight="1">
      <c r="A49" s="340" t="s">
        <v>158</v>
      </c>
      <c r="B49" s="341"/>
      <c r="C49" s="342" t="s">
        <v>310</v>
      </c>
      <c r="D49" s="343"/>
      <c r="E49" s="344"/>
      <c r="F49" s="344"/>
      <c r="G49" s="345">
        <f>SUM(G50:G57)</f>
        <v>0</v>
      </c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2"/>
      <c r="AG49" s="302"/>
      <c r="AH49" s="302"/>
      <c r="AI49" s="302"/>
      <c r="AJ49" s="302"/>
      <c r="AK49" s="302"/>
      <c r="AL49" s="302"/>
      <c r="AM49" s="302"/>
      <c r="AN49" s="302"/>
      <c r="AO49" s="302"/>
      <c r="AP49" s="302"/>
      <c r="AQ49" s="302"/>
      <c r="AR49" s="302"/>
      <c r="AS49" s="302"/>
      <c r="AT49" s="302"/>
      <c r="AU49" s="302"/>
      <c r="AV49" s="302"/>
      <c r="AW49" s="302"/>
      <c r="AX49" s="302"/>
      <c r="AY49" s="302"/>
      <c r="AZ49" s="302"/>
      <c r="BA49" s="302"/>
      <c r="BB49" s="302"/>
      <c r="BC49" s="302"/>
      <c r="BD49" s="302"/>
      <c r="BE49" s="302"/>
    </row>
    <row r="50" spans="1:57" s="354" customFormat="1" ht="19.5" hidden="1" customHeight="1">
      <c r="A50" s="350"/>
      <c r="B50" s="351"/>
      <c r="C50" s="352" t="s">
        <v>311</v>
      </c>
      <c r="D50" s="347" t="s">
        <v>312</v>
      </c>
      <c r="E50" s="347">
        <v>56</v>
      </c>
      <c r="F50" s="355">
        <v>3500</v>
      </c>
      <c r="G50" s="319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2"/>
      <c r="AH50" s="302"/>
      <c r="AI50" s="302"/>
      <c r="AJ50" s="302"/>
      <c r="AK50" s="302"/>
      <c r="AL50" s="302"/>
      <c r="AM50" s="302"/>
      <c r="AN50" s="302"/>
      <c r="AO50" s="302"/>
      <c r="AP50" s="302"/>
      <c r="AQ50" s="302"/>
      <c r="AR50" s="302"/>
      <c r="AS50" s="302"/>
      <c r="AT50" s="302"/>
      <c r="AU50" s="302"/>
      <c r="AV50" s="302"/>
      <c r="AW50" s="302"/>
      <c r="AX50" s="302"/>
      <c r="AY50" s="302"/>
      <c r="AZ50" s="302"/>
      <c r="BA50" s="302"/>
      <c r="BB50" s="302"/>
      <c r="BC50" s="302"/>
      <c r="BD50" s="302"/>
      <c r="BE50" s="302"/>
    </row>
    <row r="51" spans="1:57" s="354" customFormat="1" ht="19.5" hidden="1" customHeight="1">
      <c r="A51" s="350"/>
      <c r="B51" s="351"/>
      <c r="C51" s="352" t="s">
        <v>313</v>
      </c>
      <c r="D51" s="347" t="s">
        <v>312</v>
      </c>
      <c r="E51" s="347">
        <v>56</v>
      </c>
      <c r="F51" s="355">
        <v>4700</v>
      </c>
      <c r="G51" s="319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302"/>
      <c r="AP51" s="302"/>
      <c r="AQ51" s="302"/>
      <c r="AR51" s="302"/>
      <c r="AS51" s="302"/>
      <c r="AT51" s="302"/>
      <c r="AU51" s="302"/>
      <c r="AV51" s="302"/>
      <c r="AW51" s="302"/>
      <c r="AX51" s="302"/>
      <c r="AY51" s="302"/>
      <c r="AZ51" s="302"/>
      <c r="BA51" s="302"/>
      <c r="BB51" s="302"/>
      <c r="BC51" s="302"/>
      <c r="BD51" s="302"/>
      <c r="BE51" s="302"/>
    </row>
    <row r="52" spans="1:57" s="354" customFormat="1" ht="19.5" hidden="1" customHeight="1">
      <c r="A52" s="350"/>
      <c r="B52" s="351"/>
      <c r="C52" s="352" t="s">
        <v>314</v>
      </c>
      <c r="D52" s="347" t="s">
        <v>136</v>
      </c>
      <c r="E52" s="347">
        <v>56</v>
      </c>
      <c r="F52" s="355">
        <v>1400</v>
      </c>
      <c r="G52" s="319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2"/>
      <c r="AH52" s="302"/>
      <c r="AI52" s="302"/>
      <c r="AJ52" s="302"/>
      <c r="AK52" s="302"/>
      <c r="AL52" s="302"/>
      <c r="AM52" s="302"/>
      <c r="AN52" s="302"/>
      <c r="AO52" s="302"/>
      <c r="AP52" s="302"/>
      <c r="AQ52" s="302"/>
      <c r="AR52" s="302"/>
      <c r="AS52" s="302"/>
      <c r="AT52" s="302"/>
      <c r="AU52" s="302"/>
      <c r="AV52" s="302"/>
      <c r="AW52" s="302"/>
      <c r="AX52" s="302"/>
      <c r="AY52" s="302"/>
      <c r="AZ52" s="302"/>
      <c r="BA52" s="302"/>
      <c r="BB52" s="302"/>
      <c r="BC52" s="302"/>
      <c r="BD52" s="302"/>
      <c r="BE52" s="302"/>
    </row>
    <row r="53" spans="1:57" s="354" customFormat="1" ht="19.5" hidden="1" customHeight="1">
      <c r="A53" s="350"/>
      <c r="B53" s="351"/>
      <c r="C53" s="352" t="s">
        <v>315</v>
      </c>
      <c r="D53" s="347" t="s">
        <v>136</v>
      </c>
      <c r="E53" s="347">
        <v>56</v>
      </c>
      <c r="F53" s="355">
        <v>250</v>
      </c>
      <c r="G53" s="319"/>
      <c r="H53" s="302"/>
      <c r="I53" s="302"/>
      <c r="J53" s="302"/>
      <c r="K53" s="302"/>
      <c r="L53" s="302"/>
      <c r="M53" s="302"/>
      <c r="N53" s="302"/>
      <c r="O53" s="302"/>
      <c r="P53" s="302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  <c r="AF53" s="302"/>
      <c r="AG53" s="302"/>
      <c r="AH53" s="302"/>
      <c r="AI53" s="302"/>
      <c r="AJ53" s="302"/>
      <c r="AK53" s="302"/>
      <c r="AL53" s="302"/>
      <c r="AM53" s="302"/>
      <c r="AN53" s="302"/>
      <c r="AO53" s="302"/>
      <c r="AP53" s="302"/>
      <c r="AQ53" s="302"/>
      <c r="AR53" s="302"/>
      <c r="AS53" s="302"/>
      <c r="AT53" s="302"/>
      <c r="AU53" s="302"/>
      <c r="AV53" s="302"/>
      <c r="AW53" s="302"/>
      <c r="AX53" s="302"/>
      <c r="AY53" s="302"/>
      <c r="AZ53" s="302"/>
      <c r="BA53" s="302"/>
      <c r="BB53" s="302"/>
      <c r="BC53" s="302"/>
      <c r="BD53" s="302"/>
      <c r="BE53" s="302"/>
    </row>
    <row r="54" spans="1:57" s="354" customFormat="1" ht="19.5" hidden="1" customHeight="1">
      <c r="A54" s="350"/>
      <c r="B54" s="351"/>
      <c r="C54" s="352" t="s">
        <v>316</v>
      </c>
      <c r="D54" s="347" t="s">
        <v>136</v>
      </c>
      <c r="E54" s="347">
        <v>112</v>
      </c>
      <c r="F54" s="355">
        <v>650</v>
      </c>
      <c r="G54" s="319"/>
      <c r="H54" s="302"/>
      <c r="I54" s="302"/>
      <c r="J54" s="302"/>
      <c r="K54" s="302"/>
      <c r="L54" s="302"/>
      <c r="M54" s="302"/>
      <c r="N54" s="302"/>
      <c r="O54" s="302"/>
      <c r="P54" s="302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  <c r="AF54" s="302"/>
      <c r="AG54" s="302"/>
      <c r="AH54" s="302"/>
      <c r="AI54" s="302"/>
      <c r="AJ54" s="302"/>
      <c r="AK54" s="302"/>
      <c r="AL54" s="302"/>
      <c r="AM54" s="302"/>
      <c r="AN54" s="302"/>
      <c r="AO54" s="302"/>
      <c r="AP54" s="302"/>
      <c r="AQ54" s="302"/>
      <c r="AR54" s="302"/>
      <c r="AS54" s="302"/>
      <c r="AT54" s="302"/>
      <c r="AU54" s="302"/>
      <c r="AV54" s="302"/>
      <c r="AW54" s="302"/>
      <c r="AX54" s="302"/>
      <c r="AY54" s="302"/>
      <c r="AZ54" s="302"/>
      <c r="BA54" s="302"/>
      <c r="BB54" s="302"/>
      <c r="BC54" s="302"/>
      <c r="BD54" s="302"/>
      <c r="BE54" s="302"/>
    </row>
    <row r="55" spans="1:57" s="354" customFormat="1" ht="19.5" hidden="1" customHeight="1">
      <c r="A55" s="350"/>
      <c r="B55" s="351"/>
      <c r="C55" s="352" t="s">
        <v>317</v>
      </c>
      <c r="D55" s="347" t="s">
        <v>136</v>
      </c>
      <c r="E55" s="347">
        <v>56</v>
      </c>
      <c r="F55" s="355">
        <v>350</v>
      </c>
      <c r="G55" s="319"/>
      <c r="H55" s="302"/>
      <c r="I55" s="302"/>
      <c r="J55" s="302"/>
      <c r="K55" s="302"/>
      <c r="L55" s="302"/>
      <c r="M55" s="302"/>
      <c r="N55" s="302"/>
      <c r="O55" s="302"/>
      <c r="P55" s="302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2"/>
      <c r="AD55" s="302"/>
      <c r="AE55" s="302"/>
      <c r="AF55" s="302"/>
      <c r="AG55" s="302"/>
      <c r="AH55" s="302"/>
      <c r="AI55" s="302"/>
      <c r="AJ55" s="302"/>
      <c r="AK55" s="302"/>
      <c r="AL55" s="302"/>
      <c r="AM55" s="302"/>
      <c r="AN55" s="302"/>
      <c r="AO55" s="302"/>
      <c r="AP55" s="302"/>
      <c r="AQ55" s="302"/>
      <c r="AR55" s="302"/>
      <c r="AS55" s="302"/>
      <c r="AT55" s="302"/>
      <c r="AU55" s="302"/>
      <c r="AV55" s="302"/>
      <c r="AW55" s="302"/>
      <c r="AX55" s="302"/>
      <c r="AY55" s="302"/>
      <c r="AZ55" s="302"/>
      <c r="BA55" s="302"/>
      <c r="BB55" s="302"/>
      <c r="BC55" s="302"/>
      <c r="BD55" s="302"/>
      <c r="BE55" s="302"/>
    </row>
    <row r="56" spans="1:57" s="354" customFormat="1" ht="19.5" hidden="1" customHeight="1">
      <c r="A56" s="350"/>
      <c r="B56" s="351"/>
      <c r="C56" s="352" t="s">
        <v>318</v>
      </c>
      <c r="D56" s="347" t="s">
        <v>136</v>
      </c>
      <c r="E56" s="347">
        <v>56</v>
      </c>
      <c r="F56" s="355">
        <v>400</v>
      </c>
      <c r="G56" s="319"/>
      <c r="H56" s="302"/>
      <c r="I56" s="302"/>
      <c r="J56" s="302"/>
      <c r="K56" s="302"/>
      <c r="L56" s="302"/>
      <c r="M56" s="302"/>
      <c r="N56" s="302"/>
      <c r="O56" s="302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02"/>
      <c r="AN56" s="302"/>
      <c r="AO56" s="302"/>
      <c r="AP56" s="302"/>
      <c r="AQ56" s="302"/>
      <c r="AR56" s="302"/>
      <c r="AS56" s="302"/>
      <c r="AT56" s="302"/>
      <c r="AU56" s="302"/>
      <c r="AV56" s="302"/>
      <c r="AW56" s="302"/>
      <c r="AX56" s="302"/>
      <c r="AY56" s="302"/>
      <c r="AZ56" s="302"/>
      <c r="BA56" s="302"/>
      <c r="BB56" s="302"/>
      <c r="BC56" s="302"/>
      <c r="BD56" s="302"/>
      <c r="BE56" s="302"/>
    </row>
    <row r="57" spans="1:57" s="354" customFormat="1" ht="19.5" hidden="1" customHeight="1">
      <c r="A57" s="350"/>
      <c r="B57" s="351"/>
      <c r="C57" s="352" t="s">
        <v>319</v>
      </c>
      <c r="D57" s="347" t="s">
        <v>136</v>
      </c>
      <c r="E57" s="347">
        <f>56*4</f>
        <v>224</v>
      </c>
      <c r="F57" s="355">
        <v>50</v>
      </c>
      <c r="G57" s="319"/>
      <c r="H57" s="302"/>
      <c r="I57" s="302"/>
      <c r="J57" s="302"/>
      <c r="K57" s="302"/>
      <c r="L57" s="302"/>
      <c r="M57" s="302"/>
      <c r="N57" s="302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2"/>
      <c r="AD57" s="302"/>
      <c r="AE57" s="302"/>
      <c r="AF57" s="302"/>
      <c r="AG57" s="302"/>
      <c r="AH57" s="302"/>
      <c r="AI57" s="302"/>
      <c r="AJ57" s="302"/>
      <c r="AK57" s="302"/>
      <c r="AL57" s="302"/>
      <c r="AM57" s="302"/>
      <c r="AN57" s="302"/>
      <c r="AO57" s="302"/>
      <c r="AP57" s="302"/>
      <c r="AQ57" s="302"/>
      <c r="AR57" s="302"/>
      <c r="AS57" s="302"/>
      <c r="AT57" s="302"/>
      <c r="AU57" s="302"/>
      <c r="AV57" s="302"/>
      <c r="AW57" s="302"/>
      <c r="AX57" s="302"/>
      <c r="AY57" s="302"/>
      <c r="AZ57" s="302"/>
      <c r="BA57" s="302"/>
      <c r="BB57" s="302"/>
      <c r="BC57" s="302"/>
      <c r="BD57" s="302"/>
      <c r="BE57" s="302"/>
    </row>
    <row r="58" spans="1:57" s="354" customFormat="1" ht="19.5" hidden="1" customHeight="1">
      <c r="A58" s="340" t="s">
        <v>159</v>
      </c>
      <c r="B58" s="341"/>
      <c r="C58" s="342" t="s">
        <v>320</v>
      </c>
      <c r="D58" s="343"/>
      <c r="E58" s="344"/>
      <c r="F58" s="356"/>
      <c r="G58" s="345">
        <f>SUM(G59:G60)</f>
        <v>0</v>
      </c>
      <c r="H58" s="302"/>
      <c r="I58" s="302"/>
      <c r="J58" s="302"/>
      <c r="K58" s="302"/>
      <c r="L58" s="302"/>
      <c r="M58" s="302"/>
      <c r="N58" s="302"/>
      <c r="O58" s="302"/>
      <c r="P58" s="302"/>
      <c r="Q58" s="302"/>
      <c r="R58" s="302"/>
      <c r="S58" s="302"/>
      <c r="T58" s="302"/>
      <c r="U58" s="302"/>
      <c r="V58" s="302"/>
      <c r="W58" s="302"/>
      <c r="X58" s="302"/>
      <c r="Y58" s="302"/>
      <c r="Z58" s="302"/>
      <c r="AA58" s="302"/>
      <c r="AB58" s="302"/>
      <c r="AC58" s="302"/>
      <c r="AD58" s="302"/>
      <c r="AE58" s="302"/>
      <c r="AF58" s="302"/>
      <c r="AG58" s="302"/>
      <c r="AH58" s="302"/>
      <c r="AI58" s="302"/>
      <c r="AJ58" s="302"/>
      <c r="AK58" s="302"/>
      <c r="AL58" s="302"/>
      <c r="AM58" s="302"/>
      <c r="AN58" s="302"/>
      <c r="AO58" s="302"/>
      <c r="AP58" s="302"/>
      <c r="AQ58" s="302"/>
      <c r="AR58" s="302"/>
      <c r="AS58" s="302"/>
      <c r="AT58" s="302"/>
      <c r="AU58" s="302"/>
      <c r="AV58" s="302"/>
      <c r="AW58" s="302"/>
      <c r="AX58" s="302"/>
      <c r="AY58" s="302"/>
      <c r="AZ58" s="302"/>
      <c r="BA58" s="302"/>
      <c r="BB58" s="302"/>
      <c r="BC58" s="302"/>
      <c r="BD58" s="302"/>
      <c r="BE58" s="302"/>
    </row>
    <row r="59" spans="1:57" s="354" customFormat="1" ht="19.5" hidden="1" customHeight="1">
      <c r="A59" s="350"/>
      <c r="B59" s="351"/>
      <c r="C59" s="352" t="s">
        <v>321</v>
      </c>
      <c r="D59" s="347" t="s">
        <v>322</v>
      </c>
      <c r="E59" s="347">
        <v>56</v>
      </c>
      <c r="F59" s="355">
        <v>1900</v>
      </c>
      <c r="G59" s="319"/>
      <c r="H59" s="302"/>
      <c r="I59" s="302"/>
      <c r="J59" s="302"/>
      <c r="K59" s="302"/>
      <c r="L59" s="302"/>
      <c r="M59" s="302"/>
      <c r="N59" s="302"/>
      <c r="O59" s="302"/>
      <c r="P59" s="302"/>
      <c r="Q59" s="302"/>
      <c r="R59" s="302"/>
      <c r="S59" s="302"/>
      <c r="T59" s="302"/>
      <c r="U59" s="302"/>
      <c r="V59" s="302"/>
      <c r="W59" s="302"/>
      <c r="X59" s="302"/>
      <c r="Y59" s="302"/>
      <c r="Z59" s="302"/>
      <c r="AA59" s="302"/>
      <c r="AB59" s="302"/>
      <c r="AC59" s="302"/>
      <c r="AD59" s="302"/>
      <c r="AE59" s="302"/>
      <c r="AF59" s="302"/>
      <c r="AG59" s="302"/>
      <c r="AH59" s="302"/>
      <c r="AI59" s="302"/>
      <c r="AJ59" s="302"/>
      <c r="AK59" s="302"/>
      <c r="AL59" s="302"/>
      <c r="AM59" s="302"/>
      <c r="AN59" s="302"/>
      <c r="AO59" s="302"/>
      <c r="AP59" s="302"/>
      <c r="AQ59" s="302"/>
      <c r="AR59" s="302"/>
      <c r="AS59" s="302"/>
      <c r="AT59" s="302"/>
      <c r="AU59" s="302"/>
      <c r="AV59" s="302"/>
      <c r="AW59" s="302"/>
      <c r="AX59" s="302"/>
      <c r="AY59" s="302"/>
      <c r="AZ59" s="302"/>
      <c r="BA59" s="302"/>
      <c r="BB59" s="302"/>
      <c r="BC59" s="302"/>
      <c r="BD59" s="302"/>
      <c r="BE59" s="302"/>
    </row>
    <row r="60" spans="1:57" s="354" customFormat="1" ht="19.5" hidden="1" customHeight="1">
      <c r="A60" s="350"/>
      <c r="B60" s="351"/>
      <c r="C60" s="352" t="s">
        <v>323</v>
      </c>
      <c r="D60" s="347" t="s">
        <v>322</v>
      </c>
      <c r="E60" s="347">
        <v>56</v>
      </c>
      <c r="F60" s="355">
        <v>2500</v>
      </c>
      <c r="G60" s="319"/>
      <c r="H60" s="302"/>
      <c r="I60" s="302"/>
      <c r="J60" s="302"/>
      <c r="K60" s="302"/>
      <c r="L60" s="302"/>
      <c r="M60" s="302"/>
      <c r="N60" s="302"/>
      <c r="O60" s="302"/>
      <c r="P60" s="302"/>
      <c r="Q60" s="302"/>
      <c r="R60" s="302"/>
      <c r="S60" s="302"/>
      <c r="T60" s="302"/>
      <c r="U60" s="302"/>
      <c r="V60" s="302"/>
      <c r="W60" s="302"/>
      <c r="X60" s="302"/>
      <c r="Y60" s="302"/>
      <c r="Z60" s="302"/>
      <c r="AA60" s="302"/>
      <c r="AB60" s="302"/>
      <c r="AC60" s="302"/>
      <c r="AD60" s="302"/>
      <c r="AE60" s="302"/>
      <c r="AF60" s="302"/>
      <c r="AG60" s="302"/>
      <c r="AH60" s="302"/>
      <c r="AI60" s="302"/>
      <c r="AJ60" s="302"/>
      <c r="AK60" s="302"/>
      <c r="AL60" s="302"/>
      <c r="AM60" s="302"/>
      <c r="AN60" s="302"/>
      <c r="AO60" s="302"/>
      <c r="AP60" s="302"/>
      <c r="AQ60" s="302"/>
      <c r="AR60" s="302"/>
      <c r="AS60" s="302"/>
      <c r="AT60" s="302"/>
      <c r="AU60" s="302"/>
      <c r="AV60" s="302"/>
      <c r="AW60" s="302"/>
      <c r="AX60" s="302"/>
      <c r="AY60" s="302"/>
      <c r="AZ60" s="302"/>
      <c r="BA60" s="302"/>
      <c r="BB60" s="302"/>
      <c r="BC60" s="302"/>
      <c r="BD60" s="302"/>
      <c r="BE60" s="302"/>
    </row>
    <row r="61" spans="1:57" s="354" customFormat="1" ht="19.5" customHeight="1">
      <c r="A61" s="340" t="s">
        <v>134</v>
      </c>
      <c r="B61" s="341"/>
      <c r="C61" s="342" t="s">
        <v>226</v>
      </c>
      <c r="D61" s="343"/>
      <c r="E61" s="344"/>
      <c r="F61" s="344"/>
      <c r="G61" s="345">
        <f>SUM(G62:G65)</f>
        <v>204455</v>
      </c>
      <c r="H61" s="302"/>
      <c r="I61" s="302"/>
      <c r="J61" s="302"/>
      <c r="K61" s="302"/>
      <c r="L61" s="302"/>
      <c r="M61" s="302"/>
      <c r="N61" s="302"/>
      <c r="O61" s="302"/>
      <c r="P61" s="302"/>
      <c r="Q61" s="302"/>
      <c r="R61" s="302"/>
      <c r="S61" s="302"/>
      <c r="T61" s="302"/>
      <c r="U61" s="302"/>
      <c r="V61" s="302"/>
      <c r="W61" s="302"/>
      <c r="X61" s="302"/>
      <c r="Y61" s="302"/>
      <c r="Z61" s="302"/>
      <c r="AA61" s="302"/>
      <c r="AB61" s="302"/>
      <c r="AC61" s="302"/>
      <c r="AD61" s="302"/>
      <c r="AE61" s="302"/>
      <c r="AF61" s="302"/>
      <c r="AG61" s="302"/>
      <c r="AH61" s="302"/>
      <c r="AI61" s="302"/>
      <c r="AJ61" s="302"/>
      <c r="AK61" s="302"/>
      <c r="AL61" s="302"/>
      <c r="AM61" s="302"/>
      <c r="AN61" s="302"/>
      <c r="AO61" s="302"/>
      <c r="AP61" s="302"/>
      <c r="AQ61" s="302"/>
      <c r="AR61" s="302"/>
      <c r="AS61" s="302"/>
      <c r="AT61" s="302"/>
      <c r="AU61" s="302"/>
      <c r="AV61" s="302"/>
      <c r="AW61" s="302"/>
      <c r="AX61" s="302"/>
      <c r="AY61" s="302"/>
      <c r="AZ61" s="302"/>
      <c r="BA61" s="302"/>
      <c r="BB61" s="302"/>
      <c r="BC61" s="302"/>
      <c r="BD61" s="302"/>
      <c r="BE61" s="302"/>
    </row>
    <row r="62" spans="1:57" s="354" customFormat="1" ht="19.5" customHeight="1">
      <c r="A62" s="350"/>
      <c r="B62" s="351"/>
      <c r="C62" s="352" t="s">
        <v>229</v>
      </c>
      <c r="D62" s="347" t="s">
        <v>227</v>
      </c>
      <c r="E62" s="355">
        <v>3000</v>
      </c>
      <c r="F62" s="353">
        <v>55.99</v>
      </c>
      <c r="G62" s="319">
        <f>E62*F62</f>
        <v>167970</v>
      </c>
      <c r="H62" s="302"/>
      <c r="I62" s="302"/>
      <c r="J62" s="302"/>
      <c r="K62" s="302"/>
      <c r="L62" s="302"/>
      <c r="M62" s="302"/>
      <c r="N62" s="302"/>
      <c r="O62" s="302"/>
      <c r="P62" s="302"/>
      <c r="Q62" s="302"/>
      <c r="R62" s="302"/>
      <c r="S62" s="302"/>
      <c r="T62" s="302"/>
      <c r="U62" s="302"/>
      <c r="V62" s="302"/>
      <c r="W62" s="302"/>
      <c r="X62" s="302"/>
      <c r="Y62" s="302"/>
      <c r="Z62" s="302"/>
      <c r="AA62" s="302"/>
      <c r="AB62" s="302"/>
      <c r="AC62" s="302"/>
      <c r="AD62" s="302"/>
      <c r="AE62" s="302"/>
      <c r="AF62" s="302"/>
      <c r="AG62" s="302"/>
      <c r="AH62" s="302"/>
      <c r="AI62" s="302"/>
      <c r="AJ62" s="302"/>
      <c r="AK62" s="302"/>
      <c r="AL62" s="302"/>
      <c r="AM62" s="302"/>
      <c r="AN62" s="302"/>
      <c r="AO62" s="302"/>
      <c r="AP62" s="302"/>
      <c r="AQ62" s="302"/>
      <c r="AR62" s="302"/>
      <c r="AS62" s="302"/>
      <c r="AT62" s="302"/>
      <c r="AU62" s="302"/>
      <c r="AV62" s="302"/>
      <c r="AW62" s="302"/>
      <c r="AX62" s="302"/>
      <c r="AY62" s="302"/>
      <c r="AZ62" s="302"/>
      <c r="BA62" s="302"/>
      <c r="BB62" s="302"/>
      <c r="BC62" s="302"/>
      <c r="BD62" s="302"/>
      <c r="BE62" s="302"/>
    </row>
    <row r="63" spans="1:57" s="354" customFormat="1" ht="19.5" customHeight="1">
      <c r="A63" s="350"/>
      <c r="B63" s="351"/>
      <c r="C63" s="352" t="s">
        <v>324</v>
      </c>
      <c r="D63" s="347" t="s">
        <v>227</v>
      </c>
      <c r="E63" s="355">
        <v>500</v>
      </c>
      <c r="F63" s="353">
        <v>58.99</v>
      </c>
      <c r="G63" s="319">
        <f t="shared" ref="G63" si="0">E63*F63</f>
        <v>29495</v>
      </c>
      <c r="H63" s="302"/>
      <c r="I63" s="302"/>
      <c r="J63" s="302"/>
      <c r="K63" s="302"/>
      <c r="L63" s="302"/>
      <c r="M63" s="302"/>
      <c r="N63" s="302"/>
      <c r="O63" s="302"/>
      <c r="P63" s="302"/>
      <c r="Q63" s="302"/>
      <c r="R63" s="302"/>
      <c r="S63" s="302"/>
      <c r="T63" s="302"/>
      <c r="U63" s="302"/>
      <c r="V63" s="302"/>
      <c r="W63" s="302"/>
      <c r="X63" s="302"/>
      <c r="Y63" s="302"/>
      <c r="Z63" s="302"/>
      <c r="AA63" s="302"/>
      <c r="AB63" s="302"/>
      <c r="AC63" s="302"/>
      <c r="AD63" s="302"/>
      <c r="AE63" s="302"/>
      <c r="AF63" s="302"/>
      <c r="AG63" s="302"/>
      <c r="AH63" s="302"/>
      <c r="AI63" s="302"/>
      <c r="AJ63" s="302"/>
      <c r="AK63" s="302"/>
      <c r="AL63" s="302"/>
      <c r="AM63" s="302"/>
      <c r="AN63" s="302"/>
      <c r="AO63" s="302"/>
      <c r="AP63" s="302"/>
      <c r="AQ63" s="302"/>
      <c r="AR63" s="302"/>
      <c r="AS63" s="302"/>
      <c r="AT63" s="302"/>
      <c r="AU63" s="302"/>
      <c r="AV63" s="302"/>
      <c r="AW63" s="302"/>
      <c r="AX63" s="302"/>
      <c r="AY63" s="302"/>
      <c r="AZ63" s="302"/>
      <c r="BA63" s="302"/>
      <c r="BB63" s="302"/>
      <c r="BC63" s="302"/>
      <c r="BD63" s="302"/>
      <c r="BE63" s="302"/>
    </row>
    <row r="64" spans="1:57" s="354" customFormat="1" ht="30.75" customHeight="1">
      <c r="A64" s="350"/>
      <c r="B64" s="351"/>
      <c r="C64" s="250" t="s">
        <v>362</v>
      </c>
      <c r="D64" s="251" t="s">
        <v>136</v>
      </c>
      <c r="E64" s="252">
        <v>2</v>
      </c>
      <c r="F64" s="253">
        <v>505</v>
      </c>
      <c r="G64" s="254">
        <f>E64*F64</f>
        <v>1010</v>
      </c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302"/>
      <c r="AL64" s="302"/>
      <c r="AM64" s="302"/>
      <c r="AN64" s="302"/>
      <c r="AO64" s="302"/>
      <c r="AP64" s="302"/>
      <c r="AQ64" s="302"/>
      <c r="AR64" s="302"/>
      <c r="AS64" s="302"/>
      <c r="AT64" s="302"/>
      <c r="AU64" s="302"/>
      <c r="AV64" s="302"/>
      <c r="AW64" s="302"/>
      <c r="AX64" s="302"/>
      <c r="AY64" s="302"/>
      <c r="AZ64" s="302"/>
      <c r="BA64" s="302"/>
      <c r="BB64" s="302"/>
      <c r="BC64" s="302"/>
      <c r="BD64" s="302"/>
      <c r="BE64" s="302"/>
    </row>
    <row r="65" spans="1:57" s="354" customFormat="1" ht="30.75" customHeight="1">
      <c r="A65" s="350"/>
      <c r="B65" s="351"/>
      <c r="C65" s="250" t="s">
        <v>363</v>
      </c>
      <c r="D65" s="357" t="s">
        <v>136</v>
      </c>
      <c r="E65" s="358">
        <v>2</v>
      </c>
      <c r="F65" s="263">
        <v>2990</v>
      </c>
      <c r="G65" s="359">
        <f>E65*F65</f>
        <v>5980</v>
      </c>
      <c r="H65" s="302"/>
      <c r="I65" s="302"/>
      <c r="J65" s="302"/>
      <c r="K65" s="302"/>
      <c r="L65" s="302"/>
      <c r="M65" s="302"/>
      <c r="N65" s="302"/>
      <c r="O65" s="302"/>
      <c r="P65" s="302"/>
      <c r="Q65" s="302"/>
      <c r="R65" s="302"/>
      <c r="S65" s="302"/>
      <c r="T65" s="302"/>
      <c r="U65" s="302"/>
      <c r="V65" s="302"/>
      <c r="W65" s="302"/>
      <c r="X65" s="302"/>
      <c r="Y65" s="302"/>
      <c r="Z65" s="302"/>
      <c r="AA65" s="302"/>
      <c r="AB65" s="302"/>
      <c r="AC65" s="302"/>
      <c r="AD65" s="302"/>
      <c r="AE65" s="302"/>
      <c r="AF65" s="302"/>
      <c r="AG65" s="302"/>
      <c r="AH65" s="302"/>
      <c r="AI65" s="302"/>
      <c r="AJ65" s="302"/>
      <c r="AK65" s="302"/>
      <c r="AL65" s="302"/>
      <c r="AM65" s="302"/>
      <c r="AN65" s="302"/>
      <c r="AO65" s="302"/>
      <c r="AP65" s="302"/>
      <c r="AQ65" s="302"/>
      <c r="AR65" s="302"/>
      <c r="AS65" s="302"/>
      <c r="AT65" s="302"/>
      <c r="AU65" s="302"/>
      <c r="AV65" s="302"/>
      <c r="AW65" s="302"/>
      <c r="AX65" s="302"/>
      <c r="AY65" s="302"/>
      <c r="AZ65" s="302"/>
      <c r="BA65" s="302"/>
      <c r="BB65" s="302"/>
      <c r="BC65" s="302"/>
      <c r="BD65" s="302"/>
      <c r="BE65" s="302"/>
    </row>
    <row r="66" spans="1:57" s="354" customFormat="1" ht="21.75" customHeight="1">
      <c r="A66" s="340" t="s">
        <v>158</v>
      </c>
      <c r="B66" s="341"/>
      <c r="C66" s="342" t="s">
        <v>325</v>
      </c>
      <c r="D66" s="343"/>
      <c r="E66" s="344"/>
      <c r="F66" s="344"/>
      <c r="G66" s="345">
        <f>SUM(G67:G71)</f>
        <v>18786</v>
      </c>
      <c r="H66" s="302"/>
      <c r="I66" s="302"/>
      <c r="J66" s="302"/>
      <c r="K66" s="302"/>
      <c r="L66" s="302"/>
      <c r="M66" s="302"/>
      <c r="N66" s="302"/>
      <c r="O66" s="302"/>
      <c r="P66" s="302"/>
      <c r="Q66" s="302"/>
      <c r="R66" s="302"/>
      <c r="S66" s="302"/>
      <c r="T66" s="302"/>
      <c r="U66" s="302"/>
      <c r="V66" s="302"/>
      <c r="W66" s="302"/>
      <c r="X66" s="302"/>
      <c r="Y66" s="302"/>
      <c r="Z66" s="302"/>
      <c r="AA66" s="302"/>
      <c r="AB66" s="302"/>
      <c r="AC66" s="302"/>
      <c r="AD66" s="302"/>
      <c r="AE66" s="302"/>
      <c r="AF66" s="302"/>
      <c r="AG66" s="302"/>
      <c r="AH66" s="302"/>
      <c r="AI66" s="302"/>
      <c r="AJ66" s="302"/>
      <c r="AK66" s="302"/>
      <c r="AL66" s="302"/>
      <c r="AM66" s="302"/>
      <c r="AN66" s="302"/>
      <c r="AO66" s="302"/>
      <c r="AP66" s="302"/>
      <c r="AQ66" s="302"/>
      <c r="AR66" s="302"/>
      <c r="AS66" s="302"/>
      <c r="AT66" s="302"/>
      <c r="AU66" s="302"/>
      <c r="AV66" s="302"/>
      <c r="AW66" s="302"/>
      <c r="AX66" s="302"/>
      <c r="AY66" s="302"/>
      <c r="AZ66" s="302"/>
      <c r="BA66" s="302"/>
      <c r="BB66" s="302"/>
      <c r="BC66" s="302"/>
      <c r="BD66" s="302"/>
      <c r="BE66" s="302"/>
    </row>
    <row r="67" spans="1:57" s="354" customFormat="1" ht="20.100000000000001" customHeight="1">
      <c r="A67" s="350"/>
      <c r="B67" s="351"/>
      <c r="C67" s="250" t="s">
        <v>364</v>
      </c>
      <c r="D67" s="251" t="s">
        <v>136</v>
      </c>
      <c r="E67" s="252">
        <v>2</v>
      </c>
      <c r="F67" s="253">
        <v>515</v>
      </c>
      <c r="G67" s="254">
        <f>E67*F67</f>
        <v>1030</v>
      </c>
      <c r="H67" s="302"/>
      <c r="I67" s="302"/>
      <c r="J67" s="302"/>
      <c r="K67" s="302"/>
      <c r="L67" s="302"/>
      <c r="M67" s="302"/>
      <c r="N67" s="302"/>
      <c r="O67" s="302"/>
      <c r="P67" s="302"/>
      <c r="Q67" s="302"/>
      <c r="R67" s="302"/>
      <c r="S67" s="302"/>
      <c r="T67" s="302"/>
      <c r="U67" s="302"/>
      <c r="V67" s="302"/>
      <c r="W67" s="302"/>
      <c r="X67" s="302"/>
      <c r="Y67" s="302"/>
      <c r="Z67" s="302"/>
      <c r="AA67" s="302"/>
      <c r="AB67" s="302"/>
      <c r="AC67" s="302"/>
      <c r="AD67" s="302"/>
      <c r="AE67" s="302"/>
      <c r="AF67" s="302"/>
      <c r="AG67" s="302"/>
      <c r="AH67" s="302"/>
      <c r="AI67" s="302"/>
      <c r="AJ67" s="302"/>
      <c r="AK67" s="302"/>
      <c r="AL67" s="302"/>
      <c r="AM67" s="302"/>
      <c r="AN67" s="302"/>
      <c r="AO67" s="302"/>
      <c r="AP67" s="302"/>
      <c r="AQ67" s="302"/>
      <c r="AR67" s="302"/>
      <c r="AS67" s="302"/>
      <c r="AT67" s="302"/>
      <c r="AU67" s="302"/>
      <c r="AV67" s="302"/>
      <c r="AW67" s="302"/>
      <c r="AX67" s="302"/>
      <c r="AY67" s="302"/>
      <c r="AZ67" s="302"/>
      <c r="BA67" s="302"/>
      <c r="BB67" s="302"/>
      <c r="BC67" s="302"/>
      <c r="BD67" s="302"/>
      <c r="BE67" s="302"/>
    </row>
    <row r="68" spans="1:57" s="354" customFormat="1" ht="28.5" customHeight="1">
      <c r="A68" s="350"/>
      <c r="B68" s="351"/>
      <c r="C68" s="250" t="s">
        <v>365</v>
      </c>
      <c r="D68" s="251" t="s">
        <v>136</v>
      </c>
      <c r="E68" s="255">
        <v>2</v>
      </c>
      <c r="F68" s="253">
        <v>1124</v>
      </c>
      <c r="G68" s="254">
        <f>E68*F68</f>
        <v>2248</v>
      </c>
      <c r="H68" s="302"/>
      <c r="I68" s="302"/>
      <c r="J68" s="302"/>
      <c r="K68" s="302"/>
      <c r="L68" s="302"/>
      <c r="M68" s="302"/>
      <c r="N68" s="302"/>
      <c r="O68" s="302"/>
      <c r="P68" s="302"/>
      <c r="Q68" s="302"/>
      <c r="R68" s="302"/>
      <c r="S68" s="302"/>
      <c r="T68" s="302"/>
      <c r="U68" s="302"/>
      <c r="V68" s="302"/>
      <c r="W68" s="302"/>
      <c r="X68" s="302"/>
      <c r="Y68" s="302"/>
      <c r="Z68" s="302"/>
      <c r="AA68" s="302"/>
      <c r="AB68" s="302"/>
      <c r="AC68" s="302"/>
      <c r="AD68" s="302"/>
      <c r="AE68" s="302"/>
      <c r="AF68" s="302"/>
      <c r="AG68" s="302"/>
      <c r="AH68" s="302"/>
      <c r="AI68" s="302"/>
      <c r="AJ68" s="302"/>
      <c r="AK68" s="302"/>
      <c r="AL68" s="302"/>
      <c r="AM68" s="302"/>
      <c r="AN68" s="302"/>
      <c r="AO68" s="302"/>
      <c r="AP68" s="302"/>
      <c r="AQ68" s="302"/>
      <c r="AR68" s="302"/>
      <c r="AS68" s="302"/>
      <c r="AT68" s="302"/>
      <c r="AU68" s="302"/>
      <c r="AV68" s="302"/>
      <c r="AW68" s="302"/>
      <c r="AX68" s="302"/>
      <c r="AY68" s="302"/>
      <c r="AZ68" s="302"/>
      <c r="BA68" s="302"/>
      <c r="BB68" s="302"/>
      <c r="BC68" s="302"/>
      <c r="BD68" s="302"/>
      <c r="BE68" s="302"/>
    </row>
    <row r="69" spans="1:57" s="354" customFormat="1" ht="20.100000000000001" customHeight="1">
      <c r="A69" s="350"/>
      <c r="B69" s="351"/>
      <c r="C69" s="250" t="s">
        <v>366</v>
      </c>
      <c r="D69" s="251" t="s">
        <v>136</v>
      </c>
      <c r="E69" s="252">
        <v>2</v>
      </c>
      <c r="F69" s="253">
        <v>3591</v>
      </c>
      <c r="G69" s="254">
        <f>E69*F69</f>
        <v>7182</v>
      </c>
      <c r="H69" s="302"/>
      <c r="I69" s="302"/>
      <c r="J69" s="302"/>
      <c r="K69" s="302"/>
      <c r="L69" s="302"/>
      <c r="M69" s="302"/>
      <c r="N69" s="302"/>
      <c r="O69" s="302"/>
      <c r="P69" s="302"/>
      <c r="Q69" s="302"/>
      <c r="R69" s="302"/>
      <c r="S69" s="302"/>
      <c r="T69" s="302"/>
      <c r="U69" s="302"/>
      <c r="V69" s="302"/>
      <c r="W69" s="302"/>
      <c r="X69" s="302"/>
      <c r="Y69" s="302"/>
      <c r="Z69" s="302"/>
      <c r="AA69" s="302"/>
      <c r="AB69" s="302"/>
      <c r="AC69" s="302"/>
      <c r="AD69" s="302"/>
      <c r="AE69" s="302"/>
      <c r="AF69" s="302"/>
      <c r="AG69" s="302"/>
      <c r="AH69" s="302"/>
      <c r="AI69" s="302"/>
      <c r="AJ69" s="302"/>
      <c r="AK69" s="302"/>
      <c r="AL69" s="302"/>
      <c r="AM69" s="302"/>
      <c r="AN69" s="302"/>
      <c r="AO69" s="302"/>
      <c r="AP69" s="302"/>
      <c r="AQ69" s="302"/>
      <c r="AR69" s="302"/>
      <c r="AS69" s="302"/>
      <c r="AT69" s="302"/>
      <c r="AU69" s="302"/>
      <c r="AV69" s="302"/>
      <c r="AW69" s="302"/>
      <c r="AX69" s="302"/>
      <c r="AY69" s="302"/>
      <c r="AZ69" s="302"/>
      <c r="BA69" s="302"/>
      <c r="BB69" s="302"/>
      <c r="BC69" s="302"/>
      <c r="BD69" s="302"/>
      <c r="BE69" s="302"/>
    </row>
    <row r="70" spans="1:57" s="354" customFormat="1" ht="20.100000000000001" customHeight="1">
      <c r="A70" s="350"/>
      <c r="B70" s="351"/>
      <c r="C70" s="250" t="s">
        <v>367</v>
      </c>
      <c r="D70" s="251" t="s">
        <v>136</v>
      </c>
      <c r="E70" s="252">
        <v>2</v>
      </c>
      <c r="F70" s="253">
        <v>638</v>
      </c>
      <c r="G70" s="254">
        <f>E70*F70</f>
        <v>1276</v>
      </c>
      <c r="H70" s="302"/>
      <c r="I70" s="302"/>
      <c r="J70" s="302"/>
      <c r="K70" s="302"/>
      <c r="L70" s="302"/>
      <c r="M70" s="302"/>
      <c r="N70" s="302"/>
      <c r="O70" s="302"/>
      <c r="P70" s="302"/>
      <c r="Q70" s="302"/>
      <c r="R70" s="302"/>
      <c r="S70" s="302"/>
      <c r="T70" s="302"/>
      <c r="U70" s="302"/>
      <c r="V70" s="302"/>
      <c r="W70" s="302"/>
      <c r="X70" s="302"/>
      <c r="Y70" s="302"/>
      <c r="Z70" s="302"/>
      <c r="AA70" s="302"/>
      <c r="AB70" s="302"/>
      <c r="AC70" s="302"/>
      <c r="AD70" s="302"/>
      <c r="AE70" s="302"/>
      <c r="AF70" s="302"/>
      <c r="AG70" s="302"/>
      <c r="AH70" s="302"/>
      <c r="AI70" s="302"/>
      <c r="AJ70" s="302"/>
      <c r="AK70" s="302"/>
      <c r="AL70" s="302"/>
      <c r="AM70" s="302"/>
      <c r="AN70" s="302"/>
      <c r="AO70" s="302"/>
      <c r="AP70" s="302"/>
      <c r="AQ70" s="302"/>
      <c r="AR70" s="302"/>
      <c r="AS70" s="302"/>
      <c r="AT70" s="302"/>
      <c r="AU70" s="302"/>
      <c r="AV70" s="302"/>
      <c r="AW70" s="302"/>
      <c r="AX70" s="302"/>
      <c r="AY70" s="302"/>
      <c r="AZ70" s="302"/>
      <c r="BA70" s="302"/>
      <c r="BB70" s="302"/>
      <c r="BC70" s="302"/>
      <c r="BD70" s="302"/>
      <c r="BE70" s="302"/>
    </row>
    <row r="71" spans="1:57" s="354" customFormat="1" ht="20.100000000000001" customHeight="1">
      <c r="A71" s="350"/>
      <c r="B71" s="351"/>
      <c r="C71" s="360" t="s">
        <v>368</v>
      </c>
      <c r="D71" s="357" t="s">
        <v>136</v>
      </c>
      <c r="E71" s="358">
        <v>2</v>
      </c>
      <c r="F71" s="263">
        <v>3525</v>
      </c>
      <c r="G71" s="359">
        <f>E71*F71</f>
        <v>7050</v>
      </c>
      <c r="H71" s="302"/>
      <c r="I71" s="302"/>
      <c r="J71" s="302"/>
      <c r="K71" s="302"/>
      <c r="L71" s="302"/>
      <c r="M71" s="302"/>
      <c r="N71" s="302"/>
      <c r="O71" s="302"/>
      <c r="P71" s="302"/>
      <c r="Q71" s="302"/>
      <c r="R71" s="302"/>
      <c r="S71" s="302"/>
      <c r="T71" s="302"/>
      <c r="U71" s="302"/>
      <c r="V71" s="302"/>
      <c r="W71" s="302"/>
      <c r="X71" s="302"/>
      <c r="Y71" s="302"/>
      <c r="Z71" s="302"/>
      <c r="AA71" s="302"/>
      <c r="AB71" s="302"/>
      <c r="AC71" s="302"/>
      <c r="AD71" s="302"/>
      <c r="AE71" s="302"/>
      <c r="AF71" s="302"/>
      <c r="AG71" s="302"/>
      <c r="AH71" s="302"/>
      <c r="AI71" s="302"/>
      <c r="AJ71" s="302"/>
      <c r="AK71" s="302"/>
      <c r="AL71" s="302"/>
      <c r="AM71" s="302"/>
      <c r="AN71" s="302"/>
      <c r="AO71" s="302"/>
      <c r="AP71" s="302"/>
      <c r="AQ71" s="302"/>
      <c r="AR71" s="302"/>
      <c r="AS71" s="302"/>
      <c r="AT71" s="302"/>
      <c r="AU71" s="302"/>
      <c r="AV71" s="302"/>
      <c r="AW71" s="302"/>
      <c r="AX71" s="302"/>
      <c r="AY71" s="302"/>
      <c r="AZ71" s="302"/>
      <c r="BA71" s="302"/>
      <c r="BB71" s="302"/>
      <c r="BC71" s="302"/>
      <c r="BD71" s="302"/>
      <c r="BE71" s="302"/>
    </row>
    <row r="72" spans="1:57" s="302" customFormat="1" ht="18.75" customHeight="1">
      <c r="A72" s="361" t="s">
        <v>137</v>
      </c>
      <c r="B72" s="323"/>
      <c r="C72" s="362" t="s">
        <v>138</v>
      </c>
      <c r="D72" s="333"/>
      <c r="E72" s="333"/>
      <c r="F72" s="333"/>
      <c r="G72" s="312">
        <f>G73+G78+G80+G84+G88+G91+G93+G100</f>
        <v>1024973</v>
      </c>
      <c r="I72" s="339"/>
    </row>
    <row r="73" spans="1:57" s="301" customFormat="1" ht="16.2">
      <c r="A73" s="363" t="s">
        <v>139</v>
      </c>
      <c r="B73" s="323"/>
      <c r="C73" s="364" t="s">
        <v>233</v>
      </c>
      <c r="D73" s="323"/>
      <c r="E73" s="323"/>
      <c r="F73" s="323"/>
      <c r="G73" s="365">
        <f>SUM(G74:G77)</f>
        <v>3600</v>
      </c>
    </row>
    <row r="74" spans="1:57" s="301" customFormat="1" ht="31.2">
      <c r="A74" s="366"/>
      <c r="B74" s="347"/>
      <c r="C74" s="335" t="s">
        <v>140</v>
      </c>
      <c r="D74" s="347" t="s">
        <v>141</v>
      </c>
      <c r="E74" s="347">
        <v>2</v>
      </c>
      <c r="F74" s="353">
        <v>450</v>
      </c>
      <c r="G74" s="367">
        <f>E74*F74</f>
        <v>900</v>
      </c>
    </row>
    <row r="75" spans="1:57" s="301" customFormat="1" ht="15.6">
      <c r="A75" s="366"/>
      <c r="B75" s="347"/>
      <c r="C75" s="335" t="s">
        <v>160</v>
      </c>
      <c r="D75" s="347" t="s">
        <v>141</v>
      </c>
      <c r="E75" s="347">
        <v>2</v>
      </c>
      <c r="F75" s="353">
        <v>350</v>
      </c>
      <c r="G75" s="367">
        <f t="shared" ref="G75:G77" si="1">E75*F75</f>
        <v>700</v>
      </c>
    </row>
    <row r="76" spans="1:57" s="301" customFormat="1" ht="30.75" customHeight="1">
      <c r="A76" s="366"/>
      <c r="B76" s="347"/>
      <c r="C76" s="335" t="s">
        <v>161</v>
      </c>
      <c r="D76" s="347" t="s">
        <v>141</v>
      </c>
      <c r="E76" s="347">
        <v>2</v>
      </c>
      <c r="F76" s="353">
        <v>600</v>
      </c>
      <c r="G76" s="367">
        <f t="shared" si="1"/>
        <v>1200</v>
      </c>
    </row>
    <row r="77" spans="1:57" s="301" customFormat="1" ht="15.6">
      <c r="A77" s="366"/>
      <c r="B77" s="347"/>
      <c r="C77" s="335" t="s">
        <v>142</v>
      </c>
      <c r="D77" s="347" t="s">
        <v>141</v>
      </c>
      <c r="E77" s="347">
        <v>2</v>
      </c>
      <c r="F77" s="353">
        <v>400</v>
      </c>
      <c r="G77" s="367">
        <f t="shared" si="1"/>
        <v>800</v>
      </c>
    </row>
    <row r="78" spans="1:57" s="301" customFormat="1" ht="16.2">
      <c r="A78" s="363" t="s">
        <v>143</v>
      </c>
      <c r="B78" s="323"/>
      <c r="C78" s="364" t="s">
        <v>144</v>
      </c>
      <c r="D78" s="323"/>
      <c r="E78" s="323"/>
      <c r="F78" s="323"/>
      <c r="G78" s="365">
        <f>G79</f>
        <v>7323.0000000000009</v>
      </c>
    </row>
    <row r="79" spans="1:57" s="301" customFormat="1" ht="31.2">
      <c r="A79" s="366"/>
      <c r="B79" s="347"/>
      <c r="C79" s="368" t="s">
        <v>326</v>
      </c>
      <c r="D79" s="347" t="s">
        <v>145</v>
      </c>
      <c r="E79" s="353">
        <v>113</v>
      </c>
      <c r="F79" s="353">
        <v>5.4</v>
      </c>
      <c r="G79" s="367">
        <f>E79*F79*12+0.6</f>
        <v>7323.0000000000009</v>
      </c>
    </row>
    <row r="80" spans="1:57" s="301" customFormat="1" ht="16.2" hidden="1">
      <c r="A80" s="363" t="s">
        <v>146</v>
      </c>
      <c r="B80" s="323"/>
      <c r="C80" s="364" t="s">
        <v>327</v>
      </c>
      <c r="D80" s="323"/>
      <c r="E80" s="323"/>
      <c r="F80" s="323"/>
      <c r="G80" s="365">
        <f>SUM(G81:G83)</f>
        <v>0</v>
      </c>
    </row>
    <row r="81" spans="1:7" s="301" customFormat="1" ht="16.5" hidden="1" customHeight="1">
      <c r="A81" s="366"/>
      <c r="B81" s="347"/>
      <c r="C81" s="368" t="s">
        <v>328</v>
      </c>
      <c r="D81" s="347" t="s">
        <v>141</v>
      </c>
      <c r="E81" s="347">
        <v>3</v>
      </c>
      <c r="F81" s="353">
        <v>810</v>
      </c>
      <c r="G81" s="367"/>
    </row>
    <row r="82" spans="1:7" s="301" customFormat="1" ht="15.6" hidden="1">
      <c r="A82" s="366"/>
      <c r="B82" s="347"/>
      <c r="C82" s="368" t="s">
        <v>329</v>
      </c>
      <c r="D82" s="347" t="s">
        <v>141</v>
      </c>
      <c r="E82" s="347">
        <v>3</v>
      </c>
      <c r="F82" s="353">
        <v>810</v>
      </c>
      <c r="G82" s="367"/>
    </row>
    <row r="83" spans="1:7" s="301" customFormat="1" ht="15.6" hidden="1">
      <c r="A83" s="366"/>
      <c r="B83" s="347"/>
      <c r="C83" s="368" t="s">
        <v>330</v>
      </c>
      <c r="D83" s="347" t="s">
        <v>141</v>
      </c>
      <c r="E83" s="347">
        <v>3</v>
      </c>
      <c r="F83" s="355">
        <v>1120</v>
      </c>
      <c r="G83" s="367"/>
    </row>
    <row r="84" spans="1:7" s="301" customFormat="1" ht="16.2">
      <c r="A84" s="363" t="s">
        <v>146</v>
      </c>
      <c r="B84" s="323"/>
      <c r="C84" s="364" t="s">
        <v>148</v>
      </c>
      <c r="D84" s="323"/>
      <c r="E84" s="323"/>
      <c r="F84" s="323"/>
      <c r="G84" s="365">
        <f>SUM(G85:G87)</f>
        <v>8442</v>
      </c>
    </row>
    <row r="85" spans="1:7" s="301" customFormat="1" ht="31.2">
      <c r="A85" s="366"/>
      <c r="B85" s="347"/>
      <c r="C85" s="368" t="s">
        <v>162</v>
      </c>
      <c r="D85" s="347" t="s">
        <v>149</v>
      </c>
      <c r="E85" s="347">
        <v>12</v>
      </c>
      <c r="F85" s="353">
        <v>641</v>
      </c>
      <c r="G85" s="367">
        <f>E85*F85</f>
        <v>7692</v>
      </c>
    </row>
    <row r="86" spans="1:7" s="301" customFormat="1" ht="15.6">
      <c r="A86" s="366"/>
      <c r="B86" s="347"/>
      <c r="C86" s="368" t="s">
        <v>163</v>
      </c>
      <c r="D86" s="347" t="s">
        <v>149</v>
      </c>
      <c r="E86" s="347">
        <v>12</v>
      </c>
      <c r="F86" s="353">
        <v>50</v>
      </c>
      <c r="G86" s="367">
        <f t="shared" ref="G86:G87" si="2">E86*F86</f>
        <v>600</v>
      </c>
    </row>
    <row r="87" spans="1:7" s="301" customFormat="1" ht="15.6">
      <c r="A87" s="366"/>
      <c r="B87" s="347"/>
      <c r="C87" s="368" t="s">
        <v>150</v>
      </c>
      <c r="D87" s="347" t="s">
        <v>141</v>
      </c>
      <c r="E87" s="347">
        <v>1</v>
      </c>
      <c r="F87" s="353">
        <v>150</v>
      </c>
      <c r="G87" s="367">
        <f t="shared" si="2"/>
        <v>150</v>
      </c>
    </row>
    <row r="88" spans="1:7" s="301" customFormat="1" ht="16.2">
      <c r="A88" s="369" t="s">
        <v>147</v>
      </c>
      <c r="B88" s="370"/>
      <c r="C88" s="371" t="s">
        <v>225</v>
      </c>
      <c r="D88" s="370"/>
      <c r="E88" s="370"/>
      <c r="F88" s="372"/>
      <c r="G88" s="373">
        <f>SUM(G89:G90)</f>
        <v>798678</v>
      </c>
    </row>
    <row r="89" spans="1:7" s="380" customFormat="1" ht="15.6">
      <c r="A89" s="374"/>
      <c r="B89" s="375"/>
      <c r="C89" s="376" t="s">
        <v>331</v>
      </c>
      <c r="D89" s="377" t="s">
        <v>141</v>
      </c>
      <c r="E89" s="375">
        <v>6</v>
      </c>
      <c r="F89" s="378">
        <v>42713</v>
      </c>
      <c r="G89" s="379">
        <f>E89*F89</f>
        <v>256278</v>
      </c>
    </row>
    <row r="90" spans="1:7" s="380" customFormat="1" ht="13.5" customHeight="1">
      <c r="A90" s="374"/>
      <c r="B90" s="375"/>
      <c r="C90" s="381" t="s">
        <v>332</v>
      </c>
      <c r="D90" s="377" t="s">
        <v>141</v>
      </c>
      <c r="E90" s="375">
        <v>6</v>
      </c>
      <c r="F90" s="378">
        <v>90400</v>
      </c>
      <c r="G90" s="379">
        <f t="shared" ref="G90" si="3">E90*F90</f>
        <v>542400</v>
      </c>
    </row>
    <row r="91" spans="1:7" s="380" customFormat="1" ht="32.4">
      <c r="A91" s="363" t="s">
        <v>333</v>
      </c>
      <c r="B91" s="323"/>
      <c r="C91" s="364" t="s">
        <v>334</v>
      </c>
      <c r="D91" s="323"/>
      <c r="E91" s="323"/>
      <c r="F91" s="323"/>
      <c r="G91" s="365">
        <f>SUM(G92:G92)</f>
        <v>193932</v>
      </c>
    </row>
    <row r="92" spans="1:7" s="380" customFormat="1" ht="19.5" customHeight="1">
      <c r="A92" s="374"/>
      <c r="B92" s="375"/>
      <c r="C92" s="382" t="s">
        <v>334</v>
      </c>
      <c r="D92" s="256" t="s">
        <v>141</v>
      </c>
      <c r="E92" s="256">
        <v>6</v>
      </c>
      <c r="F92" s="257">
        <v>32322</v>
      </c>
      <c r="G92" s="258">
        <f>E92*F92</f>
        <v>193932</v>
      </c>
    </row>
    <row r="93" spans="1:7" s="380" customFormat="1" ht="16.2">
      <c r="A93" s="369" t="s">
        <v>335</v>
      </c>
      <c r="B93" s="370"/>
      <c r="C93" s="371" t="s">
        <v>336</v>
      </c>
      <c r="D93" s="370"/>
      <c r="E93" s="370"/>
      <c r="F93" s="372"/>
      <c r="G93" s="373">
        <f>SUM(G94:G99)</f>
        <v>10838</v>
      </c>
    </row>
    <row r="94" spans="1:7" s="380" customFormat="1" ht="15.6">
      <c r="A94" s="374"/>
      <c r="B94" s="375"/>
      <c r="C94" s="383" t="s">
        <v>337</v>
      </c>
      <c r="D94" s="256" t="s">
        <v>141</v>
      </c>
      <c r="E94" s="256">
        <v>2</v>
      </c>
      <c r="F94" s="384">
        <v>1512.62</v>
      </c>
      <c r="G94" s="385">
        <f>E94*F94-0.88</f>
        <v>3024.3599999999997</v>
      </c>
    </row>
    <row r="95" spans="1:7" s="380" customFormat="1" ht="15.6">
      <c r="A95" s="374"/>
      <c r="B95" s="375"/>
      <c r="C95" s="386" t="s">
        <v>369</v>
      </c>
      <c r="D95" s="252" t="s">
        <v>141</v>
      </c>
      <c r="E95" s="256">
        <v>2</v>
      </c>
      <c r="F95" s="387">
        <v>232.14</v>
      </c>
      <c r="G95" s="388">
        <f>E95*F95</f>
        <v>464.28</v>
      </c>
    </row>
    <row r="96" spans="1:7" s="380" customFormat="1" ht="15.6">
      <c r="A96" s="374"/>
      <c r="B96" s="375"/>
      <c r="C96" s="386" t="s">
        <v>370</v>
      </c>
      <c r="D96" s="252" t="s">
        <v>141</v>
      </c>
      <c r="E96" s="276">
        <v>2</v>
      </c>
      <c r="F96" s="387">
        <v>348.74</v>
      </c>
      <c r="G96" s="388">
        <f>E96*F96</f>
        <v>697.48</v>
      </c>
    </row>
    <row r="97" spans="1:47" s="380" customFormat="1" ht="15.6">
      <c r="A97" s="374"/>
      <c r="B97" s="375"/>
      <c r="C97" s="386" t="s">
        <v>371</v>
      </c>
      <c r="D97" s="252" t="s">
        <v>141</v>
      </c>
      <c r="E97" s="276">
        <v>2</v>
      </c>
      <c r="F97" s="387">
        <v>581.94000000000005</v>
      </c>
      <c r="G97" s="388">
        <f>E97*F97</f>
        <v>1163.8800000000001</v>
      </c>
    </row>
    <row r="98" spans="1:47" s="380" customFormat="1" ht="15.6">
      <c r="A98" s="374"/>
      <c r="B98" s="375"/>
      <c r="C98" s="386" t="s">
        <v>372</v>
      </c>
      <c r="D98" s="252" t="s">
        <v>141</v>
      </c>
      <c r="E98" s="276">
        <v>2</v>
      </c>
      <c r="F98" s="387">
        <v>988</v>
      </c>
      <c r="G98" s="388">
        <f>E98*F98</f>
        <v>1976</v>
      </c>
    </row>
    <row r="99" spans="1:47" s="380" customFormat="1" ht="15.6">
      <c r="A99" s="374"/>
      <c r="B99" s="375"/>
      <c r="C99" s="389" t="s">
        <v>373</v>
      </c>
      <c r="D99" s="358" t="s">
        <v>141</v>
      </c>
      <c r="E99" s="390">
        <v>2</v>
      </c>
      <c r="F99" s="391">
        <v>1756</v>
      </c>
      <c r="G99" s="392">
        <f>E99*F99</f>
        <v>3512</v>
      </c>
    </row>
    <row r="100" spans="1:47" s="380" customFormat="1" ht="16.2">
      <c r="A100" s="369" t="s">
        <v>338</v>
      </c>
      <c r="B100" s="370"/>
      <c r="C100" s="371" t="s">
        <v>339</v>
      </c>
      <c r="D100" s="370"/>
      <c r="E100" s="370"/>
      <c r="F100" s="372"/>
      <c r="G100" s="373">
        <f>SUM(G101:G101)</f>
        <v>2160</v>
      </c>
    </row>
    <row r="101" spans="1:47" s="380" customFormat="1" ht="64.5" customHeight="1">
      <c r="A101" s="374"/>
      <c r="B101" s="375"/>
      <c r="C101" s="393" t="s">
        <v>340</v>
      </c>
      <c r="D101" s="256" t="s">
        <v>141</v>
      </c>
      <c r="E101" s="256">
        <v>1</v>
      </c>
      <c r="F101" s="257">
        <v>2160</v>
      </c>
      <c r="G101" s="258">
        <f>E101*F101</f>
        <v>2160</v>
      </c>
    </row>
    <row r="102" spans="1:47" s="380" customFormat="1" ht="15.6">
      <c r="A102" s="394" t="s">
        <v>234</v>
      </c>
      <c r="B102" s="370"/>
      <c r="C102" s="395" t="s">
        <v>235</v>
      </c>
      <c r="D102" s="396"/>
      <c r="E102" s="397"/>
      <c r="F102" s="397"/>
      <c r="G102" s="398">
        <f>G103</f>
        <v>1</v>
      </c>
    </row>
    <row r="103" spans="1:47" s="380" customFormat="1" ht="15.6">
      <c r="A103" s="374"/>
      <c r="B103" s="375"/>
      <c r="C103" s="259" t="s">
        <v>236</v>
      </c>
      <c r="D103" s="377" t="s">
        <v>141</v>
      </c>
      <c r="E103" s="375">
        <v>1</v>
      </c>
      <c r="F103" s="378">
        <v>1</v>
      </c>
      <c r="G103" s="379">
        <f>E103*F103</f>
        <v>1</v>
      </c>
    </row>
    <row r="104" spans="1:47" s="400" customFormat="1" ht="21" customHeight="1">
      <c r="A104" s="361" t="s">
        <v>237</v>
      </c>
      <c r="B104" s="323"/>
      <c r="C104" s="395" t="s">
        <v>151</v>
      </c>
      <c r="D104" s="332"/>
      <c r="E104" s="333"/>
      <c r="F104" s="333"/>
      <c r="G104" s="312">
        <f>G105+G109+G114</f>
        <v>203282.99868139997</v>
      </c>
      <c r="H104" s="399"/>
      <c r="I104" s="581"/>
      <c r="J104" s="581"/>
      <c r="K104" s="581"/>
      <c r="L104" s="581"/>
      <c r="M104" s="581"/>
      <c r="N104" s="581"/>
      <c r="O104" s="399"/>
      <c r="P104" s="399"/>
      <c r="Q104" s="399"/>
      <c r="R104" s="399"/>
      <c r="S104" s="399"/>
      <c r="T104" s="399"/>
      <c r="U104" s="399"/>
      <c r="V104" s="399"/>
      <c r="W104" s="399"/>
      <c r="X104" s="399"/>
      <c r="Y104" s="399"/>
      <c r="Z104" s="399"/>
      <c r="AA104" s="399"/>
      <c r="AB104" s="399"/>
      <c r="AC104" s="399"/>
      <c r="AD104" s="399"/>
      <c r="AE104" s="399"/>
      <c r="AF104" s="399"/>
      <c r="AG104" s="399"/>
      <c r="AH104" s="399"/>
      <c r="AI104" s="399"/>
      <c r="AJ104" s="399"/>
      <c r="AK104" s="399"/>
      <c r="AL104" s="399"/>
      <c r="AM104" s="399"/>
      <c r="AN104" s="399"/>
      <c r="AO104" s="399"/>
      <c r="AP104" s="399"/>
      <c r="AQ104" s="399"/>
      <c r="AR104" s="399"/>
      <c r="AS104" s="399"/>
      <c r="AT104" s="399"/>
      <c r="AU104" s="399"/>
    </row>
    <row r="105" spans="1:47" s="301" customFormat="1" ht="16.2">
      <c r="A105" s="369" t="s">
        <v>238</v>
      </c>
      <c r="B105" s="370"/>
      <c r="C105" s="371" t="s">
        <v>152</v>
      </c>
      <c r="D105" s="370"/>
      <c r="E105" s="370"/>
      <c r="F105" s="372"/>
      <c r="G105" s="373">
        <f>SUM(G106:G108)</f>
        <v>37109.999681400004</v>
      </c>
    </row>
    <row r="106" spans="1:47" s="301" customFormat="1" ht="15.6">
      <c r="A106" s="401"/>
      <c r="B106" s="402"/>
      <c r="C106" s="260" t="s">
        <v>341</v>
      </c>
      <c r="D106" s="251" t="s">
        <v>153</v>
      </c>
      <c r="E106" s="261">
        <v>7</v>
      </c>
      <c r="F106" s="253">
        <v>2702.25</v>
      </c>
      <c r="G106" s="254">
        <f>E106*F106+0.25</f>
        <v>18916</v>
      </c>
      <c r="H106" s="403"/>
    </row>
    <row r="107" spans="1:47" s="301" customFormat="1" ht="15.6">
      <c r="A107" s="401"/>
      <c r="B107" s="402"/>
      <c r="C107" s="260" t="s">
        <v>342</v>
      </c>
      <c r="D107" s="251" t="s">
        <v>149</v>
      </c>
      <c r="E107" s="261">
        <v>12</v>
      </c>
      <c r="F107" s="262">
        <v>42.35</v>
      </c>
      <c r="G107" s="254">
        <f>E107*F107-0.2</f>
        <v>508.00000000000006</v>
      </c>
      <c r="H107" s="404"/>
    </row>
    <row r="108" spans="1:47" s="301" customFormat="1" ht="31.2">
      <c r="A108" s="401"/>
      <c r="B108" s="402"/>
      <c r="C108" s="260" t="s">
        <v>343</v>
      </c>
      <c r="D108" s="251" t="s">
        <v>344</v>
      </c>
      <c r="E108" s="261">
        <f>0.006397*12</f>
        <v>7.6763999999999999E-2</v>
      </c>
      <c r="F108" s="263">
        <v>230388.85</v>
      </c>
      <c r="G108" s="254">
        <f>E108*F108+0.43</f>
        <v>17685.999681400001</v>
      </c>
      <c r="H108" s="403"/>
    </row>
    <row r="109" spans="1:47" ht="16.2">
      <c r="A109" s="369" t="s">
        <v>345</v>
      </c>
      <c r="B109" s="370"/>
      <c r="C109" s="371" t="s">
        <v>346</v>
      </c>
      <c r="D109" s="370"/>
      <c r="E109" s="370"/>
      <c r="F109" s="372"/>
      <c r="G109" s="373">
        <f>SUM(G110:G113)</f>
        <v>2533</v>
      </c>
    </row>
    <row r="110" spans="1:47" ht="15.6">
      <c r="A110" s="401"/>
      <c r="B110" s="402"/>
      <c r="C110" s="264" t="s">
        <v>347</v>
      </c>
      <c r="D110" s="261" t="s">
        <v>348</v>
      </c>
      <c r="E110" s="261">
        <v>24</v>
      </c>
      <c r="F110" s="265">
        <v>32.664000000000001</v>
      </c>
      <c r="G110" s="254">
        <f>E110*F110+0.06</f>
        <v>783.99599999999998</v>
      </c>
    </row>
    <row r="111" spans="1:47" ht="15.6">
      <c r="A111" s="401"/>
      <c r="B111" s="402"/>
      <c r="C111" s="264" t="s">
        <v>349</v>
      </c>
      <c r="D111" s="261" t="s">
        <v>348</v>
      </c>
      <c r="E111" s="261">
        <v>24</v>
      </c>
      <c r="F111" s="266">
        <v>44.616</v>
      </c>
      <c r="G111" s="254">
        <f>E111*F111+0.22</f>
        <v>1071.0040000000001</v>
      </c>
    </row>
    <row r="112" spans="1:47" ht="31.2">
      <c r="A112" s="401"/>
      <c r="B112" s="402"/>
      <c r="C112" s="264" t="s">
        <v>350</v>
      </c>
      <c r="D112" s="261" t="s">
        <v>149</v>
      </c>
      <c r="E112" s="261">
        <v>12</v>
      </c>
      <c r="F112" s="266">
        <v>30.89</v>
      </c>
      <c r="G112" s="254">
        <f>E112*F112+0.32</f>
        <v>371</v>
      </c>
    </row>
    <row r="113" spans="1:8" ht="31.2">
      <c r="A113" s="401"/>
      <c r="B113" s="402"/>
      <c r="C113" s="264" t="s">
        <v>351</v>
      </c>
      <c r="D113" s="267" t="s">
        <v>149</v>
      </c>
      <c r="E113" s="267">
        <v>12</v>
      </c>
      <c r="F113" s="268">
        <v>25.56</v>
      </c>
      <c r="G113" s="254">
        <f>E113*F113+0.28</f>
        <v>306.99999999999994</v>
      </c>
    </row>
    <row r="114" spans="1:8" ht="16.2">
      <c r="A114" s="369" t="s">
        <v>352</v>
      </c>
      <c r="B114" s="370"/>
      <c r="C114" s="371" t="s">
        <v>353</v>
      </c>
      <c r="D114" s="370"/>
      <c r="E114" s="370"/>
      <c r="F114" s="372"/>
      <c r="G114" s="373">
        <f>SUM(G115:G118)-0.01</f>
        <v>163639.99899999998</v>
      </c>
    </row>
    <row r="115" spans="1:8" ht="28.5" customHeight="1">
      <c r="A115" s="401"/>
      <c r="B115" s="402"/>
      <c r="C115" s="269" t="s">
        <v>354</v>
      </c>
      <c r="D115" s="270" t="s">
        <v>355</v>
      </c>
      <c r="E115" s="271">
        <v>1500</v>
      </c>
      <c r="F115" s="272">
        <f>9.05968*1.2</f>
        <v>10.871616</v>
      </c>
      <c r="G115" s="273">
        <f>E115*F115-0.42</f>
        <v>16307.003999999999</v>
      </c>
    </row>
    <row r="116" spans="1:8" ht="18.75" customHeight="1">
      <c r="A116" s="401"/>
      <c r="B116" s="402"/>
      <c r="C116" s="274" t="s">
        <v>375</v>
      </c>
      <c r="D116" s="275" t="s">
        <v>356</v>
      </c>
      <c r="E116" s="276">
        <v>1500</v>
      </c>
      <c r="F116" s="277">
        <v>3.055212</v>
      </c>
      <c r="G116" s="273">
        <f>E116*F116+0.18</f>
        <v>4582.9980000000005</v>
      </c>
    </row>
    <row r="117" spans="1:8" ht="18.75" customHeight="1">
      <c r="A117" s="401"/>
      <c r="B117" s="402"/>
      <c r="C117" s="274" t="s">
        <v>357</v>
      </c>
      <c r="D117" s="275" t="s">
        <v>355</v>
      </c>
      <c r="E117" s="276">
        <v>10250</v>
      </c>
      <c r="F117" s="272">
        <f>9.05968*1.2</f>
        <v>10.871616</v>
      </c>
      <c r="G117" s="273">
        <f>E117*F117-0.06</f>
        <v>111434.004</v>
      </c>
    </row>
    <row r="118" spans="1:8" ht="18.75" customHeight="1">
      <c r="A118" s="401"/>
      <c r="B118" s="402"/>
      <c r="C118" s="274" t="s">
        <v>376</v>
      </c>
      <c r="D118" s="275" t="s">
        <v>356</v>
      </c>
      <c r="E118" s="276">
        <v>10250</v>
      </c>
      <c r="F118" s="277">
        <v>3.055212</v>
      </c>
      <c r="G118" s="273">
        <f>E118*F118+0.08</f>
        <v>31316.003000000001</v>
      </c>
    </row>
    <row r="119" spans="1:8" s="297" customFormat="1" ht="21" thickBot="1">
      <c r="A119" s="405"/>
      <c r="B119" s="406"/>
      <c r="C119" s="407" t="s">
        <v>239</v>
      </c>
      <c r="D119" s="408"/>
      <c r="E119" s="408"/>
      <c r="F119" s="408"/>
      <c r="G119" s="409">
        <f>G24+G31+G36+G72+G102+G104</f>
        <v>11945765.9986814</v>
      </c>
      <c r="H119" s="410"/>
    </row>
    <row r="120" spans="1:8" s="297" customFormat="1" ht="20.399999999999999">
      <c r="B120" s="411"/>
      <c r="C120" s="412"/>
      <c r="G120" s="413"/>
      <c r="H120" s="410"/>
    </row>
    <row r="121" spans="1:8" ht="17.399999999999999">
      <c r="B121" s="414"/>
      <c r="C121" s="284"/>
      <c r="D121" s="415"/>
      <c r="E121" s="415"/>
      <c r="F121" s="415"/>
      <c r="G121" s="416"/>
    </row>
    <row r="122" spans="1:8" s="297" customFormat="1" ht="18.75" customHeight="1">
      <c r="A122" s="577" t="s">
        <v>358</v>
      </c>
      <c r="B122" s="577"/>
      <c r="C122" s="577"/>
      <c r="D122" s="417" t="s">
        <v>359</v>
      </c>
      <c r="E122" s="417"/>
      <c r="F122" s="418" t="s">
        <v>262</v>
      </c>
      <c r="G122" s="419"/>
    </row>
    <row r="123" spans="1:8" s="297" customFormat="1" ht="18.75" customHeight="1">
      <c r="A123" s="420"/>
      <c r="B123" s="420"/>
      <c r="C123" s="420"/>
      <c r="D123" s="417"/>
      <c r="E123" s="417"/>
      <c r="F123" s="418"/>
      <c r="G123" s="419"/>
    </row>
    <row r="124" spans="1:8" s="297" customFormat="1" ht="18.75" customHeight="1">
      <c r="A124" s="577" t="s">
        <v>154</v>
      </c>
      <c r="B124" s="577"/>
      <c r="C124" s="577"/>
      <c r="D124" s="421"/>
      <c r="E124" s="421"/>
      <c r="F124" s="418" t="s">
        <v>264</v>
      </c>
      <c r="G124" s="419"/>
    </row>
    <row r="125" spans="1:8" s="297" customFormat="1" ht="21">
      <c r="A125" s="422"/>
      <c r="B125" s="422"/>
      <c r="C125" s="423"/>
      <c r="D125" s="423"/>
      <c r="E125" s="423"/>
      <c r="F125" s="419"/>
      <c r="G125" s="419"/>
    </row>
    <row r="126" spans="1:8">
      <c r="E126" s="424"/>
      <c r="F126" s="294"/>
      <c r="G126" s="294"/>
    </row>
  </sheetData>
  <protectedRanges>
    <protectedRange sqref="C125 E125" name="Диапазон1_1_2"/>
    <protectedRange sqref="E122:E124" name="Диапазон1_1_3"/>
    <protectedRange sqref="D122:D124" name="Диапазон1_1_3_1"/>
    <protectedRange sqref="D125" name="Диапазон1_1_2_1"/>
  </protectedRanges>
  <mergeCells count="40">
    <mergeCell ref="A15:G15"/>
    <mergeCell ref="D5:F5"/>
    <mergeCell ref="D6:F6"/>
    <mergeCell ref="F7:G7"/>
    <mergeCell ref="D8:E8"/>
    <mergeCell ref="F8:G8"/>
    <mergeCell ref="E34:E35"/>
    <mergeCell ref="F34:F35"/>
    <mergeCell ref="G34:G35"/>
    <mergeCell ref="A16:G16"/>
    <mergeCell ref="A17:G17"/>
    <mergeCell ref="A18:G18"/>
    <mergeCell ref="A20:G20"/>
    <mergeCell ref="A21:A22"/>
    <mergeCell ref="B21:B22"/>
    <mergeCell ref="C21:C22"/>
    <mergeCell ref="D21:D22"/>
    <mergeCell ref="E21:E22"/>
    <mergeCell ref="F21:F22"/>
    <mergeCell ref="I104:N104"/>
    <mergeCell ref="A122:C122"/>
    <mergeCell ref="A124:C124"/>
    <mergeCell ref="H21:H22"/>
    <mergeCell ref="I21:I22"/>
    <mergeCell ref="J21:J22"/>
    <mergeCell ref="K21:K22"/>
    <mergeCell ref="L21:L22"/>
    <mergeCell ref="M21:M22"/>
    <mergeCell ref="N21:N22"/>
    <mergeCell ref="G21:G22"/>
    <mergeCell ref="A33:G33"/>
    <mergeCell ref="A34:A35"/>
    <mergeCell ref="B34:B35"/>
    <mergeCell ref="C34:C35"/>
    <mergeCell ref="D34:D35"/>
    <mergeCell ref="O21:O22"/>
    <mergeCell ref="P21:P22"/>
    <mergeCell ref="Q21:Q22"/>
    <mergeCell ref="R21:R22"/>
    <mergeCell ref="S21:S22"/>
  </mergeCells>
  <printOptions horizontalCentered="1"/>
  <pageMargins left="0.59055118110236227" right="0.19685039370078741" top="0.78740157480314965" bottom="0.59055118110236227" header="0.31496062992125984" footer="0.31496062992125984"/>
  <pageSetup paperSize="9" scale="70" orientation="portrait" r:id="rId1"/>
  <headerFooter alignWithMargins="0"/>
  <rowBreaks count="1" manualBreakCount="1">
    <brk id="8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Q41"/>
  <sheetViews>
    <sheetView view="pageBreakPreview" topLeftCell="E7" workbookViewId="0">
      <selection activeCell="M47" sqref="M47"/>
    </sheetView>
  </sheetViews>
  <sheetFormatPr defaultColWidth="8.88671875" defaultRowHeight="13.8"/>
  <cols>
    <col min="1" max="1" width="24.6640625" style="165" customWidth="1"/>
    <col min="2" max="2" width="10.44140625" style="165" customWidth="1"/>
    <col min="3" max="3" width="8.88671875" style="165"/>
    <col min="4" max="4" width="12.109375" style="165" customWidth="1"/>
    <col min="5" max="5" width="8.88671875" style="165"/>
    <col min="6" max="6" width="11.44140625" style="165" customWidth="1"/>
    <col min="7" max="7" width="17.44140625" style="165" customWidth="1"/>
    <col min="8" max="8" width="9.109375" style="165" customWidth="1"/>
    <col min="9" max="9" width="16.109375" style="165" customWidth="1"/>
    <col min="10" max="10" width="14.6640625" style="165" customWidth="1"/>
    <col min="11" max="11" width="9.109375" style="165" customWidth="1"/>
    <col min="12" max="12" width="14.109375" style="165" customWidth="1"/>
    <col min="13" max="13" width="16.33203125" style="165" customWidth="1"/>
    <col min="14" max="14" width="17.33203125" style="165" customWidth="1"/>
    <col min="15" max="15" width="17.5546875" style="165" customWidth="1"/>
    <col min="16" max="16" width="15.33203125" style="165" customWidth="1"/>
    <col min="17" max="17" width="18.44140625" style="165" customWidth="1"/>
    <col min="18" max="16384" width="8.88671875" style="165"/>
  </cols>
  <sheetData>
    <row r="1" spans="1:17" ht="21" hidden="1" customHeight="1">
      <c r="A1" s="615" t="s">
        <v>164</v>
      </c>
      <c r="B1" s="615"/>
      <c r="C1" s="615"/>
      <c r="N1" s="166" t="s">
        <v>165</v>
      </c>
    </row>
    <row r="2" spans="1:17" ht="54" hidden="1" customHeight="1">
      <c r="A2" s="616" t="s">
        <v>266</v>
      </c>
      <c r="B2" s="616"/>
      <c r="C2" s="616"/>
      <c r="D2" s="616"/>
      <c r="E2" s="616"/>
      <c r="F2" s="616"/>
      <c r="G2" s="616"/>
      <c r="N2" s="621" t="s">
        <v>267</v>
      </c>
      <c r="O2" s="621"/>
      <c r="P2" s="621"/>
      <c r="Q2" s="621"/>
    </row>
    <row r="3" spans="1:17" ht="15.75" hidden="1" customHeight="1">
      <c r="A3" s="622" t="s">
        <v>111</v>
      </c>
      <c r="B3" s="622"/>
      <c r="C3" s="622"/>
      <c r="N3" s="623" t="s">
        <v>111</v>
      </c>
      <c r="O3" s="623"/>
      <c r="P3" s="623"/>
      <c r="Q3" s="623"/>
    </row>
    <row r="4" spans="1:17" ht="22.5" hidden="1" customHeight="1">
      <c r="A4" s="624" t="s">
        <v>268</v>
      </c>
      <c r="B4" s="624"/>
      <c r="C4" s="624"/>
      <c r="D4" s="624"/>
      <c r="E4" s="624"/>
      <c r="F4" s="624"/>
      <c r="G4" s="624"/>
      <c r="N4" s="625" t="s">
        <v>262</v>
      </c>
      <c r="O4" s="625"/>
      <c r="P4" s="625"/>
      <c r="Q4" s="625"/>
    </row>
    <row r="5" spans="1:17" ht="21.75" hidden="1" customHeight="1">
      <c r="A5" s="617" t="s">
        <v>112</v>
      </c>
      <c r="B5" s="617"/>
      <c r="C5" s="167"/>
      <c r="N5" s="168" t="s">
        <v>112</v>
      </c>
      <c r="O5" s="169"/>
      <c r="P5" s="169"/>
      <c r="Q5" s="169"/>
    </row>
    <row r="6" spans="1:17" ht="20.25" hidden="1" customHeight="1">
      <c r="A6" s="167" t="s">
        <v>113</v>
      </c>
      <c r="B6" s="170" t="s">
        <v>166</v>
      </c>
      <c r="C6" s="167" t="s">
        <v>269</v>
      </c>
      <c r="N6" s="171" t="s">
        <v>113</v>
      </c>
      <c r="O6" s="172"/>
      <c r="P6" s="173"/>
      <c r="Q6" s="166" t="s">
        <v>270</v>
      </c>
    </row>
    <row r="7" spans="1:17" ht="20.25" customHeight="1">
      <c r="A7" s="167"/>
      <c r="B7" s="170"/>
      <c r="C7" s="167"/>
      <c r="N7" s="171"/>
      <c r="O7" s="174"/>
      <c r="P7" s="166"/>
      <c r="Q7" s="175"/>
    </row>
    <row r="8" spans="1:17" ht="22.5" customHeight="1">
      <c r="A8" s="618" t="s">
        <v>230</v>
      </c>
      <c r="B8" s="618"/>
      <c r="C8" s="618"/>
      <c r="D8" s="618"/>
      <c r="E8" s="618"/>
      <c r="F8" s="618"/>
      <c r="G8" s="618"/>
      <c r="H8" s="618"/>
      <c r="I8" s="618"/>
      <c r="J8" s="618"/>
      <c r="K8" s="618"/>
      <c r="L8" s="618"/>
      <c r="M8" s="618"/>
      <c r="N8" s="618"/>
      <c r="O8" s="618"/>
      <c r="P8" s="618"/>
      <c r="Q8" s="618"/>
    </row>
    <row r="9" spans="1:17" ht="22.5" customHeight="1">
      <c r="A9" s="618" t="s">
        <v>271</v>
      </c>
      <c r="B9" s="618"/>
      <c r="C9" s="618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</row>
    <row r="10" spans="1:17" ht="24" customHeight="1">
      <c r="A10" s="619" t="s">
        <v>272</v>
      </c>
      <c r="B10" s="619"/>
      <c r="C10" s="619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</row>
    <row r="11" spans="1:17" ht="22.8">
      <c r="A11" s="620" t="s">
        <v>265</v>
      </c>
      <c r="B11" s="620"/>
      <c r="C11" s="620"/>
      <c r="D11" s="620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</row>
    <row r="12" spans="1:17" ht="22.8">
      <c r="A12" s="279"/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N12" s="279"/>
      <c r="O12" s="279"/>
      <c r="P12" s="279"/>
      <c r="Q12" s="279"/>
    </row>
    <row r="13" spans="1:17" ht="16.5" customHeight="1">
      <c r="A13" s="176" t="s">
        <v>167</v>
      </c>
      <c r="B13" s="177">
        <v>3328</v>
      </c>
      <c r="C13" s="178" t="s">
        <v>114</v>
      </c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6"/>
    </row>
    <row r="14" spans="1:17" ht="54.75" customHeight="1">
      <c r="A14" s="611" t="s">
        <v>168</v>
      </c>
      <c r="B14" s="611" t="s">
        <v>169</v>
      </c>
      <c r="C14" s="611" t="s">
        <v>170</v>
      </c>
      <c r="D14" s="613" t="s">
        <v>171</v>
      </c>
      <c r="E14" s="613"/>
      <c r="F14" s="613"/>
      <c r="G14" s="611" t="s">
        <v>172</v>
      </c>
      <c r="H14" s="613" t="s">
        <v>173</v>
      </c>
      <c r="I14" s="613"/>
      <c r="J14" s="179" t="s">
        <v>174</v>
      </c>
      <c r="K14" s="611" t="s">
        <v>175</v>
      </c>
      <c r="L14" s="611"/>
      <c r="M14" s="611" t="s">
        <v>176</v>
      </c>
      <c r="N14" s="611" t="s">
        <v>177</v>
      </c>
      <c r="O14" s="611" t="s">
        <v>273</v>
      </c>
      <c r="P14" s="611" t="s">
        <v>178</v>
      </c>
      <c r="Q14" s="611" t="s">
        <v>274</v>
      </c>
    </row>
    <row r="15" spans="1:17" ht="78.75" customHeight="1">
      <c r="A15" s="611"/>
      <c r="B15" s="611"/>
      <c r="C15" s="611"/>
      <c r="D15" s="180" t="s">
        <v>179</v>
      </c>
      <c r="E15" s="180" t="s">
        <v>180</v>
      </c>
      <c r="F15" s="180" t="s">
        <v>181</v>
      </c>
      <c r="G15" s="611"/>
      <c r="H15" s="613"/>
      <c r="I15" s="613"/>
      <c r="J15" s="181" t="s">
        <v>275</v>
      </c>
      <c r="K15" s="611"/>
      <c r="L15" s="611"/>
      <c r="M15" s="611"/>
      <c r="N15" s="611"/>
      <c r="O15" s="611"/>
      <c r="P15" s="611"/>
      <c r="Q15" s="611"/>
    </row>
    <row r="16" spans="1:17" ht="26.4">
      <c r="A16" s="612">
        <v>1</v>
      </c>
      <c r="B16" s="612">
        <v>2</v>
      </c>
      <c r="C16" s="612">
        <v>3</v>
      </c>
      <c r="D16" s="612">
        <v>4</v>
      </c>
      <c r="E16" s="612">
        <v>5</v>
      </c>
      <c r="F16" s="612">
        <v>6</v>
      </c>
      <c r="G16" s="182">
        <v>7</v>
      </c>
      <c r="H16" s="182">
        <v>8</v>
      </c>
      <c r="I16" s="183" t="s">
        <v>182</v>
      </c>
      <c r="J16" s="182">
        <v>10</v>
      </c>
      <c r="K16" s="182">
        <v>11</v>
      </c>
      <c r="L16" s="183" t="s">
        <v>183</v>
      </c>
      <c r="M16" s="183" t="s">
        <v>184</v>
      </c>
      <c r="N16" s="183" t="s">
        <v>185</v>
      </c>
      <c r="O16" s="183" t="s">
        <v>276</v>
      </c>
      <c r="P16" s="182">
        <v>16</v>
      </c>
      <c r="Q16" s="183" t="s">
        <v>186</v>
      </c>
    </row>
    <row r="17" spans="1:17">
      <c r="A17" s="612"/>
      <c r="B17" s="612"/>
      <c r="C17" s="612"/>
      <c r="D17" s="612"/>
      <c r="E17" s="612"/>
      <c r="F17" s="612"/>
      <c r="G17" s="184" t="s">
        <v>114</v>
      </c>
      <c r="H17" s="183" t="s">
        <v>187</v>
      </c>
      <c r="I17" s="183" t="s">
        <v>114</v>
      </c>
      <c r="J17" s="183" t="s">
        <v>114</v>
      </c>
      <c r="K17" s="183" t="s">
        <v>187</v>
      </c>
      <c r="L17" s="183" t="s">
        <v>114</v>
      </c>
      <c r="M17" s="183" t="s">
        <v>114</v>
      </c>
      <c r="N17" s="183" t="s">
        <v>114</v>
      </c>
      <c r="O17" s="183" t="s">
        <v>114</v>
      </c>
      <c r="P17" s="183" t="s">
        <v>114</v>
      </c>
      <c r="Q17" s="183" t="s">
        <v>114</v>
      </c>
    </row>
    <row r="18" spans="1:17" ht="19.5" customHeight="1">
      <c r="A18" s="185" t="s">
        <v>188</v>
      </c>
      <c r="B18" s="186" t="s">
        <v>189</v>
      </c>
      <c r="C18" s="186">
        <v>1</v>
      </c>
      <c r="D18" s="614" t="s">
        <v>190</v>
      </c>
      <c r="E18" s="614"/>
      <c r="F18" s="614"/>
      <c r="G18" s="187">
        <v>38425</v>
      </c>
      <c r="H18" s="188"/>
      <c r="I18" s="188"/>
      <c r="J18" s="188"/>
      <c r="K18" s="188"/>
      <c r="L18" s="188"/>
      <c r="M18" s="187">
        <v>38425</v>
      </c>
      <c r="N18" s="187">
        <f t="shared" ref="N18:N20" si="0">M18*C18</f>
        <v>38425</v>
      </c>
      <c r="O18" s="187">
        <f t="shared" ref="O18:O20" si="1">N18*12</f>
        <v>461100</v>
      </c>
      <c r="P18" s="187">
        <f>G18</f>
        <v>38425</v>
      </c>
      <c r="Q18" s="189">
        <f t="shared" ref="Q18:Q20" si="2">O18+P18</f>
        <v>499525</v>
      </c>
    </row>
    <row r="19" spans="1:17" ht="32.25" customHeight="1">
      <c r="A19" s="190" t="s">
        <v>277</v>
      </c>
      <c r="B19" s="186" t="s">
        <v>191</v>
      </c>
      <c r="C19" s="186">
        <v>1</v>
      </c>
      <c r="D19" s="191">
        <v>2</v>
      </c>
      <c r="E19" s="192">
        <v>1.41</v>
      </c>
      <c r="F19" s="193">
        <v>2</v>
      </c>
      <c r="G19" s="187">
        <v>18770</v>
      </c>
      <c r="H19" s="194"/>
      <c r="I19" s="195"/>
      <c r="J19" s="188"/>
      <c r="K19" s="196">
        <v>0.1</v>
      </c>
      <c r="L19" s="187">
        <f>G19*K19</f>
        <v>1877</v>
      </c>
      <c r="M19" s="187">
        <f>G19+J19+I19+L19</f>
        <v>20647</v>
      </c>
      <c r="N19" s="187">
        <f t="shared" si="0"/>
        <v>20647</v>
      </c>
      <c r="O19" s="187">
        <f t="shared" si="1"/>
        <v>247764</v>
      </c>
      <c r="P19" s="187">
        <f>C19*G19</f>
        <v>18770</v>
      </c>
      <c r="Q19" s="189">
        <f t="shared" si="2"/>
        <v>266534</v>
      </c>
    </row>
    <row r="20" spans="1:17" ht="18.75" customHeight="1">
      <c r="A20" s="190" t="s">
        <v>192</v>
      </c>
      <c r="B20" s="186">
        <v>2429</v>
      </c>
      <c r="C20" s="186">
        <v>1</v>
      </c>
      <c r="D20" s="191">
        <v>2</v>
      </c>
      <c r="E20" s="192">
        <v>1.41</v>
      </c>
      <c r="F20" s="193">
        <v>2</v>
      </c>
      <c r="G20" s="187">
        <v>18770</v>
      </c>
      <c r="H20" s="280">
        <v>0.5</v>
      </c>
      <c r="I20" s="187">
        <f>G20*H20</f>
        <v>9385</v>
      </c>
      <c r="J20" s="188"/>
      <c r="K20" s="196">
        <v>0.1</v>
      </c>
      <c r="L20" s="187">
        <f>G20*K20</f>
        <v>1877</v>
      </c>
      <c r="M20" s="187">
        <f>G20+J20+I20+L20</f>
        <v>30032</v>
      </c>
      <c r="N20" s="187">
        <f t="shared" si="0"/>
        <v>30032</v>
      </c>
      <c r="O20" s="187">
        <f t="shared" si="1"/>
        <v>360384</v>
      </c>
      <c r="P20" s="187">
        <f t="shared" ref="P20" si="3">C20*G20</f>
        <v>18770</v>
      </c>
      <c r="Q20" s="189">
        <f t="shared" si="2"/>
        <v>379154</v>
      </c>
    </row>
    <row r="21" spans="1:17" ht="21.75" customHeight="1">
      <c r="A21" s="197" t="s">
        <v>193</v>
      </c>
      <c r="B21" s="198"/>
      <c r="C21" s="199">
        <f>SUM(C18:C20)</f>
        <v>3</v>
      </c>
      <c r="D21" s="200"/>
      <c r="E21" s="201"/>
      <c r="F21" s="202"/>
      <c r="G21" s="203">
        <f>SUM(G18:G20)</f>
        <v>75965</v>
      </c>
      <c r="H21" s="281"/>
      <c r="I21" s="203">
        <f>I20</f>
        <v>9385</v>
      </c>
      <c r="J21" s="205"/>
      <c r="K21" s="206"/>
      <c r="L21" s="203">
        <f>SUM(L18:L20)</f>
        <v>3754</v>
      </c>
      <c r="M21" s="203"/>
      <c r="N21" s="203">
        <f>SUM(N18:N20)</f>
        <v>89104</v>
      </c>
      <c r="O21" s="203">
        <f>SUM(O18:O20)</f>
        <v>1069248</v>
      </c>
      <c r="P21" s="203">
        <f>SUM(P18:P20)</f>
        <v>75965</v>
      </c>
      <c r="Q21" s="207">
        <f>SUM(Q18:Q20)</f>
        <v>1145213</v>
      </c>
    </row>
    <row r="22" spans="1:17" ht="16.5" customHeight="1">
      <c r="A22" s="609" t="s">
        <v>194</v>
      </c>
      <c r="B22" s="609"/>
      <c r="C22" s="609"/>
      <c r="D22" s="609"/>
      <c r="E22" s="609"/>
      <c r="F22" s="609"/>
      <c r="G22" s="609"/>
      <c r="H22" s="609"/>
      <c r="I22" s="609"/>
      <c r="J22" s="609"/>
      <c r="K22" s="609"/>
      <c r="L22" s="609"/>
      <c r="M22" s="609"/>
      <c r="N22" s="609"/>
      <c r="O22" s="609"/>
      <c r="P22" s="609"/>
      <c r="Q22" s="609"/>
    </row>
    <row r="23" spans="1:17" ht="22.5" customHeight="1">
      <c r="A23" s="208" t="s">
        <v>195</v>
      </c>
      <c r="B23" s="209">
        <v>1235</v>
      </c>
      <c r="C23" s="209">
        <v>1</v>
      </c>
      <c r="D23" s="210">
        <v>2</v>
      </c>
      <c r="E23" s="211">
        <v>1.41</v>
      </c>
      <c r="F23" s="212">
        <v>2.6</v>
      </c>
      <c r="G23" s="213">
        <v>24401</v>
      </c>
      <c r="H23" s="214" t="s">
        <v>196</v>
      </c>
      <c r="I23" s="213">
        <f>G23*25%-0.25</f>
        <v>6100</v>
      </c>
      <c r="J23" s="215"/>
      <c r="K23" s="216">
        <v>0.1</v>
      </c>
      <c r="L23" s="213">
        <f>G23*K23-0.1</f>
        <v>2440</v>
      </c>
      <c r="M23" s="213">
        <f>G23+J23+L23+I23</f>
        <v>32941</v>
      </c>
      <c r="N23" s="213">
        <f>M23*C23</f>
        <v>32941</v>
      </c>
      <c r="O23" s="187">
        <f>N23*12</f>
        <v>395292</v>
      </c>
      <c r="P23" s="187">
        <f t="shared" ref="P23:P24" si="4">C23*G23</f>
        <v>24401</v>
      </c>
      <c r="Q23" s="207">
        <f>O23+P23</f>
        <v>419693</v>
      </c>
    </row>
    <row r="24" spans="1:17" ht="21.75" customHeight="1">
      <c r="A24" s="197" t="s">
        <v>197</v>
      </c>
      <c r="B24" s="209">
        <v>3439</v>
      </c>
      <c r="C24" s="209">
        <v>1</v>
      </c>
      <c r="D24" s="210">
        <v>2</v>
      </c>
      <c r="E24" s="211">
        <v>1.41</v>
      </c>
      <c r="F24" s="212">
        <v>1.9</v>
      </c>
      <c r="G24" s="213">
        <v>17831</v>
      </c>
      <c r="H24" s="214" t="s">
        <v>196</v>
      </c>
      <c r="I24" s="213">
        <f>G24*25%+0.25</f>
        <v>4458</v>
      </c>
      <c r="J24" s="213"/>
      <c r="K24" s="217">
        <v>0.1</v>
      </c>
      <c r="L24" s="213">
        <f>G24*K24-0.1</f>
        <v>1783.0000000000002</v>
      </c>
      <c r="M24" s="213">
        <f>G24+J24+L24+I24</f>
        <v>24072</v>
      </c>
      <c r="N24" s="213">
        <f>M24*C24</f>
        <v>24072</v>
      </c>
      <c r="O24" s="187">
        <f>N24*12</f>
        <v>288864</v>
      </c>
      <c r="P24" s="187">
        <f t="shared" si="4"/>
        <v>17831</v>
      </c>
      <c r="Q24" s="207">
        <f>O24+P24</f>
        <v>306695</v>
      </c>
    </row>
    <row r="25" spans="1:17" ht="32.25" customHeight="1">
      <c r="A25" s="197" t="s">
        <v>198</v>
      </c>
      <c r="B25" s="198"/>
      <c r="C25" s="199">
        <f>SUM(C23:C24)</f>
        <v>2</v>
      </c>
      <c r="D25" s="200"/>
      <c r="E25" s="201"/>
      <c r="F25" s="202"/>
      <c r="G25" s="203">
        <f>G23+G24*$C$24</f>
        <v>42232</v>
      </c>
      <c r="H25" s="204"/>
      <c r="I25" s="203">
        <f>I23+I24*$C$24</f>
        <v>10558</v>
      </c>
      <c r="J25" s="203"/>
      <c r="K25" s="206"/>
      <c r="L25" s="203">
        <f>L23+(L24*C24)</f>
        <v>4223</v>
      </c>
      <c r="M25" s="203"/>
      <c r="N25" s="203">
        <f>SUM(N23:N24)</f>
        <v>57013</v>
      </c>
      <c r="O25" s="203">
        <f>SUM(O23:O24)</f>
        <v>684156</v>
      </c>
      <c r="P25" s="203">
        <f>SUM(P23:P24)</f>
        <v>42232</v>
      </c>
      <c r="Q25" s="207">
        <f>SUM(Q23:Q24)</f>
        <v>726388</v>
      </c>
    </row>
    <row r="26" spans="1:17" ht="18" customHeight="1">
      <c r="A26" s="609" t="s">
        <v>199</v>
      </c>
      <c r="B26" s="609"/>
      <c r="C26" s="609"/>
      <c r="D26" s="609"/>
      <c r="E26" s="609"/>
      <c r="F26" s="609"/>
      <c r="G26" s="609"/>
      <c r="H26" s="609"/>
      <c r="I26" s="609"/>
      <c r="J26" s="609"/>
      <c r="K26" s="609"/>
      <c r="L26" s="609"/>
      <c r="M26" s="609"/>
      <c r="N26" s="609"/>
      <c r="O26" s="609"/>
      <c r="P26" s="609"/>
      <c r="Q26" s="609"/>
    </row>
    <row r="27" spans="1:17" ht="21.75" customHeight="1">
      <c r="A27" s="197" t="s">
        <v>200</v>
      </c>
      <c r="B27" s="209">
        <v>1235</v>
      </c>
      <c r="C27" s="209">
        <v>1</v>
      </c>
      <c r="D27" s="210">
        <v>2</v>
      </c>
      <c r="E27" s="211">
        <v>1.41</v>
      </c>
      <c r="F27" s="212">
        <v>2.6</v>
      </c>
      <c r="G27" s="213">
        <v>24401</v>
      </c>
      <c r="H27" s="214" t="s">
        <v>196</v>
      </c>
      <c r="I27" s="213">
        <f>G27*25%-0.25</f>
        <v>6100</v>
      </c>
      <c r="J27" s="213"/>
      <c r="K27" s="217">
        <v>0.1</v>
      </c>
      <c r="L27" s="213">
        <f>G27*K27-0.1</f>
        <v>2440</v>
      </c>
      <c r="M27" s="213">
        <f>G27+J27+L27+I27</f>
        <v>32941</v>
      </c>
      <c r="N27" s="213">
        <f>M27*C27</f>
        <v>32941</v>
      </c>
      <c r="O27" s="187">
        <f>N27*12</f>
        <v>395292</v>
      </c>
      <c r="P27" s="187">
        <f t="shared" ref="P27:P28" si="5">C27*G27</f>
        <v>24401</v>
      </c>
      <c r="Q27" s="207">
        <f>O27+P27</f>
        <v>419693</v>
      </c>
    </row>
    <row r="28" spans="1:17" ht="21.75" customHeight="1">
      <c r="A28" s="197" t="s">
        <v>201</v>
      </c>
      <c r="B28" s="209">
        <v>3439</v>
      </c>
      <c r="C28" s="209">
        <v>19</v>
      </c>
      <c r="D28" s="210">
        <v>2</v>
      </c>
      <c r="E28" s="211">
        <v>1.41</v>
      </c>
      <c r="F28" s="212">
        <v>1.9</v>
      </c>
      <c r="G28" s="213">
        <v>17831</v>
      </c>
      <c r="H28" s="214" t="s">
        <v>196</v>
      </c>
      <c r="I28" s="213">
        <f>G28*25%+0.25</f>
        <v>4458</v>
      </c>
      <c r="J28" s="213">
        <v>2120</v>
      </c>
      <c r="K28" s="217">
        <v>0.1</v>
      </c>
      <c r="L28" s="213">
        <f>G28*K28-0.1</f>
        <v>1783.0000000000002</v>
      </c>
      <c r="M28" s="213">
        <f>G28+J28+L28+I28</f>
        <v>26192</v>
      </c>
      <c r="N28" s="213">
        <f>M28*C28</f>
        <v>497648</v>
      </c>
      <c r="O28" s="213">
        <f>N28*12</f>
        <v>5971776</v>
      </c>
      <c r="P28" s="187">
        <f t="shared" si="5"/>
        <v>338789</v>
      </c>
      <c r="Q28" s="207">
        <f>O28+P28</f>
        <v>6310565</v>
      </c>
    </row>
    <row r="29" spans="1:17" ht="43.5" customHeight="1">
      <c r="A29" s="218" t="s">
        <v>202</v>
      </c>
      <c r="B29" s="219"/>
      <c r="C29" s="199">
        <f>SUM(C27:C28)</f>
        <v>20</v>
      </c>
      <c r="D29" s="200"/>
      <c r="E29" s="201"/>
      <c r="F29" s="202"/>
      <c r="G29" s="203">
        <f>G27+(G28*C28)</f>
        <v>363190</v>
      </c>
      <c r="H29" s="204"/>
      <c r="I29" s="203">
        <f>I27+(I28*C28)</f>
        <v>90802</v>
      </c>
      <c r="J29" s="203">
        <f>(J28*C28)</f>
        <v>40280</v>
      </c>
      <c r="K29" s="206"/>
      <c r="L29" s="203">
        <f>L27+(L28*C28)</f>
        <v>36317.000000000007</v>
      </c>
      <c r="M29" s="203"/>
      <c r="N29" s="203">
        <f>SUM(N27:N28)</f>
        <v>530589</v>
      </c>
      <c r="O29" s="203">
        <f>SUM(O27:O28)</f>
        <v>6367068</v>
      </c>
      <c r="P29" s="203">
        <f>SUM(P27:P28)</f>
        <v>363190</v>
      </c>
      <c r="Q29" s="207">
        <f>SUM(Q27:Q28)</f>
        <v>6730258</v>
      </c>
    </row>
    <row r="30" spans="1:17" ht="21.75" customHeight="1">
      <c r="A30" s="610" t="s">
        <v>203</v>
      </c>
      <c r="B30" s="610"/>
      <c r="C30" s="199">
        <f>C21+C25+C29</f>
        <v>25</v>
      </c>
      <c r="D30" s="209"/>
      <c r="E30" s="209"/>
      <c r="F30" s="209"/>
      <c r="G30" s="203">
        <f>G21+G25+G29</f>
        <v>481387</v>
      </c>
      <c r="H30" s="220"/>
      <c r="I30" s="203">
        <f>I21+I25+I29</f>
        <v>110745</v>
      </c>
      <c r="J30" s="203">
        <f>J21+J25+J29</f>
        <v>40280</v>
      </c>
      <c r="K30" s="220"/>
      <c r="L30" s="203">
        <f>L21+L25+L29</f>
        <v>44294.000000000007</v>
      </c>
      <c r="M30" s="220"/>
      <c r="N30" s="203">
        <f>N29+N25+N21</f>
        <v>676706</v>
      </c>
      <c r="O30" s="203">
        <f>O21+O25+O29</f>
        <v>8120472</v>
      </c>
      <c r="P30" s="203">
        <f>P21+P25+P29</f>
        <v>481387</v>
      </c>
      <c r="Q30" s="203">
        <f>Q21+Q25+Q29</f>
        <v>8601859</v>
      </c>
    </row>
    <row r="31" spans="1:17" ht="21.75" customHeight="1">
      <c r="A31" s="221"/>
      <c r="B31" s="221"/>
      <c r="C31" s="222"/>
      <c r="D31" s="223"/>
      <c r="E31" s="223"/>
      <c r="F31" s="223"/>
      <c r="G31" s="224"/>
      <c r="H31" s="225"/>
      <c r="I31" s="224"/>
      <c r="J31" s="224"/>
      <c r="K31" s="225"/>
      <c r="L31" s="224"/>
      <c r="M31" s="225"/>
      <c r="N31" s="224"/>
      <c r="O31" s="224"/>
      <c r="P31" s="224"/>
      <c r="Q31" s="224"/>
    </row>
    <row r="32" spans="1:17" ht="13.5" customHeight="1">
      <c r="A32" s="226"/>
      <c r="B32" s="226"/>
      <c r="C32" s="222"/>
      <c r="D32" s="223"/>
      <c r="E32" s="223"/>
      <c r="F32" s="223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</row>
    <row r="33" spans="1:17" ht="18" customHeight="1">
      <c r="A33" s="606" t="s">
        <v>278</v>
      </c>
      <c r="B33" s="606"/>
      <c r="C33" s="606"/>
      <c r="D33" s="227"/>
      <c r="E33" s="607">
        <f>O30</f>
        <v>8120472</v>
      </c>
      <c r="F33" s="607"/>
      <c r="G33" s="228"/>
      <c r="H33" s="229"/>
      <c r="I33" s="606" t="s">
        <v>279</v>
      </c>
      <c r="J33" s="606"/>
      <c r="K33" s="606"/>
      <c r="L33" s="606"/>
      <c r="M33" s="606"/>
      <c r="N33" s="230">
        <f>(E33+E34)*0.22</f>
        <v>1892408.98</v>
      </c>
      <c r="O33" s="227"/>
      <c r="P33" s="231"/>
      <c r="Q33" s="232"/>
    </row>
    <row r="34" spans="1:17" ht="36" customHeight="1">
      <c r="A34" s="604" t="s">
        <v>280</v>
      </c>
      <c r="B34" s="604"/>
      <c r="C34" s="604"/>
      <c r="D34" s="604"/>
      <c r="E34" s="605">
        <f>P30</f>
        <v>481387</v>
      </c>
      <c r="F34" s="605"/>
      <c r="G34" s="233"/>
      <c r="H34" s="233"/>
      <c r="I34" s="606" t="s">
        <v>281</v>
      </c>
      <c r="J34" s="606"/>
      <c r="K34" s="606"/>
      <c r="L34" s="606"/>
      <c r="M34" s="606"/>
      <c r="N34" s="230">
        <f>E33+E34+N33</f>
        <v>10494267.98</v>
      </c>
      <c r="O34" s="234"/>
      <c r="P34" s="235"/>
      <c r="Q34" s="235"/>
    </row>
    <row r="35" spans="1:17" ht="22.5" customHeight="1">
      <c r="A35" s="236"/>
      <c r="B35" s="236"/>
      <c r="C35" s="236"/>
      <c r="D35" s="236"/>
      <c r="E35" s="237"/>
      <c r="F35" s="237"/>
      <c r="G35" s="233"/>
      <c r="H35" s="233"/>
      <c r="I35" s="238"/>
      <c r="J35" s="238"/>
      <c r="K35" s="238"/>
      <c r="L35" s="238"/>
      <c r="M35" s="238"/>
      <c r="N35" s="230"/>
      <c r="O35" s="234"/>
      <c r="P35" s="235"/>
      <c r="Q35" s="235"/>
    </row>
    <row r="36" spans="1:17" ht="20.399999999999999">
      <c r="A36" s="239"/>
      <c r="B36" s="239"/>
      <c r="C36" s="239"/>
      <c r="D36" s="239"/>
      <c r="E36" s="607"/>
      <c r="F36" s="607"/>
      <c r="G36" s="233"/>
      <c r="H36" s="608"/>
      <c r="I36" s="608"/>
      <c r="J36" s="608"/>
      <c r="K36" s="240"/>
      <c r="L36" s="240"/>
      <c r="M36" s="240"/>
      <c r="N36" s="240"/>
      <c r="O36" s="240"/>
      <c r="P36" s="241"/>
      <c r="Q36" s="241"/>
    </row>
    <row r="37" spans="1:17" ht="22.5" customHeight="1">
      <c r="A37" s="604" t="s">
        <v>282</v>
      </c>
      <c r="B37" s="604"/>
      <c r="C37" s="604"/>
      <c r="D37" s="604"/>
      <c r="E37" s="242"/>
      <c r="F37" s="242"/>
      <c r="G37" s="233"/>
      <c r="H37" s="243"/>
      <c r="I37" s="243"/>
      <c r="J37" s="243"/>
      <c r="K37" s="240"/>
      <c r="L37" s="240"/>
      <c r="M37" s="240"/>
      <c r="N37" s="244" t="s">
        <v>262</v>
      </c>
      <c r="O37" s="240"/>
      <c r="P37" s="241"/>
      <c r="Q37" s="241"/>
    </row>
    <row r="38" spans="1:17" ht="21" customHeight="1">
      <c r="A38" s="236"/>
      <c r="B38" s="236"/>
      <c r="C38" s="236"/>
      <c r="D38" s="236"/>
      <c r="E38" s="242"/>
      <c r="F38" s="242"/>
      <c r="G38" s="233"/>
      <c r="H38" s="243"/>
      <c r="I38" s="243"/>
      <c r="J38" s="243"/>
      <c r="K38" s="240"/>
      <c r="L38" s="240"/>
      <c r="M38" s="240"/>
      <c r="N38" s="244"/>
      <c r="O38" s="240"/>
      <c r="P38" s="241"/>
      <c r="Q38" s="241"/>
    </row>
    <row r="39" spans="1:17" ht="21" customHeight="1">
      <c r="A39" s="236"/>
      <c r="B39" s="236"/>
      <c r="C39" s="236"/>
      <c r="D39" s="236"/>
      <c r="E39" s="242"/>
      <c r="F39" s="242"/>
      <c r="G39" s="233"/>
      <c r="H39" s="243"/>
      <c r="I39" s="243"/>
      <c r="J39" s="243"/>
      <c r="K39" s="240"/>
      <c r="L39" s="240"/>
      <c r="M39" s="240"/>
      <c r="N39" s="240"/>
      <c r="O39" s="240"/>
      <c r="P39" s="241"/>
      <c r="Q39" s="241"/>
    </row>
    <row r="40" spans="1:17" ht="21.75" customHeight="1">
      <c r="A40" s="604" t="s">
        <v>154</v>
      </c>
      <c r="B40" s="604"/>
      <c r="C40" s="604"/>
      <c r="D40" s="604"/>
      <c r="E40" s="245"/>
      <c r="F40" s="246"/>
      <c r="G40" s="247"/>
      <c r="H40" s="247"/>
      <c r="I40" s="248"/>
      <c r="J40" s="248"/>
      <c r="K40" s="248"/>
      <c r="L40" s="248"/>
      <c r="M40" s="245"/>
      <c r="N40" s="244" t="s">
        <v>264</v>
      </c>
      <c r="O40" s="244"/>
      <c r="P40" s="231"/>
      <c r="Q40" s="232"/>
    </row>
    <row r="41" spans="1:17" ht="21">
      <c r="A41" s="238"/>
      <c r="B41" s="249"/>
      <c r="C41" s="249"/>
      <c r="D41" s="245"/>
      <c r="E41" s="245"/>
      <c r="F41" s="246"/>
      <c r="G41" s="244"/>
      <c r="H41" s="244"/>
      <c r="I41" s="238"/>
      <c r="J41" s="238"/>
      <c r="K41" s="238"/>
      <c r="L41" s="238"/>
      <c r="M41" s="245"/>
      <c r="N41" s="245"/>
      <c r="O41" s="244"/>
      <c r="P41" s="231"/>
      <c r="Q41" s="232"/>
    </row>
  </sheetData>
  <mergeCells count="44">
    <mergeCell ref="N2:Q2"/>
    <mergeCell ref="A3:C3"/>
    <mergeCell ref="N3:Q3"/>
    <mergeCell ref="A4:G4"/>
    <mergeCell ref="N4:Q4"/>
    <mergeCell ref="D18:F18"/>
    <mergeCell ref="F16:F17"/>
    <mergeCell ref="G14:G15"/>
    <mergeCell ref="A1:C1"/>
    <mergeCell ref="A2:G2"/>
    <mergeCell ref="A5:B5"/>
    <mergeCell ref="A8:Q8"/>
    <mergeCell ref="A9:Q9"/>
    <mergeCell ref="A10:Q10"/>
    <mergeCell ref="A11:Q11"/>
    <mergeCell ref="Q14:Q15"/>
    <mergeCell ref="O14:O15"/>
    <mergeCell ref="P14:P15"/>
    <mergeCell ref="H14:I15"/>
    <mergeCell ref="K14:L15"/>
    <mergeCell ref="M14:M15"/>
    <mergeCell ref="N14:N15"/>
    <mergeCell ref="A16:A17"/>
    <mergeCell ref="B16:B17"/>
    <mergeCell ref="C16:C17"/>
    <mergeCell ref="D16:D17"/>
    <mergeCell ref="E16:E17"/>
    <mergeCell ref="D14:F14"/>
    <mergeCell ref="A14:A15"/>
    <mergeCell ref="B14:B15"/>
    <mergeCell ref="C14:C15"/>
    <mergeCell ref="A22:Q22"/>
    <mergeCell ref="A26:Q26"/>
    <mergeCell ref="A30:B30"/>
    <mergeCell ref="A33:C33"/>
    <mergeCell ref="E33:F33"/>
    <mergeCell ref="I33:M33"/>
    <mergeCell ref="A40:D40"/>
    <mergeCell ref="A34:D34"/>
    <mergeCell ref="E34:F34"/>
    <mergeCell ref="I34:M34"/>
    <mergeCell ref="E36:F36"/>
    <mergeCell ref="H36:J36"/>
    <mergeCell ref="A37:D37"/>
  </mergeCells>
  <pageMargins left="0.78740157480314965" right="0.19685039370078741" top="0.78740157480314965" bottom="0" header="0.51181102362204722" footer="0.51181102362204722"/>
  <pageSetup paperSize="9" scale="55" orientation="landscape" horizontalDpi="300" verticalDpi="300" r:id="rId1"/>
  <colBreaks count="1" manualBreakCount="1">
    <brk id="1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L33"/>
  <sheetViews>
    <sheetView view="pageBreakPreview" topLeftCell="A13" zoomScale="136" zoomScaleSheetLayoutView="136" workbookViewId="0">
      <selection activeCell="A9" sqref="A9:J9"/>
    </sheetView>
  </sheetViews>
  <sheetFormatPr defaultColWidth="9.109375" defaultRowHeight="14.4"/>
  <cols>
    <col min="1" max="1" width="6.6640625" style="144" customWidth="1"/>
    <col min="2" max="2" width="26" style="144" customWidth="1"/>
    <col min="3" max="3" width="13.6640625" style="144" customWidth="1"/>
    <col min="4" max="4" width="9.109375" style="144"/>
    <col min="5" max="5" width="10.6640625" style="144" customWidth="1"/>
    <col min="6" max="6" width="10.109375" style="144" customWidth="1"/>
    <col min="7" max="7" width="10.5546875" style="144" customWidth="1"/>
    <col min="8" max="8" width="10.88671875" style="144" customWidth="1"/>
    <col min="9" max="9" width="9.109375" style="144"/>
    <col min="10" max="10" width="12.88671875" style="144" customWidth="1"/>
    <col min="11" max="11" width="12.6640625" style="144" customWidth="1"/>
    <col min="12" max="12" width="11.44140625" style="144" customWidth="1"/>
    <col min="13" max="16384" width="9.109375" style="144"/>
  </cols>
  <sheetData>
    <row r="3" spans="1:12" ht="15.6">
      <c r="A3" s="638" t="s">
        <v>258</v>
      </c>
      <c r="B3" s="638"/>
      <c r="C3" s="638"/>
      <c r="D3" s="638"/>
      <c r="E3" s="638"/>
      <c r="F3" s="638"/>
      <c r="G3" s="638"/>
      <c r="H3" s="638"/>
      <c r="I3" s="638"/>
      <c r="J3" s="638"/>
    </row>
    <row r="4" spans="1:12">
      <c r="A4" s="639" t="s">
        <v>259</v>
      </c>
      <c r="B4" s="639"/>
      <c r="C4" s="639"/>
      <c r="D4" s="639"/>
      <c r="E4" s="639"/>
      <c r="F4" s="639"/>
      <c r="G4" s="639"/>
      <c r="H4" s="639"/>
      <c r="I4" s="639"/>
      <c r="J4" s="639"/>
    </row>
    <row r="5" spans="1:12">
      <c r="A5" s="640" t="s">
        <v>260</v>
      </c>
      <c r="B5" s="640"/>
      <c r="C5" s="640"/>
      <c r="D5" s="640"/>
      <c r="E5" s="640"/>
      <c r="F5" s="640"/>
      <c r="G5" s="640"/>
      <c r="H5" s="640"/>
      <c r="I5" s="640"/>
      <c r="J5" s="640"/>
    </row>
    <row r="6" spans="1:12">
      <c r="A6" s="633" t="s">
        <v>360</v>
      </c>
      <c r="B6" s="633"/>
      <c r="C6" s="633"/>
      <c r="D6" s="633"/>
      <c r="E6" s="633"/>
      <c r="F6" s="633"/>
      <c r="G6" s="633"/>
      <c r="H6" s="633"/>
      <c r="I6" s="633"/>
      <c r="J6" s="633"/>
    </row>
    <row r="7" spans="1:12">
      <c r="A7" s="278"/>
      <c r="B7" s="278"/>
      <c r="C7" s="278"/>
      <c r="D7" s="278"/>
      <c r="E7" s="278"/>
      <c r="F7" s="278"/>
      <c r="G7" s="278"/>
      <c r="H7" s="278"/>
      <c r="I7" s="278"/>
      <c r="J7" s="278"/>
    </row>
    <row r="8" spans="1:12">
      <c r="A8" s="278"/>
      <c r="B8" s="278"/>
      <c r="C8" s="278"/>
      <c r="D8" s="278"/>
      <c r="E8" s="278"/>
      <c r="F8" s="278"/>
      <c r="G8" s="278"/>
      <c r="H8" s="278"/>
      <c r="I8" s="278"/>
      <c r="J8" s="278"/>
    </row>
    <row r="9" spans="1:12">
      <c r="A9" s="633" t="s">
        <v>361</v>
      </c>
      <c r="B9" s="633"/>
      <c r="C9" s="633"/>
      <c r="D9" s="633"/>
      <c r="E9" s="633"/>
      <c r="F9" s="633"/>
      <c r="G9" s="633"/>
      <c r="H9" s="633"/>
      <c r="I9" s="633"/>
      <c r="J9" s="633"/>
    </row>
    <row r="10" spans="1:12" ht="40.5" customHeight="1">
      <c r="A10" s="641" t="s">
        <v>115</v>
      </c>
      <c r="B10" s="634" t="s">
        <v>204</v>
      </c>
      <c r="C10" s="634" t="s">
        <v>205</v>
      </c>
      <c r="D10" s="641" t="s">
        <v>206</v>
      </c>
      <c r="E10" s="634" t="s">
        <v>171</v>
      </c>
      <c r="F10" s="634"/>
      <c r="G10" s="634"/>
      <c r="H10" s="634" t="s">
        <v>172</v>
      </c>
      <c r="I10" s="634" t="s">
        <v>207</v>
      </c>
      <c r="J10" s="634" t="s">
        <v>208</v>
      </c>
    </row>
    <row r="11" spans="1:12" ht="52.8">
      <c r="A11" s="641"/>
      <c r="B11" s="634"/>
      <c r="C11" s="634"/>
      <c r="D11" s="641"/>
      <c r="E11" s="145" t="s">
        <v>209</v>
      </c>
      <c r="F11" s="145" t="s">
        <v>180</v>
      </c>
      <c r="G11" s="145" t="s">
        <v>181</v>
      </c>
      <c r="H11" s="634"/>
      <c r="I11" s="634"/>
      <c r="J11" s="634"/>
    </row>
    <row r="12" spans="1:12">
      <c r="A12" s="146">
        <v>1</v>
      </c>
      <c r="B12" s="145">
        <v>2</v>
      </c>
      <c r="C12" s="145">
        <v>3</v>
      </c>
      <c r="D12" s="146">
        <v>4</v>
      </c>
      <c r="E12" s="145">
        <v>5</v>
      </c>
      <c r="F12" s="145">
        <v>6</v>
      </c>
      <c r="G12" s="145">
        <v>7</v>
      </c>
      <c r="H12" s="145">
        <v>8</v>
      </c>
      <c r="I12" s="145">
        <v>9</v>
      </c>
      <c r="J12" s="145">
        <v>10</v>
      </c>
    </row>
    <row r="13" spans="1:12" ht="15.6">
      <c r="A13" s="147" t="s">
        <v>210</v>
      </c>
      <c r="B13" s="148" t="s">
        <v>188</v>
      </c>
      <c r="C13" s="149" t="s">
        <v>189</v>
      </c>
      <c r="D13" s="149"/>
      <c r="E13" s="635" t="s">
        <v>211</v>
      </c>
      <c r="F13" s="635"/>
      <c r="G13" s="635"/>
      <c r="H13" s="150">
        <v>38425</v>
      </c>
      <c r="I13" s="149">
        <v>1</v>
      </c>
      <c r="J13" s="150">
        <v>38425</v>
      </c>
      <c r="K13" s="151"/>
      <c r="L13" s="151"/>
    </row>
    <row r="14" spans="1:12" ht="31.5" customHeight="1">
      <c r="A14" s="147" t="s">
        <v>212</v>
      </c>
      <c r="B14" s="152" t="s">
        <v>213</v>
      </c>
      <c r="C14" s="149" t="s">
        <v>191</v>
      </c>
      <c r="D14" s="149"/>
      <c r="E14" s="153">
        <v>2</v>
      </c>
      <c r="F14" s="149">
        <v>1.41</v>
      </c>
      <c r="G14" s="153">
        <v>2</v>
      </c>
      <c r="H14" s="150">
        <v>18770</v>
      </c>
      <c r="I14" s="149">
        <v>1</v>
      </c>
      <c r="J14" s="150">
        <f>H14*I14</f>
        <v>18770</v>
      </c>
      <c r="K14" s="151"/>
      <c r="L14" s="151"/>
    </row>
    <row r="15" spans="1:12" ht="15.6">
      <c r="A15" s="147" t="s">
        <v>214</v>
      </c>
      <c r="B15" s="148" t="s">
        <v>192</v>
      </c>
      <c r="C15" s="149">
        <v>2429</v>
      </c>
      <c r="D15" s="149"/>
      <c r="E15" s="153">
        <v>2</v>
      </c>
      <c r="F15" s="149">
        <v>1.41</v>
      </c>
      <c r="G15" s="153">
        <v>2</v>
      </c>
      <c r="H15" s="150">
        <v>18770</v>
      </c>
      <c r="I15" s="149">
        <v>1</v>
      </c>
      <c r="J15" s="150">
        <f t="shared" ref="J15" si="0">H15*I15</f>
        <v>18770</v>
      </c>
      <c r="K15" s="151"/>
      <c r="L15" s="151"/>
    </row>
    <row r="16" spans="1:12" ht="15.6">
      <c r="A16" s="636" t="s">
        <v>215</v>
      </c>
      <c r="B16" s="637"/>
      <c r="C16" s="149"/>
      <c r="D16" s="149"/>
      <c r="E16" s="149"/>
      <c r="F16" s="149"/>
      <c r="G16" s="149"/>
      <c r="H16" s="150"/>
      <c r="I16" s="149">
        <f>SUM(I13:I15)</f>
        <v>3</v>
      </c>
      <c r="J16" s="150">
        <f>SUM(J13:J15)</f>
        <v>75965</v>
      </c>
      <c r="K16" s="151"/>
      <c r="L16" s="151"/>
    </row>
    <row r="17" spans="1:12" ht="15.6">
      <c r="A17" s="626" t="s">
        <v>194</v>
      </c>
      <c r="B17" s="627"/>
      <c r="C17" s="627"/>
      <c r="D17" s="627"/>
      <c r="E17" s="627"/>
      <c r="F17" s="627"/>
      <c r="G17" s="627"/>
      <c r="H17" s="627"/>
      <c r="I17" s="627"/>
      <c r="J17" s="628"/>
      <c r="K17" s="151"/>
      <c r="L17" s="151"/>
    </row>
    <row r="18" spans="1:12" ht="15.6">
      <c r="A18" s="147" t="s">
        <v>216</v>
      </c>
      <c r="B18" s="148" t="s">
        <v>217</v>
      </c>
      <c r="C18" s="149">
        <v>1235</v>
      </c>
      <c r="D18" s="149"/>
      <c r="E18" s="153">
        <v>2</v>
      </c>
      <c r="F18" s="149">
        <v>1.41</v>
      </c>
      <c r="G18" s="149">
        <v>2.6</v>
      </c>
      <c r="H18" s="150">
        <v>24401</v>
      </c>
      <c r="I18" s="149">
        <v>1</v>
      </c>
      <c r="J18" s="150">
        <f>H18*I18</f>
        <v>24401</v>
      </c>
      <c r="K18" s="151"/>
      <c r="L18" s="151"/>
    </row>
    <row r="19" spans="1:12" ht="15.6">
      <c r="A19" s="147" t="s">
        <v>218</v>
      </c>
      <c r="B19" s="154" t="s">
        <v>219</v>
      </c>
      <c r="C19" s="149">
        <v>3439</v>
      </c>
      <c r="D19" s="149"/>
      <c r="E19" s="153">
        <v>2</v>
      </c>
      <c r="F19" s="149">
        <v>1.41</v>
      </c>
      <c r="G19" s="149">
        <v>1.9</v>
      </c>
      <c r="H19" s="150">
        <v>17831</v>
      </c>
      <c r="I19" s="149">
        <v>1</v>
      </c>
      <c r="J19" s="150">
        <f>H19*I19</f>
        <v>17831</v>
      </c>
      <c r="K19" s="151"/>
      <c r="L19" s="151"/>
    </row>
    <row r="20" spans="1:12" ht="31.5" customHeight="1">
      <c r="A20" s="629" t="s">
        <v>220</v>
      </c>
      <c r="B20" s="630"/>
      <c r="C20" s="149"/>
      <c r="D20" s="149"/>
      <c r="E20" s="149"/>
      <c r="F20" s="149"/>
      <c r="G20" s="149"/>
      <c r="H20" s="150"/>
      <c r="I20" s="149">
        <f>SUM(I18:I19)</f>
        <v>2</v>
      </c>
      <c r="J20" s="150">
        <f>SUM(J18:J19)</f>
        <v>42232</v>
      </c>
      <c r="K20" s="151"/>
      <c r="L20" s="151"/>
    </row>
    <row r="21" spans="1:12" ht="15.6">
      <c r="A21" s="626" t="s">
        <v>199</v>
      </c>
      <c r="B21" s="627"/>
      <c r="C21" s="627"/>
      <c r="D21" s="627"/>
      <c r="E21" s="627"/>
      <c r="F21" s="627"/>
      <c r="G21" s="627"/>
      <c r="H21" s="627"/>
      <c r="I21" s="627"/>
      <c r="J21" s="628"/>
      <c r="K21" s="151"/>
      <c r="L21" s="151"/>
    </row>
    <row r="22" spans="1:12" ht="18.75" customHeight="1">
      <c r="A22" s="147" t="s">
        <v>134</v>
      </c>
      <c r="B22" s="148" t="s">
        <v>217</v>
      </c>
      <c r="C22" s="149">
        <v>1235</v>
      </c>
      <c r="D22" s="149"/>
      <c r="E22" s="153">
        <v>2</v>
      </c>
      <c r="F22" s="149">
        <v>1.41</v>
      </c>
      <c r="G22" s="149">
        <v>2.6</v>
      </c>
      <c r="H22" s="150">
        <v>24401</v>
      </c>
      <c r="I22" s="149">
        <v>1</v>
      </c>
      <c r="J22" s="150">
        <f>H22*I22</f>
        <v>24401</v>
      </c>
      <c r="K22" s="151"/>
      <c r="L22" s="151"/>
    </row>
    <row r="23" spans="1:12" ht="18.75" customHeight="1">
      <c r="A23" s="147" t="s">
        <v>158</v>
      </c>
      <c r="B23" s="154" t="s">
        <v>219</v>
      </c>
      <c r="C23" s="149">
        <v>3439</v>
      </c>
      <c r="D23" s="149"/>
      <c r="E23" s="153">
        <v>2</v>
      </c>
      <c r="F23" s="149">
        <v>1.41</v>
      </c>
      <c r="G23" s="149">
        <v>1.9</v>
      </c>
      <c r="H23" s="150">
        <v>17831</v>
      </c>
      <c r="I23" s="149">
        <v>19</v>
      </c>
      <c r="J23" s="150">
        <f t="shared" ref="J23" si="1">H23*I23</f>
        <v>338789</v>
      </c>
      <c r="K23" s="151"/>
      <c r="L23" s="151"/>
    </row>
    <row r="24" spans="1:12" ht="46.5" customHeight="1">
      <c r="A24" s="629" t="s">
        <v>221</v>
      </c>
      <c r="B24" s="630"/>
      <c r="C24" s="149"/>
      <c r="D24" s="149"/>
      <c r="E24" s="149"/>
      <c r="F24" s="149"/>
      <c r="G24" s="149"/>
      <c r="H24" s="150"/>
      <c r="I24" s="149">
        <f>SUM(I22:I23)</f>
        <v>20</v>
      </c>
      <c r="J24" s="150">
        <f>SUM(J22:J23)</f>
        <v>363190</v>
      </c>
      <c r="K24" s="151"/>
      <c r="L24" s="151"/>
    </row>
    <row r="25" spans="1:12" ht="15.6">
      <c r="A25" s="631" t="s">
        <v>222</v>
      </c>
      <c r="B25" s="632"/>
      <c r="C25" s="149" t="s">
        <v>223</v>
      </c>
      <c r="D25" s="149" t="s">
        <v>223</v>
      </c>
      <c r="E25" s="149" t="s">
        <v>223</v>
      </c>
      <c r="F25" s="149" t="s">
        <v>223</v>
      </c>
      <c r="G25" s="149" t="s">
        <v>223</v>
      </c>
      <c r="H25" s="149" t="s">
        <v>223</v>
      </c>
      <c r="I25" s="155">
        <f>I16+I20+I24</f>
        <v>25</v>
      </c>
      <c r="J25" s="156">
        <f>J16+J20+J24</f>
        <v>481387</v>
      </c>
      <c r="L25" s="157"/>
    </row>
    <row r="26" spans="1:12" ht="15.6">
      <c r="A26" s="158"/>
      <c r="B26" s="159"/>
      <c r="C26" s="158"/>
      <c r="D26" s="158"/>
      <c r="E26" s="158"/>
      <c r="F26" s="158"/>
      <c r="G26" s="158"/>
      <c r="H26" s="158"/>
      <c r="I26" s="160"/>
      <c r="J26" s="160"/>
    </row>
    <row r="27" spans="1:12" ht="15.6">
      <c r="A27" s="158"/>
      <c r="B27" s="159"/>
      <c r="C27" s="158"/>
      <c r="D27" s="158"/>
      <c r="E27" s="158"/>
      <c r="F27" s="158"/>
      <c r="G27" s="158"/>
      <c r="H27" s="158"/>
      <c r="I27" s="160"/>
      <c r="J27" s="160"/>
    </row>
    <row r="28" spans="1:12">
      <c r="A28" s="161"/>
    </row>
    <row r="29" spans="1:12" ht="15.6">
      <c r="B29" s="162" t="s">
        <v>261</v>
      </c>
      <c r="C29" s="163"/>
      <c r="D29" s="163"/>
      <c r="E29" s="163"/>
      <c r="F29" s="163"/>
      <c r="G29" s="163"/>
      <c r="H29" s="162" t="s">
        <v>262</v>
      </c>
    </row>
    <row r="30" spans="1:12" ht="15.6">
      <c r="B30" s="162"/>
      <c r="C30" s="163"/>
      <c r="D30" s="163"/>
      <c r="E30" s="163"/>
      <c r="F30" s="163"/>
      <c r="G30" s="163"/>
      <c r="H30" s="162"/>
    </row>
    <row r="31" spans="1:12">
      <c r="B31" s="163"/>
      <c r="C31" s="163"/>
      <c r="D31" s="163"/>
      <c r="E31" s="163"/>
      <c r="F31" s="163"/>
      <c r="G31" s="163"/>
      <c r="H31" s="163"/>
    </row>
    <row r="32" spans="1:12" ht="15.6">
      <c r="B32" s="162" t="s">
        <v>263</v>
      </c>
      <c r="C32" s="163"/>
      <c r="D32" s="163"/>
      <c r="E32" s="163"/>
      <c r="F32" s="163"/>
      <c r="G32" s="163"/>
      <c r="H32" s="162" t="s">
        <v>264</v>
      </c>
    </row>
    <row r="33" spans="2:8" ht="15.6">
      <c r="B33" s="164"/>
      <c r="H33" s="164"/>
    </row>
  </sheetData>
  <mergeCells count="20">
    <mergeCell ref="A3:J3"/>
    <mergeCell ref="A4:J4"/>
    <mergeCell ref="A5:J5"/>
    <mergeCell ref="A9:J9"/>
    <mergeCell ref="A10:A11"/>
    <mergeCell ref="B10:B11"/>
    <mergeCell ref="C10:C11"/>
    <mergeCell ref="D10:D11"/>
    <mergeCell ref="E10:G10"/>
    <mergeCell ref="H10:H11"/>
    <mergeCell ref="A21:J21"/>
    <mergeCell ref="A24:B24"/>
    <mergeCell ref="A25:B25"/>
    <mergeCell ref="A6:J6"/>
    <mergeCell ref="I10:I11"/>
    <mergeCell ref="J10:J11"/>
    <mergeCell ref="E13:G13"/>
    <mergeCell ref="A16:B16"/>
    <mergeCell ref="A17:J17"/>
    <mergeCell ref="A20:B20"/>
  </mergeCells>
  <pageMargins left="0.51181102362204722" right="0.31496062992125984" top="0.78740157480314965" bottom="0.74803149606299213" header="0.31496062992125984" footer="0.31496062992125984"/>
  <pageSetup paperSize="9" scale="79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7</vt:i4>
      </vt:variant>
    </vt:vector>
  </HeadingPairs>
  <TitlesOfParts>
    <vt:vector size="15" baseType="lpstr">
      <vt:lpstr>ФІН.ПЛАН 2026</vt:lpstr>
      <vt:lpstr>2 ФІНПЛАН откорег 2026</vt:lpstr>
      <vt:lpstr>ФП з 010726</vt:lpstr>
      <vt:lpstr>2.1 ЗМІНИ ДО ФІНПЛАНУ 2026</vt:lpstr>
      <vt:lpstr>розрахунок помісячний_2026</vt:lpstr>
      <vt:lpstr>розрахунок_2026</vt:lpstr>
      <vt:lpstr>ФОП_2026_25% </vt:lpstr>
      <vt:lpstr>штат_8230_2026</vt:lpstr>
      <vt:lpstr>'розрахунок помісячний_2026'!Заголовки_для_друку</vt:lpstr>
      <vt:lpstr>розрахунок_2026!Заголовки_для_друку</vt:lpstr>
      <vt:lpstr>'ФІН.ПЛАН 2026'!Заголовки_для_друку</vt:lpstr>
      <vt:lpstr>'розрахунок помісячний_2026'!Область_друку</vt:lpstr>
      <vt:lpstr>розрахунок_2026!Область_друку</vt:lpstr>
      <vt:lpstr>'ФІН.ПЛАН 2026'!Область_друку</vt:lpstr>
      <vt:lpstr>'ФОП_2026_25% '!Область_друку</vt:lpstr>
    </vt:vector>
  </TitlesOfParts>
  <Company>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2026-05-15T09:29:02Z</cp:lastPrinted>
  <dcterms:created xsi:type="dcterms:W3CDTF">2003-03-13T16:00:22Z</dcterms:created>
  <dcterms:modified xsi:type="dcterms:W3CDTF">2026-05-18T12:53:04Z</dcterms:modified>
</cp:coreProperties>
</file>