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31397FD0-52CF-49FF-B19D-343D927BCA55}" xr6:coauthVersionLast="47" xr6:coauthVersionMax="47" xr10:uidLastSave="{00000000-0000-0000-0000-000000000000}"/>
  <bookViews>
    <workbookView xWindow="-120" yWindow="-120" windowWidth="29040" windowHeight="15840" tabRatio="881" xr2:uid="{00000000-000D-0000-FFFF-FFFF00000000}"/>
  </bookViews>
  <sheets>
    <sheet name="2026 повний" sheetId="24" r:id="rId1"/>
    <sheet name="Аркуш2" sheetId="25" r:id="rId2"/>
  </sheets>
  <calcPr calcId="181029"/>
</workbook>
</file>

<file path=xl/calcChain.xml><?xml version="1.0" encoding="utf-8"?>
<calcChain xmlns="http://schemas.openxmlformats.org/spreadsheetml/2006/main">
  <c r="S55" i="24" l="1"/>
  <c r="P49" i="24"/>
  <c r="K40" i="24"/>
  <c r="M40" i="24" s="1"/>
  <c r="K39" i="24"/>
  <c r="M39" i="24" s="1"/>
  <c r="M50" i="24"/>
  <c r="K49" i="24"/>
  <c r="M49" i="24" s="1"/>
  <c r="K35" i="24"/>
  <c r="M35" i="24" s="1"/>
  <c r="M33" i="24" s="1"/>
  <c r="M44" i="24"/>
  <c r="M43" i="24"/>
  <c r="R36" i="24"/>
  <c r="S36" i="24" s="1"/>
  <c r="O44" i="24"/>
  <c r="P44" i="24" s="1"/>
  <c r="O43" i="24"/>
  <c r="R43" i="24" s="1"/>
  <c r="S43" i="24" s="1"/>
  <c r="O40" i="24"/>
  <c r="R40" i="24" s="1"/>
  <c r="S40" i="24" s="1"/>
  <c r="O39" i="24"/>
  <c r="P39" i="24" s="1"/>
  <c r="O36" i="24"/>
  <c r="P36" i="24" s="1"/>
  <c r="O35" i="24"/>
  <c r="R35" i="24" s="1"/>
  <c r="S35" i="24" s="1"/>
  <c r="J51" i="24"/>
  <c r="J50" i="24"/>
  <c r="J49" i="24"/>
  <c r="J44" i="24"/>
  <c r="J43" i="24"/>
  <c r="J40" i="24"/>
  <c r="J37" i="24" s="1"/>
  <c r="J39" i="24"/>
  <c r="J36" i="24"/>
  <c r="J35" i="24"/>
  <c r="M54" i="24"/>
  <c r="O51" i="24"/>
  <c r="P51" i="24" s="1"/>
  <c r="O50" i="24"/>
  <c r="P50" i="24" s="1"/>
  <c r="O49" i="24"/>
  <c r="R49" i="24" s="1"/>
  <c r="S49" i="24" s="1"/>
  <c r="S29" i="24"/>
  <c r="S28" i="24"/>
  <c r="S26" i="24"/>
  <c r="M30" i="24"/>
  <c r="P30" i="24" s="1"/>
  <c r="S30" i="24" s="1"/>
  <c r="M29" i="24"/>
  <c r="P29" i="24" s="1"/>
  <c r="M28" i="24"/>
  <c r="P28" i="24" s="1"/>
  <c r="R21" i="24"/>
  <c r="S21" i="24" s="1"/>
  <c r="R17" i="24"/>
  <c r="S17" i="24" s="1"/>
  <c r="S10" i="24"/>
  <c r="S11" i="24"/>
  <c r="S12" i="24"/>
  <c r="S13" i="24"/>
  <c r="S14" i="24"/>
  <c r="S15" i="24"/>
  <c r="S16" i="24"/>
  <c r="S18" i="24"/>
  <c r="S19" i="24"/>
  <c r="S20" i="24"/>
  <c r="S22" i="24"/>
  <c r="S23" i="24"/>
  <c r="S24" i="24"/>
  <c r="S9" i="24"/>
  <c r="O21" i="24"/>
  <c r="P21" i="24" s="1"/>
  <c r="P10" i="24"/>
  <c r="P11" i="24"/>
  <c r="P12" i="24"/>
  <c r="P13" i="24"/>
  <c r="P14" i="24"/>
  <c r="P15" i="24"/>
  <c r="P16" i="24"/>
  <c r="P17" i="24"/>
  <c r="P18" i="24"/>
  <c r="P19" i="24"/>
  <c r="P20" i="24"/>
  <c r="P22" i="24"/>
  <c r="P23" i="24"/>
  <c r="P24" i="24"/>
  <c r="P9" i="24"/>
  <c r="M10" i="24"/>
  <c r="M11" i="24"/>
  <c r="M12" i="24"/>
  <c r="M13" i="24"/>
  <c r="M14" i="24"/>
  <c r="M15" i="24"/>
  <c r="M16" i="24"/>
  <c r="M17" i="24"/>
  <c r="M18" i="24"/>
  <c r="M19" i="24"/>
  <c r="M20" i="24"/>
  <c r="M21" i="24"/>
  <c r="M22" i="24"/>
  <c r="M23" i="24"/>
  <c r="M24" i="24"/>
  <c r="M9" i="24"/>
  <c r="J41" i="24" l="1"/>
  <c r="M41" i="24"/>
  <c r="P35" i="24"/>
  <c r="R44" i="24"/>
  <c r="S44" i="24" s="1"/>
  <c r="P40" i="24"/>
  <c r="R39" i="24"/>
  <c r="S39" i="24" s="1"/>
  <c r="J47" i="24"/>
  <c r="J46" i="24" s="1"/>
  <c r="J45" i="24" s="1"/>
  <c r="P43" i="24"/>
  <c r="M37" i="24"/>
  <c r="M32" i="24"/>
  <c r="M47" i="24"/>
  <c r="M46" i="24" s="1"/>
  <c r="M45" i="24" s="1"/>
  <c r="R50" i="24"/>
  <c r="S50" i="24" s="1"/>
  <c r="R51" i="24"/>
  <c r="S51" i="24" s="1"/>
  <c r="I18" i="24"/>
  <c r="J18" i="24" s="1"/>
  <c r="J10" i="24"/>
  <c r="J11" i="24"/>
  <c r="J12" i="24"/>
  <c r="J13" i="24"/>
  <c r="J14" i="24"/>
  <c r="J15" i="24"/>
  <c r="J16" i="24"/>
  <c r="J17" i="24"/>
  <c r="J19" i="24"/>
  <c r="J20" i="24"/>
  <c r="J21" i="24"/>
  <c r="J22" i="24"/>
  <c r="J23" i="24"/>
  <c r="J24" i="24"/>
  <c r="J9" i="24"/>
  <c r="M31" i="24" l="1"/>
  <c r="J8" i="24"/>
  <c r="J7" i="24" s="1"/>
  <c r="J56" i="24" s="1"/>
  <c r="M8" i="24"/>
  <c r="M7" i="24" s="1"/>
  <c r="S8" i="24" l="1"/>
  <c r="S7" i="24" s="1"/>
  <c r="S37" i="24"/>
  <c r="P41" i="24"/>
  <c r="S41" i="24"/>
  <c r="S47" i="24"/>
  <c r="S46" i="24" s="1"/>
  <c r="S45" i="24" s="1"/>
  <c r="P37" i="24"/>
  <c r="P47" i="24"/>
  <c r="P46" i="24" s="1"/>
  <c r="P45" i="24" s="1"/>
  <c r="S33" i="24"/>
  <c r="P33" i="24"/>
  <c r="P8" i="24"/>
  <c r="P7" i="24" s="1"/>
  <c r="P32" i="24" l="1"/>
  <c r="P31" i="24" s="1"/>
  <c r="S32" i="24"/>
  <c r="S31" i="24" s="1"/>
  <c r="I27" i="24" l="1"/>
  <c r="J33" i="24" l="1"/>
  <c r="J32" i="24" l="1"/>
  <c r="J27" i="24"/>
  <c r="J26" i="24"/>
  <c r="M26" i="24" s="1"/>
  <c r="P26" i="24" s="1"/>
  <c r="J25" i="24" l="1"/>
  <c r="M25" i="24" l="1"/>
  <c r="M55" i="24" s="1"/>
  <c r="J31" i="24"/>
  <c r="J55" i="24" s="1"/>
  <c r="S25" i="24" l="1"/>
  <c r="P25" i="24"/>
  <c r="P55" i="24" s="1"/>
</calcChain>
</file>

<file path=xl/sharedStrings.xml><?xml version="1.0" encoding="utf-8"?>
<sst xmlns="http://schemas.openxmlformats.org/spreadsheetml/2006/main" count="131" uniqueCount="91">
  <si>
    <t>№ з/п</t>
  </si>
  <si>
    <t>КЕКВ</t>
  </si>
  <si>
    <t>Назва послуг,матеріалів,інше</t>
  </si>
  <si>
    <t>К-ть</t>
  </si>
  <si>
    <t>Ціна</t>
  </si>
  <si>
    <t>Сума</t>
  </si>
  <si>
    <t>Од.ви-міру</t>
  </si>
  <si>
    <t xml:space="preserve">ЗАГАЛЬНИЙ ФОНД </t>
  </si>
  <si>
    <t>(підпис)</t>
  </si>
  <si>
    <t>Оплата послуг (крім комунальних)</t>
  </si>
  <si>
    <t>Інтернет зв'язок (ТЕНЕТ) (с.Сичавка на 12 міс.)</t>
  </si>
  <si>
    <t xml:space="preserve">послуга </t>
  </si>
  <si>
    <t xml:space="preserve">Відшкодування вартості та оплата спожитих комунальних послуг та енергоносіїв: </t>
  </si>
  <si>
    <t>Відшкодування вартості теплопостачання :</t>
  </si>
  <si>
    <t xml:space="preserve">Теплопостачання </t>
  </si>
  <si>
    <t>Гкал</t>
  </si>
  <si>
    <t>місячна абонентська плата</t>
  </si>
  <si>
    <t>міс</t>
  </si>
  <si>
    <t>Відшкодування вартості водопостачання та водовідведення</t>
  </si>
  <si>
    <t>Оплата водопостачання</t>
  </si>
  <si>
    <r>
      <t>м</t>
    </r>
    <r>
      <rPr>
        <vertAlign val="superscript"/>
        <sz val="12"/>
        <rFont val="Times New Roman"/>
        <family val="1"/>
        <charset val="204"/>
      </rPr>
      <t xml:space="preserve"> 3</t>
    </r>
  </si>
  <si>
    <t>Оплата водовідведення</t>
  </si>
  <si>
    <t xml:space="preserve">Відшкодування  вартості електропостачання </t>
  </si>
  <si>
    <t>Електроенергія</t>
  </si>
  <si>
    <t>кВт</t>
  </si>
  <si>
    <t>Електроенергія розподіл</t>
  </si>
  <si>
    <t>Плата за абоненське обслуговування</t>
  </si>
  <si>
    <r>
      <t>м</t>
    </r>
    <r>
      <rPr>
        <vertAlign val="superscript"/>
        <sz val="12"/>
        <rFont val="Times New Roman"/>
        <family val="1"/>
        <charset val="204"/>
      </rPr>
      <t>3</t>
    </r>
  </si>
  <si>
    <t>Оплата інших енергоносіїв та інших комунальних послуг</t>
  </si>
  <si>
    <t>Послуги з поводження (вивезення та захоронення) з твердими побутовими відходами:</t>
  </si>
  <si>
    <t>Вивіз ТПВ КП "СПЕЦТРАНС"(70 контейнерів *0,77м3)</t>
  </si>
  <si>
    <t>Головний бухгалтер</t>
  </si>
  <si>
    <t>Тетяна РИБАКОВА</t>
  </si>
  <si>
    <t>Валентина БОРЩ</t>
  </si>
  <si>
    <t xml:space="preserve">Довідка щодо прогнозованої вартості послуг на 2026 рік </t>
  </si>
  <si>
    <t>Примірник ПЗ Fortinet FG-60F 1 Year Enterprise Protection</t>
  </si>
  <si>
    <t>шт</t>
  </si>
  <si>
    <t>Прогнозована ціна 
в 2026 році</t>
  </si>
  <si>
    <t>Ціна 
в 2025 році</t>
  </si>
  <si>
    <t>послуга</t>
  </si>
  <si>
    <t>Ірина ЛУГОВИХ</t>
  </si>
  <si>
    <t>Заступник генерального директора з економічних питань</t>
  </si>
  <si>
    <t>м.Південне</t>
  </si>
  <si>
    <t xml:space="preserve">Розрахунок </t>
  </si>
  <si>
    <t>Захоронення ТПВ КП "СПЕЦТРАНС" (70 контейнерів *0,77м3)</t>
  </si>
  <si>
    <t xml:space="preserve">           (ім'я, ПРІЗВИЩЕ)</t>
  </si>
  <si>
    <t>Затверджено на 2026 рік</t>
  </si>
  <si>
    <t>Антівірус (35 комп)</t>
  </si>
  <si>
    <t>ПЗ FortiGate (1 примірник, фактична вартість закупівлі в 2026 році 38000,00 грн)</t>
  </si>
  <si>
    <t>Відшкодування вартості спожитих комунальних послуг та енергоносіїв:</t>
  </si>
  <si>
    <t>Оплата комунальних послуг та енергоносіїв:</t>
  </si>
  <si>
    <t>Предмети, матеріали, обладнання та інвентар</t>
  </si>
  <si>
    <t>AUTOCAL (калібратор) 5-3 мл</t>
  </si>
  <si>
    <t>QWANTINORM контроль N 5* 5 мл</t>
  </si>
  <si>
    <t>QWANTINORM контроль Р</t>
  </si>
  <si>
    <t>НС розчинник (НС -Diluent) 20 л.</t>
  </si>
  <si>
    <t>НС лізуючий реагент безціанідний (НС -Lyze) 1 л.</t>
  </si>
  <si>
    <t>НС очищуючий розчин (НС-Cleaner) 1 л.</t>
  </si>
  <si>
    <t>17400/56 НС сильний очисник (на основі гіпохлориту для дезинфекції 
аналоізатора) 100 мл</t>
  </si>
  <si>
    <t>Холестерин FLCTFCH (4*250)</t>
  </si>
  <si>
    <t>Глюкоза GLF400  CH</t>
  </si>
  <si>
    <t>Азур по Май-Грюнвальду у флаконі 1 л</t>
  </si>
  <si>
    <t>Азур-Єозин по Романовскому у флаконі 1 л</t>
  </si>
  <si>
    <t>Кислота азотна ЧДА 1 л</t>
  </si>
  <si>
    <t>Натрій лимоннокислий 3-х замісний чда 100г</t>
  </si>
  <si>
    <t>Контрольна кров Пара 12 Естенд N (норма) (1*2,5 мл.)</t>
  </si>
  <si>
    <t xml:space="preserve">фл </t>
  </si>
  <si>
    <t>уп</t>
  </si>
  <si>
    <t>фл</t>
  </si>
  <si>
    <t>паков</t>
  </si>
  <si>
    <t>Медичне обладнання</t>
  </si>
  <si>
    <t>шт.</t>
  </si>
  <si>
    <t>УСЬОГО ЗА ПРОГРАМОЮ</t>
  </si>
  <si>
    <t>3.1.</t>
  </si>
  <si>
    <t>3.2.</t>
  </si>
  <si>
    <t>Генеральний директор КНП "ЦПМСД" ПМР</t>
  </si>
  <si>
    <t>до проекту програми розвитку та пібтримки первинної медико-санітарної допомоги Південнівської мвської територіальної громади на 2027-2029 роки</t>
  </si>
  <si>
    <t>Тест-смужки DIRUI H10 №100</t>
  </si>
  <si>
    <t>Розрахунок на 2027 рік
(рост- 108,9 %)</t>
  </si>
  <si>
    <t>Розрахунок на 2028 рік
(рост- 106,9 %)</t>
  </si>
  <si>
    <t>Розрахунок на 2029 рік
(рост- 105,1 %)</t>
  </si>
  <si>
    <t>Капітальні трансферти підприємствам (установам, організаціям)</t>
  </si>
  <si>
    <t>4.1.</t>
  </si>
  <si>
    <t>к-ть</t>
  </si>
  <si>
    <t>Реактиви для лабораторних досліджень (2026 рік за рахунок коштів НСЗУ, 2027,2028,2029 роки - за рахунок коштів місцевого бюджету)</t>
  </si>
  <si>
    <t>Метрологічні послуги (повірка, атестація, калібрування медичного обладнання) (за рахунок кошів місцевого бюджету)</t>
  </si>
  <si>
    <t>Постачання програмного забезпечення (ПЗ FortiGate, антівірус) (за рахунок коштів місцевого бюджету), в тому числі:</t>
  </si>
  <si>
    <t>Надання доступу до онлайн сервісів Helsi (2026 рік за рахунок коштів НСЗУ, 2027,2028,2029 роки - за рахунок коштів місцевого бюджету)</t>
  </si>
  <si>
    <t>Автоматичний зовнішній дефібрилятор (ціна в 2026 році -45000 грн за одиницю)</t>
  </si>
  <si>
    <t>Усього за рахунок коштів отриманих підприємством 
за договорами з НСЗУ</t>
  </si>
  <si>
    <t>17400/55 НС регулярний очисник (ферментний очищуючий розчин) 100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</si>
</sst>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5" fillId="0" borderId="0"/>
  </cellStyleXfs>
  <cellXfs count="342">
    <xf numFmtId="0" fontId="0" fillId="0" borderId="0" xfId="0"/>
    <xf numFmtId="0" fontId="0" fillId="0" borderId="1" xfId="0" applyBorder="1"/>
    <xf numFmtId="0" fontId="11" fillId="0" borderId="0" xfId="0" applyFont="1"/>
    <xf numFmtId="0" fontId="0" fillId="0" borderId="24" xfId="0" applyBorder="1"/>
    <xf numFmtId="2" fontId="0" fillId="0" borderId="24" xfId="0" applyNumberFormat="1" applyBorder="1" applyAlignment="1">
      <alignment horizontal="center"/>
    </xf>
    <xf numFmtId="2" fontId="6" fillId="0" borderId="17" xfId="0" applyNumberFormat="1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2" fontId="6" fillId="0" borderId="23" xfId="0" applyNumberFormat="1" applyFont="1" applyBorder="1" applyAlignment="1">
      <alignment horizontal="right" vertical="center"/>
    </xf>
    <xf numFmtId="164" fontId="6" fillId="0" borderId="19" xfId="0" applyNumberFormat="1" applyFont="1" applyBorder="1" applyAlignment="1">
      <alignment horizontal="right" vertical="center"/>
    </xf>
    <xf numFmtId="2" fontId="6" fillId="0" borderId="17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 vertical="center"/>
    </xf>
    <xf numFmtId="2" fontId="1" fillId="0" borderId="3" xfId="0" applyNumberFormat="1" applyFont="1" applyBorder="1" applyAlignment="1">
      <alignment horizontal="right" vertical="center"/>
    </xf>
    <xf numFmtId="2" fontId="12" fillId="0" borderId="10" xfId="0" applyNumberFormat="1" applyFont="1" applyBorder="1" applyAlignment="1">
      <alignment horizontal="right" vertical="center"/>
    </xf>
    <xf numFmtId="2" fontId="8" fillId="0" borderId="10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7" fillId="0" borderId="16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6" fillId="0" borderId="9" xfId="0" applyNumberFormat="1" applyFont="1" applyBorder="1" applyAlignment="1">
      <alignment horizontal="right" vertical="center"/>
    </xf>
    <xf numFmtId="2" fontId="7" fillId="0" borderId="17" xfId="0" applyNumberFormat="1" applyFont="1" applyBorder="1" applyAlignment="1">
      <alignment horizontal="right" vertical="center"/>
    </xf>
    <xf numFmtId="2" fontId="7" fillId="0" borderId="9" xfId="0" applyNumberFormat="1" applyFont="1" applyBorder="1" applyAlignment="1">
      <alignment horizontal="right" vertical="center"/>
    </xf>
    <xf numFmtId="164" fontId="7" fillId="0" borderId="9" xfId="0" applyNumberFormat="1" applyFont="1" applyBorder="1" applyAlignment="1">
      <alignment horizontal="right" vertical="center"/>
    </xf>
    <xf numFmtId="2" fontId="6" fillId="0" borderId="10" xfId="0" applyNumberFormat="1" applyFont="1" applyBorder="1" applyAlignment="1">
      <alignment horizontal="right" vertical="center"/>
    </xf>
    <xf numFmtId="2" fontId="6" fillId="0" borderId="3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2" fontId="7" fillId="0" borderId="14" xfId="0" applyNumberFormat="1" applyFont="1" applyBorder="1" applyAlignment="1">
      <alignment horizontal="right"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6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 vertical="center"/>
    </xf>
    <xf numFmtId="164" fontId="6" fillId="0" borderId="17" xfId="0" applyNumberFormat="1" applyFont="1" applyBorder="1" applyAlignment="1">
      <alignment horizontal="right" vertical="center"/>
    </xf>
    <xf numFmtId="164" fontId="7" fillId="0" borderId="17" xfId="0" applyNumberFormat="1" applyFont="1" applyBorder="1" applyAlignment="1">
      <alignment horizontal="right" vertical="center"/>
    </xf>
    <xf numFmtId="2" fontId="6" fillId="0" borderId="4" xfId="0" applyNumberFormat="1" applyFont="1" applyBorder="1" applyAlignment="1">
      <alignment horizontal="right" vertical="center"/>
    </xf>
    <xf numFmtId="164" fontId="6" fillId="0" borderId="23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 vertical="center"/>
    </xf>
    <xf numFmtId="2" fontId="12" fillId="0" borderId="3" xfId="0" applyNumberFormat="1" applyFont="1" applyBorder="1" applyAlignment="1">
      <alignment horizontal="right" vertical="center"/>
    </xf>
    <xf numFmtId="164" fontId="12" fillId="0" borderId="10" xfId="0" applyNumberFormat="1" applyFont="1" applyBorder="1" applyAlignment="1">
      <alignment horizontal="right" vertical="center"/>
    </xf>
    <xf numFmtId="164" fontId="3" fillId="0" borderId="10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2" fontId="3" fillId="0" borderId="10" xfId="0" applyNumberFormat="1" applyFont="1" applyBorder="1" applyAlignment="1">
      <alignment horizontal="right" vertical="center"/>
    </xf>
    <xf numFmtId="2" fontId="3" fillId="0" borderId="3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4" fontId="6" fillId="0" borderId="14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2" fontId="9" fillId="0" borderId="0" xfId="0" applyNumberFormat="1" applyFont="1" applyAlignment="1">
      <alignment horizontal="right" vertical="center"/>
    </xf>
    <xf numFmtId="2" fontId="9" fillId="0" borderId="32" xfId="0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14" fillId="0" borderId="10" xfId="0" applyNumberFormat="1" applyFont="1" applyBorder="1" applyAlignment="1">
      <alignment vertical="center"/>
    </xf>
    <xf numFmtId="2" fontId="14" fillId="0" borderId="3" xfId="0" applyNumberFormat="1" applyFont="1" applyBorder="1" applyAlignment="1">
      <alignment horizontal="right" vertical="center"/>
    </xf>
    <xf numFmtId="2" fontId="14" fillId="0" borderId="10" xfId="0" applyNumberFormat="1" applyFont="1" applyBorder="1" applyAlignment="1">
      <alignment horizontal="right" vertical="center"/>
    </xf>
    <xf numFmtId="2" fontId="14" fillId="0" borderId="15" xfId="0" applyNumberFormat="1" applyFont="1" applyBorder="1" applyAlignment="1">
      <alignment horizontal="right" vertical="center"/>
    </xf>
    <xf numFmtId="2" fontId="14" fillId="0" borderId="7" xfId="0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6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2" fontId="4" fillId="0" borderId="17" xfId="0" applyNumberFormat="1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right" vertical="center"/>
    </xf>
    <xf numFmtId="2" fontId="4" fillId="0" borderId="17" xfId="0" applyNumberFormat="1" applyFont="1" applyBorder="1" applyAlignment="1">
      <alignment horizontal="right" vertical="center"/>
    </xf>
    <xf numFmtId="0" fontId="6" fillId="0" borderId="6" xfId="1" applyFont="1" applyBorder="1"/>
    <xf numFmtId="0" fontId="6" fillId="0" borderId="26" xfId="1" applyFont="1" applyBorder="1"/>
    <xf numFmtId="0" fontId="4" fillId="0" borderId="6" xfId="0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20" xfId="0" applyNumberFormat="1" applyFont="1" applyBorder="1" applyAlignment="1">
      <alignment horizontal="right" vertical="center"/>
    </xf>
    <xf numFmtId="2" fontId="4" fillId="0" borderId="19" xfId="0" applyNumberFormat="1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2" fontId="5" fillId="0" borderId="20" xfId="0" applyNumberFormat="1" applyFont="1" applyBorder="1" applyAlignment="1">
      <alignment horizontal="right" vertical="center"/>
    </xf>
    <xf numFmtId="2" fontId="5" fillId="0" borderId="8" xfId="0" applyNumberFormat="1" applyFont="1" applyBorder="1" applyAlignment="1">
      <alignment horizontal="right" vertical="center"/>
    </xf>
    <xf numFmtId="2" fontId="9" fillId="0" borderId="8" xfId="0" applyNumberFormat="1" applyFont="1" applyBorder="1" applyAlignment="1">
      <alignment horizontal="right" vertical="center"/>
    </xf>
    <xf numFmtId="2" fontId="9" fillId="0" borderId="20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vertical="center"/>
    </xf>
    <xf numFmtId="2" fontId="2" fillId="0" borderId="14" xfId="0" applyNumberFormat="1" applyFont="1" applyBorder="1" applyAlignment="1">
      <alignment horizontal="right" vertical="center"/>
    </xf>
    <xf numFmtId="1" fontId="2" fillId="0" borderId="5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2" fillId="0" borderId="17" xfId="0" applyNumberFormat="1" applyFont="1" applyBorder="1" applyAlignment="1">
      <alignment vertical="center"/>
    </xf>
    <xf numFmtId="2" fontId="2" fillId="0" borderId="9" xfId="0" applyNumberFormat="1" applyFont="1" applyBorder="1" applyAlignment="1">
      <alignment horizontal="right" vertic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/>
    </xf>
    <xf numFmtId="2" fontId="13" fillId="0" borderId="6" xfId="0" applyNumberFormat="1" applyFont="1" applyBorder="1" applyAlignment="1">
      <alignment vertical="center"/>
    </xf>
    <xf numFmtId="2" fontId="13" fillId="0" borderId="19" xfId="0" applyNumberFormat="1" applyFont="1" applyBorder="1" applyAlignment="1">
      <alignment horizontal="right" vertical="center"/>
    </xf>
    <xf numFmtId="1" fontId="13" fillId="0" borderId="6" xfId="0" applyNumberFormat="1" applyFont="1" applyBorder="1" applyAlignment="1">
      <alignment horizontal="center" vertical="center"/>
    </xf>
    <xf numFmtId="2" fontId="14" fillId="0" borderId="6" xfId="0" applyNumberFormat="1" applyFont="1" applyBorder="1" applyAlignment="1">
      <alignment horizontal="right" vertical="center"/>
    </xf>
    <xf numFmtId="1" fontId="13" fillId="0" borderId="19" xfId="0" applyNumberFormat="1" applyFont="1" applyBorder="1" applyAlignment="1">
      <alignment horizontal="center" vertical="center"/>
    </xf>
    <xf numFmtId="2" fontId="14" fillId="0" borderId="19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2" fontId="4" fillId="0" borderId="0" xfId="0" applyNumberFormat="1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6" xfId="0" applyNumberFormat="1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64" fontId="8" fillId="0" borderId="17" xfId="0" applyNumberFormat="1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2" fontId="6" fillId="0" borderId="17" xfId="0" applyNumberFormat="1" applyFont="1" applyBorder="1" applyAlignment="1">
      <alignment vertical="center"/>
    </xf>
    <xf numFmtId="2" fontId="4" fillId="0" borderId="18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 applyProtection="1">
      <alignment vertical="center"/>
      <protection locked="0"/>
    </xf>
    <xf numFmtId="2" fontId="14" fillId="0" borderId="18" xfId="0" applyNumberFormat="1" applyFont="1" applyBorder="1" applyAlignment="1">
      <alignment horizontal="right" vertical="center"/>
    </xf>
    <xf numFmtId="0" fontId="8" fillId="0" borderId="17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/>
    </xf>
    <xf numFmtId="164" fontId="8" fillId="0" borderId="17" xfId="0" applyNumberFormat="1" applyFont="1" applyBorder="1" applyAlignment="1" applyProtection="1">
      <alignment vertical="center"/>
      <protection locked="0"/>
    </xf>
    <xf numFmtId="2" fontId="6" fillId="0" borderId="9" xfId="0" applyNumberFormat="1" applyFont="1" applyBorder="1" applyAlignment="1">
      <alignment horizontal="center" vertical="center"/>
    </xf>
    <xf numFmtId="164" fontId="6" fillId="0" borderId="17" xfId="0" applyNumberFormat="1" applyFont="1" applyBorder="1" applyAlignment="1">
      <alignment vertical="center"/>
    </xf>
    <xf numFmtId="164" fontId="7" fillId="0" borderId="17" xfId="0" applyNumberFormat="1" applyFont="1" applyBorder="1" applyAlignment="1">
      <alignment vertical="center"/>
    </xf>
    <xf numFmtId="164" fontId="6" fillId="0" borderId="17" xfId="0" applyNumberFormat="1" applyFont="1" applyBorder="1" applyAlignment="1" applyProtection="1">
      <alignment vertical="center"/>
      <protection locked="0"/>
    </xf>
    <xf numFmtId="0" fontId="6" fillId="0" borderId="23" xfId="0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164" fontId="6" fillId="0" borderId="23" xfId="0" applyNumberFormat="1" applyFont="1" applyBorder="1" applyAlignment="1" applyProtection="1">
      <alignment vertical="center"/>
      <protection locked="0"/>
    </xf>
    <xf numFmtId="2" fontId="4" fillId="0" borderId="22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0" xfId="0" applyFont="1" applyBorder="1"/>
    <xf numFmtId="2" fontId="4" fillId="0" borderId="2" xfId="0" applyNumberFormat="1" applyFont="1" applyBorder="1" applyAlignment="1">
      <alignment horizontal="right" vertical="center"/>
    </xf>
    <xf numFmtId="0" fontId="7" fillId="0" borderId="16" xfId="0" applyFont="1" applyBorder="1" applyAlignment="1">
      <alignment horizontal="center" vertical="center" wrapText="1"/>
    </xf>
    <xf numFmtId="2" fontId="7" fillId="0" borderId="21" xfId="0" applyNumberFormat="1" applyFont="1" applyBorder="1" applyAlignment="1">
      <alignment horizontal="right" vertical="center"/>
    </xf>
    <xf numFmtId="2" fontId="6" fillId="0" borderId="18" xfId="0" applyNumberFormat="1" applyFont="1" applyBorder="1" applyAlignment="1">
      <alignment horizontal="right" vertical="center"/>
    </xf>
    <xf numFmtId="2" fontId="6" fillId="0" borderId="17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2" fontId="4" fillId="0" borderId="15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/>
    <xf numFmtId="0" fontId="4" fillId="0" borderId="20" xfId="0" applyFont="1" applyBorder="1" applyAlignment="1">
      <alignment horizontal="center"/>
    </xf>
    <xf numFmtId="0" fontId="4" fillId="0" borderId="8" xfId="0" applyFont="1" applyBorder="1"/>
    <xf numFmtId="2" fontId="4" fillId="0" borderId="20" xfId="0" applyNumberFormat="1" applyFont="1" applyBorder="1"/>
    <xf numFmtId="0" fontId="4" fillId="0" borderId="2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1" fontId="4" fillId="0" borderId="0" xfId="0" applyNumberFormat="1" applyFont="1"/>
    <xf numFmtId="0" fontId="6" fillId="0" borderId="0" xfId="0" applyFont="1" applyAlignment="1">
      <alignment horizontal="center" vertic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6" fillId="0" borderId="18" xfId="1" applyFont="1" applyBorder="1" applyAlignment="1">
      <alignment horizontal="left"/>
    </xf>
    <xf numFmtId="0" fontId="6" fillId="0" borderId="9" xfId="1" applyFont="1" applyBorder="1" applyAlignment="1">
      <alignment horizontal="left"/>
    </xf>
    <xf numFmtId="0" fontId="4" fillId="0" borderId="1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8" xfId="1" applyFont="1" applyBorder="1" applyAlignment="1">
      <alignment horizontal="left" wrapText="1"/>
    </xf>
    <xf numFmtId="0" fontId="6" fillId="0" borderId="2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9" fillId="0" borderId="1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47" xfId="0" applyFont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54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left" vertical="center" wrapText="1"/>
    </xf>
    <xf numFmtId="0" fontId="9" fillId="0" borderId="5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0" fontId="6" fillId="0" borderId="37" xfId="0" applyFont="1" applyBorder="1" applyAlignment="1">
      <alignment horizontal="left" wrapText="1"/>
    </xf>
    <xf numFmtId="49" fontId="8" fillId="0" borderId="38" xfId="0" applyNumberFormat="1" applyFont="1" applyBorder="1" applyAlignment="1">
      <alignment horizontal="left" vertical="center" wrapText="1"/>
    </xf>
    <xf numFmtId="49" fontId="8" fillId="0" borderId="24" xfId="0" applyNumberFormat="1" applyFont="1" applyBorder="1" applyAlignment="1">
      <alignment horizontal="left" vertical="center" wrapText="1"/>
    </xf>
    <xf numFmtId="49" fontId="8" fillId="0" borderId="37" xfId="0" applyNumberFormat="1" applyFont="1" applyBorder="1" applyAlignment="1">
      <alignment horizontal="left" vertical="center" wrapText="1"/>
    </xf>
    <xf numFmtId="0" fontId="6" fillId="0" borderId="52" xfId="0" applyFont="1" applyBorder="1" applyAlignment="1">
      <alignment horizontal="left"/>
    </xf>
    <xf numFmtId="0" fontId="6" fillId="0" borderId="53" xfId="0" applyFont="1" applyBorder="1" applyAlignment="1">
      <alignment horizontal="left"/>
    </xf>
    <xf numFmtId="0" fontId="6" fillId="0" borderId="49" xfId="0" applyFont="1" applyBorder="1" applyAlignment="1">
      <alignment horizontal="left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6" fillId="0" borderId="9" xfId="1" applyFont="1" applyBorder="1" applyAlignment="1">
      <alignment horizontal="left" wrapText="1"/>
    </xf>
    <xf numFmtId="1" fontId="1" fillId="0" borderId="36" xfId="0" applyNumberFormat="1" applyFont="1" applyBorder="1" applyAlignment="1">
      <alignment horizontal="left" vertical="center"/>
    </xf>
    <xf numFmtId="1" fontId="1" fillId="0" borderId="37" xfId="0" applyNumberFormat="1" applyFont="1" applyBorder="1" applyAlignment="1">
      <alignment horizontal="left" vertical="center"/>
    </xf>
    <xf numFmtId="1" fontId="5" fillId="0" borderId="50" xfId="0" applyNumberFormat="1" applyFont="1" applyBorder="1" applyAlignment="1">
      <alignment horizontal="left" vertical="center"/>
    </xf>
    <xf numFmtId="1" fontId="5" fillId="0" borderId="51" xfId="0" applyNumberFormat="1" applyFont="1" applyBorder="1" applyAlignment="1">
      <alignment horizontal="left" vertical="center"/>
    </xf>
    <xf numFmtId="1" fontId="3" fillId="0" borderId="18" xfId="0" applyNumberFormat="1" applyFont="1" applyBorder="1" applyAlignment="1">
      <alignment horizontal="left" vertical="center"/>
    </xf>
    <xf numFmtId="1" fontId="3" fillId="0" borderId="9" xfId="0" applyNumberFormat="1" applyFont="1" applyBorder="1" applyAlignment="1">
      <alignment horizontal="left" vertical="center"/>
    </xf>
    <xf numFmtId="1" fontId="6" fillId="0" borderId="18" xfId="0" applyNumberFormat="1" applyFont="1" applyBorder="1" applyAlignment="1">
      <alignment horizontal="left" vertical="center"/>
    </xf>
    <xf numFmtId="1" fontId="6" fillId="0" borderId="9" xfId="0" applyNumberFormat="1" applyFont="1" applyBorder="1" applyAlignment="1">
      <alignment horizontal="left" vertical="center"/>
    </xf>
    <xf numFmtId="1" fontId="6" fillId="0" borderId="22" xfId="0" applyNumberFormat="1" applyFont="1" applyBorder="1" applyAlignment="1">
      <alignment horizontal="left" vertical="center"/>
    </xf>
    <xf numFmtId="1" fontId="6" fillId="0" borderId="4" xfId="0" applyNumberFormat="1" applyFont="1" applyBorder="1" applyAlignment="1">
      <alignment horizontal="left" vertical="center"/>
    </xf>
    <xf numFmtId="1" fontId="3" fillId="0" borderId="29" xfId="0" applyNumberFormat="1" applyFont="1" applyBorder="1" applyAlignment="1">
      <alignment horizontal="left" vertical="center"/>
    </xf>
    <xf numFmtId="1" fontId="3" fillId="0" borderId="14" xfId="0" applyNumberFormat="1" applyFont="1" applyBorder="1" applyAlignment="1">
      <alignment horizontal="left" vertical="center"/>
    </xf>
    <xf numFmtId="1" fontId="5" fillId="0" borderId="26" xfId="0" applyNumberFormat="1" applyFont="1" applyBorder="1" applyAlignment="1">
      <alignment horizontal="center" vertical="center"/>
    </xf>
    <xf numFmtId="1" fontId="5" fillId="0" borderId="19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42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49" fontId="7" fillId="0" borderId="41" xfId="0" applyNumberFormat="1" applyFont="1" applyBorder="1" applyAlignment="1">
      <alignment horizontal="left" vertical="center" wrapText="1"/>
    </xf>
    <xf numFmtId="49" fontId="7" fillId="0" borderId="39" xfId="0" applyNumberFormat="1" applyFont="1" applyBorder="1" applyAlignment="1">
      <alignment horizontal="left" vertical="center" wrapText="1"/>
    </xf>
    <xf numFmtId="49" fontId="7" fillId="0" borderId="40" xfId="0" applyNumberFormat="1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45" xfId="0" applyFont="1" applyBorder="1" applyAlignment="1">
      <alignment horizontal="left" wrapText="1"/>
    </xf>
    <xf numFmtId="0" fontId="7" fillId="0" borderId="38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37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wrapText="1"/>
    </xf>
    <xf numFmtId="0" fontId="7" fillId="0" borderId="42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44" xfId="0" applyFont="1" applyBorder="1" applyAlignment="1">
      <alignment horizontal="left" vertical="center" wrapText="1"/>
    </xf>
    <xf numFmtId="0" fontId="8" fillId="0" borderId="38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49" fontId="6" fillId="0" borderId="38" xfId="0" applyNumberFormat="1" applyFont="1" applyBorder="1" applyAlignment="1">
      <alignment horizontal="left" vertical="center" wrapText="1"/>
    </xf>
    <xf numFmtId="49" fontId="6" fillId="0" borderId="24" xfId="0" applyNumberFormat="1" applyFont="1" applyBorder="1" applyAlignment="1">
      <alignment horizontal="left" vertical="center" wrapText="1"/>
    </xf>
    <xf numFmtId="49" fontId="6" fillId="0" borderId="37" xfId="0" applyNumberFormat="1" applyFont="1" applyBorder="1" applyAlignment="1">
      <alignment horizontal="left" vertical="center" wrapText="1"/>
    </xf>
    <xf numFmtId="49" fontId="7" fillId="0" borderId="38" xfId="0" applyNumberFormat="1" applyFont="1" applyBorder="1" applyAlignment="1">
      <alignment horizontal="left" wrapText="1"/>
    </xf>
    <xf numFmtId="49" fontId="7" fillId="0" borderId="24" xfId="0" applyNumberFormat="1" applyFont="1" applyBorder="1" applyAlignment="1">
      <alignment horizontal="left" wrapText="1"/>
    </xf>
    <xf numFmtId="49" fontId="7" fillId="0" borderId="37" xfId="0" applyNumberFormat="1" applyFont="1" applyBorder="1" applyAlignment="1">
      <alignment horizontal="left" wrapText="1"/>
    </xf>
    <xf numFmtId="0" fontId="7" fillId="0" borderId="38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0" fontId="7" fillId="0" borderId="37" xfId="0" applyFont="1" applyBorder="1" applyAlignment="1">
      <alignment horizontal="left" wrapText="1"/>
    </xf>
    <xf numFmtId="0" fontId="6" fillId="0" borderId="38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37" xfId="0" applyFont="1" applyBorder="1" applyAlignment="1">
      <alignment horizontal="left"/>
    </xf>
    <xf numFmtId="0" fontId="7" fillId="0" borderId="1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0" xfId="0" applyFont="1" applyBorder="1" applyAlignment="1">
      <alignment horizontal="left" wrapText="1"/>
    </xf>
    <xf numFmtId="0" fontId="4" fillId="0" borderId="20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1" fontId="3" fillId="0" borderId="26" xfId="0" applyNumberFormat="1" applyFont="1" applyBorder="1" applyAlignment="1">
      <alignment horizontal="left" vertical="center"/>
    </xf>
    <xf numFmtId="1" fontId="3" fillId="0" borderId="19" xfId="0" applyNumberFormat="1" applyFont="1" applyBorder="1" applyAlignment="1">
      <alignment horizontal="left" vertical="center"/>
    </xf>
    <xf numFmtId="1" fontId="1" fillId="0" borderId="33" xfId="0" applyNumberFormat="1" applyFont="1" applyBorder="1" applyAlignment="1">
      <alignment horizontal="left" vertical="center"/>
    </xf>
    <xf numFmtId="1" fontId="1" fillId="0" borderId="44" xfId="0" applyNumberFormat="1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left" vertical="center"/>
    </xf>
    <xf numFmtId="1" fontId="1" fillId="0" borderId="3" xfId="0" applyNumberFormat="1" applyFont="1" applyBorder="1" applyAlignment="1">
      <alignment horizontal="left" vertical="center"/>
    </xf>
    <xf numFmtId="1" fontId="7" fillId="0" borderId="21" xfId="0" applyNumberFormat="1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 vertical="center"/>
    </xf>
    <xf numFmtId="1" fontId="7" fillId="0" borderId="18" xfId="0" applyNumberFormat="1" applyFont="1" applyBorder="1" applyAlignment="1">
      <alignment horizontal="left" vertical="center"/>
    </xf>
    <xf numFmtId="1" fontId="7" fillId="0" borderId="9" xfId="0" applyNumberFormat="1" applyFont="1" applyBorder="1" applyAlignment="1">
      <alignment horizontal="left" vertical="center"/>
    </xf>
    <xf numFmtId="1" fontId="3" fillId="0" borderId="2" xfId="0" applyNumberFormat="1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4" xfId="0" applyFont="1" applyBorder="1"/>
    <xf numFmtId="0" fontId="4" fillId="0" borderId="24" xfId="0" applyFont="1" applyBorder="1" applyAlignment="1">
      <alignment horizontal="center" vertical="center"/>
    </xf>
  </cellXfs>
  <cellStyles count="2">
    <cellStyle name="Звичайний" xfId="0" builtinId="0"/>
    <cellStyle name="Обычный 2" xfId="1" xr:uid="{A9156188-06C7-46D6-BAAC-6FBD3479C74B}"/>
  </cellStyles>
  <dxfs count="1">
    <dxf>
      <fill>
        <patternFill>
          <bgColor theme="0"/>
        </patternFill>
      </fill>
    </dxf>
  </dxfs>
  <tableStyles count="0" defaultTableStyle="TableStyleMedium9" defaultPivotStyle="PivotStyleLight16"/>
  <colors>
    <mruColors>
      <color rgb="FF99FF66"/>
      <color rgb="FF99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4125-C6DD-4AB2-A9C2-B92CAB2BA072}">
  <dimension ref="A1:U63"/>
  <sheetViews>
    <sheetView tabSelected="1" topLeftCell="A7" workbookViewId="0">
      <selection activeCell="R28" sqref="R28:R30"/>
    </sheetView>
  </sheetViews>
  <sheetFormatPr defaultRowHeight="15.75" x14ac:dyDescent="0.25"/>
  <cols>
    <col min="1" max="1" width="3.140625" style="45" customWidth="1"/>
    <col min="2" max="2" width="3.7109375" style="45" customWidth="1"/>
    <col min="3" max="3" width="7.28515625" style="46" customWidth="1"/>
    <col min="4" max="4" width="36.140625" style="45" customWidth="1"/>
    <col min="5" max="5" width="10.42578125" style="45" customWidth="1"/>
    <col min="6" max="6" width="22.42578125" style="45" customWidth="1"/>
    <col min="7" max="7" width="11" style="45" customWidth="1"/>
    <col min="8" max="8" width="10" style="195" customWidth="1"/>
    <col min="9" max="9" width="11.28515625" style="45" customWidth="1"/>
    <col min="10" max="10" width="14.28515625" style="45" customWidth="1"/>
    <col min="11" max="11" width="9.7109375" style="45" customWidth="1"/>
    <col min="12" max="12" width="11.42578125" style="45" customWidth="1"/>
    <col min="13" max="13" width="11.7109375" style="45" customWidth="1"/>
    <col min="14" max="14" width="9.85546875" style="45" customWidth="1"/>
    <col min="15" max="15" width="11.140625" style="45" customWidth="1"/>
    <col min="16" max="16" width="13.28515625" style="45" customWidth="1"/>
    <col min="17" max="17" width="10" style="45" customWidth="1"/>
    <col min="18" max="18" width="11" style="45" customWidth="1"/>
    <col min="19" max="19" width="14.28515625" style="45" customWidth="1"/>
    <col min="20" max="20" width="9.140625" style="45"/>
    <col min="21" max="21" width="9.5703125" style="45" bestFit="1" customWidth="1"/>
    <col min="22" max="16384" width="9.140625" style="45"/>
  </cols>
  <sheetData>
    <row r="1" spans="1:19" s="47" customFormat="1" ht="18.75" customHeight="1" x14ac:dyDescent="0.25">
      <c r="A1" s="200" t="s">
        <v>43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</row>
    <row r="2" spans="1:19" s="47" customFormat="1" ht="16.5" thickBot="1" x14ac:dyDescent="0.3">
      <c r="A2" s="200" t="s">
        <v>76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</row>
    <row r="3" spans="1:19" ht="40.5" customHeight="1" thickBot="1" x14ac:dyDescent="0.3">
      <c r="A3" s="48"/>
      <c r="B3" s="49"/>
      <c r="C3" s="49"/>
      <c r="D3" s="49"/>
      <c r="E3" s="49"/>
      <c r="F3" s="49"/>
      <c r="G3" s="49"/>
      <c r="H3" s="49"/>
      <c r="I3" s="49"/>
      <c r="J3" s="48" t="s">
        <v>46</v>
      </c>
      <c r="K3" s="324" t="s">
        <v>78</v>
      </c>
      <c r="L3" s="325"/>
      <c r="M3" s="325"/>
      <c r="N3" s="324" t="s">
        <v>79</v>
      </c>
      <c r="O3" s="325"/>
      <c r="P3" s="326"/>
      <c r="Q3" s="325" t="s">
        <v>80</v>
      </c>
      <c r="R3" s="325"/>
      <c r="S3" s="326"/>
    </row>
    <row r="4" spans="1:19" ht="16.5" thickBot="1" x14ac:dyDescent="0.3">
      <c r="A4" s="227" t="s">
        <v>7</v>
      </c>
      <c r="B4" s="228"/>
      <c r="C4" s="228"/>
      <c r="D4" s="228"/>
      <c r="E4" s="228"/>
      <c r="F4" s="228"/>
      <c r="G4" s="228"/>
      <c r="H4" s="228"/>
      <c r="I4" s="228"/>
      <c r="J4" s="228"/>
      <c r="K4" s="229"/>
      <c r="L4" s="229"/>
      <c r="M4" s="229"/>
      <c r="N4" s="229"/>
      <c r="O4" s="229"/>
      <c r="P4" s="229"/>
      <c r="Q4" s="229"/>
      <c r="R4" s="229"/>
      <c r="S4" s="230"/>
    </row>
    <row r="5" spans="1:19" s="46" customFormat="1" ht="22.5" customHeight="1" x14ac:dyDescent="0.25">
      <c r="A5" s="205" t="s">
        <v>0</v>
      </c>
      <c r="B5" s="206"/>
      <c r="C5" s="241" t="s">
        <v>1</v>
      </c>
      <c r="D5" s="206" t="s">
        <v>2</v>
      </c>
      <c r="E5" s="206"/>
      <c r="F5" s="206"/>
      <c r="G5" s="243" t="s">
        <v>6</v>
      </c>
      <c r="H5" s="233" t="s">
        <v>3</v>
      </c>
      <c r="I5" s="231" t="s">
        <v>4</v>
      </c>
      <c r="J5" s="239" t="s">
        <v>5</v>
      </c>
      <c r="K5" s="322" t="s">
        <v>83</v>
      </c>
      <c r="L5" s="233" t="s">
        <v>4</v>
      </c>
      <c r="M5" s="231" t="s">
        <v>5</v>
      </c>
      <c r="N5" s="239" t="s">
        <v>3</v>
      </c>
      <c r="O5" s="231" t="s">
        <v>4</v>
      </c>
      <c r="P5" s="233" t="s">
        <v>5</v>
      </c>
      <c r="Q5" s="322" t="s">
        <v>3</v>
      </c>
      <c r="R5" s="233" t="s">
        <v>4</v>
      </c>
      <c r="S5" s="231" t="s">
        <v>5</v>
      </c>
    </row>
    <row r="6" spans="1:19" s="46" customFormat="1" ht="13.5" customHeight="1" thickBot="1" x14ac:dyDescent="0.3">
      <c r="A6" s="246"/>
      <c r="B6" s="245"/>
      <c r="C6" s="242"/>
      <c r="D6" s="245"/>
      <c r="E6" s="245"/>
      <c r="F6" s="245"/>
      <c r="G6" s="244"/>
      <c r="H6" s="234"/>
      <c r="I6" s="232"/>
      <c r="J6" s="240"/>
      <c r="K6" s="323"/>
      <c r="L6" s="234"/>
      <c r="M6" s="232"/>
      <c r="N6" s="240"/>
      <c r="O6" s="232"/>
      <c r="P6" s="234"/>
      <c r="Q6" s="323"/>
      <c r="R6" s="234"/>
      <c r="S6" s="232"/>
    </row>
    <row r="7" spans="1:19" s="60" customFormat="1" ht="19.5" customHeight="1" thickBot="1" x14ac:dyDescent="0.3">
      <c r="A7" s="247">
        <v>1</v>
      </c>
      <c r="B7" s="248"/>
      <c r="C7" s="58"/>
      <c r="D7" s="224" t="s">
        <v>51</v>
      </c>
      <c r="E7" s="225"/>
      <c r="F7" s="226"/>
      <c r="G7" s="59"/>
      <c r="I7" s="61"/>
      <c r="J7" s="62">
        <f>J8</f>
        <v>210992.18000000005</v>
      </c>
      <c r="K7" s="63"/>
      <c r="L7" s="62"/>
      <c r="M7" s="63">
        <f t="shared" ref="M7:S7" si="0">M8</f>
        <v>229769.99999999997</v>
      </c>
      <c r="N7" s="62"/>
      <c r="O7" s="63"/>
      <c r="P7" s="62">
        <f t="shared" si="0"/>
        <v>245623.99499999997</v>
      </c>
      <c r="Q7" s="63"/>
      <c r="R7" s="62"/>
      <c r="S7" s="63">
        <f t="shared" si="0"/>
        <v>258151</v>
      </c>
    </row>
    <row r="8" spans="1:19" s="72" customFormat="1" ht="32.25" customHeight="1" thickBot="1" x14ac:dyDescent="0.3">
      <c r="A8" s="235"/>
      <c r="B8" s="236"/>
      <c r="C8" s="64"/>
      <c r="D8" s="210" t="s">
        <v>84</v>
      </c>
      <c r="E8" s="211"/>
      <c r="F8" s="211"/>
      <c r="G8" s="65"/>
      <c r="H8" s="66"/>
      <c r="I8" s="67"/>
      <c r="J8" s="68">
        <f>SUM(J9:J24)</f>
        <v>210992.18000000005</v>
      </c>
      <c r="K8" s="69"/>
      <c r="L8" s="70"/>
      <c r="M8" s="71">
        <f>SUM(M9:M24)</f>
        <v>229769.99999999997</v>
      </c>
      <c r="N8" s="68"/>
      <c r="O8" s="71"/>
      <c r="P8" s="70">
        <f t="shared" ref="P8:S8" si="1">SUM(P9:P24)</f>
        <v>245623.99499999997</v>
      </c>
      <c r="Q8" s="69"/>
      <c r="R8" s="70"/>
      <c r="S8" s="71">
        <f t="shared" si="1"/>
        <v>258151</v>
      </c>
    </row>
    <row r="9" spans="1:19" s="46" customFormat="1" x14ac:dyDescent="0.25">
      <c r="A9" s="237"/>
      <c r="B9" s="238"/>
      <c r="C9" s="73"/>
      <c r="D9" s="213" t="s">
        <v>52</v>
      </c>
      <c r="E9" s="214"/>
      <c r="F9" s="214"/>
      <c r="G9" s="74" t="s">
        <v>66</v>
      </c>
      <c r="H9" s="75">
        <v>2</v>
      </c>
      <c r="I9" s="76">
        <v>6614.4</v>
      </c>
      <c r="J9" s="77">
        <f>H9*I9</f>
        <v>13228.8</v>
      </c>
      <c r="K9" s="78">
        <v>2</v>
      </c>
      <c r="L9" s="79">
        <v>7203.08</v>
      </c>
      <c r="M9" s="80">
        <f>H9*L9</f>
        <v>14406.16</v>
      </c>
      <c r="N9" s="75">
        <v>2</v>
      </c>
      <c r="O9" s="80">
        <v>7700.09</v>
      </c>
      <c r="P9" s="79">
        <f>O9*H9</f>
        <v>15400.18</v>
      </c>
      <c r="Q9" s="78">
        <v>2</v>
      </c>
      <c r="R9" s="79">
        <v>8092.79</v>
      </c>
      <c r="S9" s="80">
        <f>R9*H9</f>
        <v>16185.58</v>
      </c>
    </row>
    <row r="10" spans="1:19" s="46" customFormat="1" x14ac:dyDescent="0.25">
      <c r="A10" s="201"/>
      <c r="B10" s="202"/>
      <c r="C10" s="81"/>
      <c r="D10" s="208" t="s">
        <v>53</v>
      </c>
      <c r="E10" s="209"/>
      <c r="F10" s="209"/>
      <c r="G10" s="82" t="s">
        <v>66</v>
      </c>
      <c r="H10" s="83">
        <v>3</v>
      </c>
      <c r="I10" s="84">
        <v>6801.6</v>
      </c>
      <c r="J10" s="77">
        <f t="shared" ref="J10:J24" si="2">H10*I10</f>
        <v>20404.800000000003</v>
      </c>
      <c r="K10" s="85">
        <v>3</v>
      </c>
      <c r="L10" s="86">
        <v>7406.94</v>
      </c>
      <c r="M10" s="87">
        <f t="shared" ref="M10:M24" si="3">H10*L10</f>
        <v>22220.82</v>
      </c>
      <c r="N10" s="83">
        <v>3</v>
      </c>
      <c r="O10" s="87">
        <v>7918.02</v>
      </c>
      <c r="P10" s="86">
        <f t="shared" ref="P10:P24" si="4">O10*H10</f>
        <v>23754.06</v>
      </c>
      <c r="Q10" s="85">
        <v>3</v>
      </c>
      <c r="R10" s="86">
        <v>8321.84</v>
      </c>
      <c r="S10" s="87">
        <f t="shared" ref="S10:S24" si="5">R10*H10</f>
        <v>24965.52</v>
      </c>
    </row>
    <row r="11" spans="1:19" s="46" customFormat="1" x14ac:dyDescent="0.25">
      <c r="A11" s="201"/>
      <c r="B11" s="202"/>
      <c r="C11" s="81"/>
      <c r="D11" s="208" t="s">
        <v>54</v>
      </c>
      <c r="E11" s="209"/>
      <c r="F11" s="209"/>
      <c r="G11" s="82" t="s">
        <v>66</v>
      </c>
      <c r="H11" s="83">
        <v>2</v>
      </c>
      <c r="I11" s="84">
        <v>6801.5</v>
      </c>
      <c r="J11" s="77">
        <f t="shared" si="2"/>
        <v>13603</v>
      </c>
      <c r="K11" s="85">
        <v>2</v>
      </c>
      <c r="L11" s="86">
        <v>7406.83</v>
      </c>
      <c r="M11" s="87">
        <f t="shared" si="3"/>
        <v>14813.66</v>
      </c>
      <c r="N11" s="83">
        <v>2</v>
      </c>
      <c r="O11" s="87">
        <v>7917.9</v>
      </c>
      <c r="P11" s="86">
        <f t="shared" si="4"/>
        <v>15835.8</v>
      </c>
      <c r="Q11" s="85">
        <v>2</v>
      </c>
      <c r="R11" s="86">
        <v>8321.7099999999991</v>
      </c>
      <c r="S11" s="87">
        <f t="shared" si="5"/>
        <v>16643.419999999998</v>
      </c>
    </row>
    <row r="12" spans="1:19" s="46" customFormat="1" x14ac:dyDescent="0.25">
      <c r="A12" s="201"/>
      <c r="B12" s="202"/>
      <c r="C12" s="81"/>
      <c r="D12" s="203" t="s">
        <v>55</v>
      </c>
      <c r="E12" s="204"/>
      <c r="F12" s="204"/>
      <c r="G12" s="82" t="s">
        <v>36</v>
      </c>
      <c r="H12" s="83">
        <v>6</v>
      </c>
      <c r="I12" s="84">
        <v>6423.21</v>
      </c>
      <c r="J12" s="77">
        <f t="shared" si="2"/>
        <v>38539.26</v>
      </c>
      <c r="K12" s="85">
        <v>6</v>
      </c>
      <c r="L12" s="86">
        <v>6994.88</v>
      </c>
      <c r="M12" s="87">
        <f t="shared" si="3"/>
        <v>41969.279999999999</v>
      </c>
      <c r="N12" s="83">
        <v>6</v>
      </c>
      <c r="O12" s="87">
        <v>7477.53</v>
      </c>
      <c r="P12" s="86">
        <f t="shared" si="4"/>
        <v>44865.18</v>
      </c>
      <c r="Q12" s="85">
        <v>6</v>
      </c>
      <c r="R12" s="86">
        <v>7858.88</v>
      </c>
      <c r="S12" s="87">
        <f t="shared" si="5"/>
        <v>47153.279999999999</v>
      </c>
    </row>
    <row r="13" spans="1:19" s="46" customFormat="1" x14ac:dyDescent="0.25">
      <c r="A13" s="201"/>
      <c r="B13" s="202"/>
      <c r="C13" s="81"/>
      <c r="D13" s="203" t="s">
        <v>56</v>
      </c>
      <c r="E13" s="204"/>
      <c r="F13" s="204"/>
      <c r="G13" s="82" t="s">
        <v>36</v>
      </c>
      <c r="H13" s="83">
        <v>5</v>
      </c>
      <c r="I13" s="84">
        <v>14550.93</v>
      </c>
      <c r="J13" s="77">
        <f t="shared" si="2"/>
        <v>72754.649999999994</v>
      </c>
      <c r="K13" s="85">
        <v>5</v>
      </c>
      <c r="L13" s="86">
        <v>15845.96</v>
      </c>
      <c r="M13" s="87">
        <f t="shared" si="3"/>
        <v>79229.799999999988</v>
      </c>
      <c r="N13" s="83">
        <v>5</v>
      </c>
      <c r="O13" s="87">
        <v>16939.330000000002</v>
      </c>
      <c r="P13" s="86">
        <f t="shared" si="4"/>
        <v>84696.650000000009</v>
      </c>
      <c r="Q13" s="85">
        <v>5</v>
      </c>
      <c r="R13" s="86">
        <v>17803.240000000002</v>
      </c>
      <c r="S13" s="87">
        <f t="shared" si="5"/>
        <v>89016.200000000012</v>
      </c>
    </row>
    <row r="14" spans="1:19" s="46" customFormat="1" x14ac:dyDescent="0.25">
      <c r="A14" s="201"/>
      <c r="B14" s="202"/>
      <c r="C14" s="81"/>
      <c r="D14" s="203" t="s">
        <v>57</v>
      </c>
      <c r="E14" s="204"/>
      <c r="F14" s="204"/>
      <c r="G14" s="82" t="s">
        <v>36</v>
      </c>
      <c r="H14" s="83">
        <v>4</v>
      </c>
      <c r="I14" s="84">
        <v>2243.79</v>
      </c>
      <c r="J14" s="77">
        <f t="shared" si="2"/>
        <v>8975.16</v>
      </c>
      <c r="K14" s="85">
        <v>4</v>
      </c>
      <c r="L14" s="86">
        <v>2443.4899999999998</v>
      </c>
      <c r="M14" s="87">
        <f t="shared" si="3"/>
        <v>9773.9599999999991</v>
      </c>
      <c r="N14" s="83">
        <v>4</v>
      </c>
      <c r="O14" s="87">
        <v>2612.09</v>
      </c>
      <c r="P14" s="86">
        <f t="shared" si="4"/>
        <v>10448.36</v>
      </c>
      <c r="Q14" s="85">
        <v>4</v>
      </c>
      <c r="R14" s="86">
        <v>2745.31</v>
      </c>
      <c r="S14" s="87">
        <f t="shared" si="5"/>
        <v>10981.24</v>
      </c>
    </row>
    <row r="15" spans="1:19" s="46" customFormat="1" ht="31.5" customHeight="1" x14ac:dyDescent="0.25">
      <c r="A15" s="201"/>
      <c r="B15" s="202"/>
      <c r="C15" s="81"/>
      <c r="D15" s="212" t="s">
        <v>90</v>
      </c>
      <c r="E15" s="204"/>
      <c r="F15" s="204"/>
      <c r="G15" s="82" t="s">
        <v>36</v>
      </c>
      <c r="H15" s="83">
        <v>3</v>
      </c>
      <c r="I15" s="84">
        <v>902.01</v>
      </c>
      <c r="J15" s="77">
        <f t="shared" si="2"/>
        <v>2706.0299999999997</v>
      </c>
      <c r="K15" s="85">
        <v>3</v>
      </c>
      <c r="L15" s="86">
        <v>982.29</v>
      </c>
      <c r="M15" s="87">
        <f t="shared" si="3"/>
        <v>2946.87</v>
      </c>
      <c r="N15" s="83">
        <v>3</v>
      </c>
      <c r="O15" s="87">
        <v>1050.07</v>
      </c>
      <c r="P15" s="86">
        <f t="shared" si="4"/>
        <v>3150.21</v>
      </c>
      <c r="Q15" s="85">
        <v>3</v>
      </c>
      <c r="R15" s="86">
        <v>1103.6199999999999</v>
      </c>
      <c r="S15" s="87">
        <f t="shared" si="5"/>
        <v>3310.8599999999997</v>
      </c>
    </row>
    <row r="16" spans="1:19" s="46" customFormat="1" ht="31.5" customHeight="1" x14ac:dyDescent="0.25">
      <c r="A16" s="201"/>
      <c r="B16" s="202"/>
      <c r="C16" s="81"/>
      <c r="D16" s="212" t="s">
        <v>58</v>
      </c>
      <c r="E16" s="263"/>
      <c r="F16" s="263"/>
      <c r="G16" s="82" t="s">
        <v>36</v>
      </c>
      <c r="H16" s="83">
        <v>1</v>
      </c>
      <c r="I16" s="84">
        <v>902.01</v>
      </c>
      <c r="J16" s="77">
        <f t="shared" si="2"/>
        <v>902.01</v>
      </c>
      <c r="K16" s="85">
        <v>1</v>
      </c>
      <c r="L16" s="86">
        <v>982.29</v>
      </c>
      <c r="M16" s="87">
        <f t="shared" si="3"/>
        <v>982.29</v>
      </c>
      <c r="N16" s="83">
        <v>1</v>
      </c>
      <c r="O16" s="87">
        <v>1050.07</v>
      </c>
      <c r="P16" s="86">
        <f t="shared" si="4"/>
        <v>1050.07</v>
      </c>
      <c r="Q16" s="85">
        <v>1</v>
      </c>
      <c r="R16" s="86">
        <v>1103.6199999999999</v>
      </c>
      <c r="S16" s="87">
        <f t="shared" si="5"/>
        <v>1103.6199999999999</v>
      </c>
    </row>
    <row r="17" spans="1:21" s="46" customFormat="1" x14ac:dyDescent="0.25">
      <c r="A17" s="201"/>
      <c r="B17" s="202"/>
      <c r="C17" s="81"/>
      <c r="D17" s="208" t="s">
        <v>77</v>
      </c>
      <c r="E17" s="209"/>
      <c r="F17" s="209"/>
      <c r="G17" s="82" t="s">
        <v>67</v>
      </c>
      <c r="H17" s="83">
        <v>10</v>
      </c>
      <c r="I17" s="84">
        <v>700</v>
      </c>
      <c r="J17" s="77">
        <f t="shared" si="2"/>
        <v>7000</v>
      </c>
      <c r="K17" s="85">
        <v>10</v>
      </c>
      <c r="L17" s="86">
        <v>762.3</v>
      </c>
      <c r="M17" s="87">
        <f t="shared" si="3"/>
        <v>7623</v>
      </c>
      <c r="N17" s="83">
        <v>10</v>
      </c>
      <c r="O17" s="87">
        <v>814.8</v>
      </c>
      <c r="P17" s="86">
        <f t="shared" si="4"/>
        <v>8148</v>
      </c>
      <c r="Q17" s="85">
        <v>10</v>
      </c>
      <c r="R17" s="86">
        <f>856.46-0.05</f>
        <v>856.41000000000008</v>
      </c>
      <c r="S17" s="87">
        <f t="shared" si="5"/>
        <v>8564.1</v>
      </c>
    </row>
    <row r="18" spans="1:21" s="46" customFormat="1" x14ac:dyDescent="0.25">
      <c r="A18" s="201"/>
      <c r="B18" s="202"/>
      <c r="C18" s="81"/>
      <c r="D18" s="208" t="s">
        <v>59</v>
      </c>
      <c r="E18" s="209"/>
      <c r="F18" s="209"/>
      <c r="G18" s="82" t="s">
        <v>67</v>
      </c>
      <c r="H18" s="83">
        <v>1</v>
      </c>
      <c r="I18" s="84">
        <f>6021.6</f>
        <v>6021.6</v>
      </c>
      <c r="J18" s="77">
        <f t="shared" si="2"/>
        <v>6021.6</v>
      </c>
      <c r="K18" s="85">
        <v>1</v>
      </c>
      <c r="L18" s="86">
        <v>6557.52</v>
      </c>
      <c r="M18" s="87">
        <f t="shared" si="3"/>
        <v>6557.52</v>
      </c>
      <c r="N18" s="83">
        <v>1</v>
      </c>
      <c r="O18" s="87">
        <v>7009.99</v>
      </c>
      <c r="P18" s="86">
        <f t="shared" si="4"/>
        <v>7009.99</v>
      </c>
      <c r="Q18" s="85">
        <v>1</v>
      </c>
      <c r="R18" s="86">
        <v>7367.5</v>
      </c>
      <c r="S18" s="87">
        <f t="shared" si="5"/>
        <v>7367.5</v>
      </c>
    </row>
    <row r="19" spans="1:21" s="46" customFormat="1" x14ac:dyDescent="0.25">
      <c r="A19" s="201"/>
      <c r="B19" s="202"/>
      <c r="C19" s="81"/>
      <c r="D19" s="208" t="s">
        <v>60</v>
      </c>
      <c r="E19" s="209"/>
      <c r="F19" s="209"/>
      <c r="G19" s="82" t="s">
        <v>67</v>
      </c>
      <c r="H19" s="83">
        <v>1</v>
      </c>
      <c r="I19" s="84">
        <v>1950</v>
      </c>
      <c r="J19" s="77">
        <f t="shared" si="2"/>
        <v>1950</v>
      </c>
      <c r="K19" s="85">
        <v>1</v>
      </c>
      <c r="L19" s="86">
        <v>2123.5499999999997</v>
      </c>
      <c r="M19" s="87">
        <f t="shared" si="3"/>
        <v>2123.5499999999997</v>
      </c>
      <c r="N19" s="83">
        <v>1</v>
      </c>
      <c r="O19" s="87">
        <v>2270.0700000000002</v>
      </c>
      <c r="P19" s="86">
        <f t="shared" si="4"/>
        <v>2270.0700000000002</v>
      </c>
      <c r="Q19" s="85">
        <v>1</v>
      </c>
      <c r="R19" s="86">
        <v>2385.84</v>
      </c>
      <c r="S19" s="87">
        <f t="shared" si="5"/>
        <v>2385.84</v>
      </c>
    </row>
    <row r="20" spans="1:21" s="46" customFormat="1" x14ac:dyDescent="0.25">
      <c r="A20" s="201"/>
      <c r="B20" s="202"/>
      <c r="C20" s="81"/>
      <c r="D20" s="203" t="s">
        <v>61</v>
      </c>
      <c r="E20" s="204"/>
      <c r="F20" s="204"/>
      <c r="G20" s="82" t="s">
        <v>68</v>
      </c>
      <c r="H20" s="83">
        <v>1</v>
      </c>
      <c r="I20" s="84">
        <v>516.70000000000005</v>
      </c>
      <c r="J20" s="77">
        <f t="shared" si="2"/>
        <v>516.70000000000005</v>
      </c>
      <c r="K20" s="85">
        <v>1</v>
      </c>
      <c r="L20" s="86">
        <v>562.20000000000005</v>
      </c>
      <c r="M20" s="87">
        <f t="shared" si="3"/>
        <v>562.20000000000005</v>
      </c>
      <c r="N20" s="83">
        <v>1</v>
      </c>
      <c r="O20" s="87">
        <v>601.52</v>
      </c>
      <c r="P20" s="86">
        <f t="shared" si="4"/>
        <v>601.52</v>
      </c>
      <c r="Q20" s="85">
        <v>1</v>
      </c>
      <c r="R20" s="86">
        <v>632.20000000000005</v>
      </c>
      <c r="S20" s="87">
        <f t="shared" si="5"/>
        <v>632.20000000000005</v>
      </c>
    </row>
    <row r="21" spans="1:21" s="46" customFormat="1" x14ac:dyDescent="0.25">
      <c r="A21" s="201"/>
      <c r="B21" s="202"/>
      <c r="C21" s="81"/>
      <c r="D21" s="203" t="s">
        <v>62</v>
      </c>
      <c r="E21" s="204"/>
      <c r="F21" s="204"/>
      <c r="G21" s="82" t="s">
        <v>68</v>
      </c>
      <c r="H21" s="83">
        <v>1</v>
      </c>
      <c r="I21" s="84">
        <v>514</v>
      </c>
      <c r="J21" s="77">
        <f t="shared" si="2"/>
        <v>514</v>
      </c>
      <c r="K21" s="85">
        <v>1</v>
      </c>
      <c r="L21" s="86">
        <v>559.75</v>
      </c>
      <c r="M21" s="87">
        <f t="shared" si="3"/>
        <v>559.75</v>
      </c>
      <c r="N21" s="83">
        <v>1</v>
      </c>
      <c r="O21" s="87">
        <f>598.37+0.27</f>
        <v>598.64</v>
      </c>
      <c r="P21" s="86">
        <f t="shared" si="4"/>
        <v>598.64</v>
      </c>
      <c r="Q21" s="85">
        <v>1</v>
      </c>
      <c r="R21" s="86">
        <f>628.89-0.09</f>
        <v>628.79999999999995</v>
      </c>
      <c r="S21" s="87">
        <f t="shared" si="5"/>
        <v>628.79999999999995</v>
      </c>
    </row>
    <row r="22" spans="1:21" s="46" customFormat="1" x14ac:dyDescent="0.25">
      <c r="A22" s="201"/>
      <c r="B22" s="202"/>
      <c r="C22" s="81"/>
      <c r="D22" s="212" t="s">
        <v>63</v>
      </c>
      <c r="E22" s="263"/>
      <c r="F22" s="263"/>
      <c r="G22" s="82" t="s">
        <v>68</v>
      </c>
      <c r="H22" s="83">
        <v>1</v>
      </c>
      <c r="I22" s="84">
        <v>1193.25</v>
      </c>
      <c r="J22" s="77">
        <f t="shared" si="2"/>
        <v>1193.25</v>
      </c>
      <c r="K22" s="85">
        <v>1</v>
      </c>
      <c r="L22" s="86">
        <v>1299.45</v>
      </c>
      <c r="M22" s="87">
        <f t="shared" si="3"/>
        <v>1299.45</v>
      </c>
      <c r="N22" s="83">
        <v>1</v>
      </c>
      <c r="O22" s="87">
        <v>1389.11</v>
      </c>
      <c r="P22" s="86">
        <f t="shared" si="4"/>
        <v>1389.11</v>
      </c>
      <c r="Q22" s="85">
        <v>1</v>
      </c>
      <c r="R22" s="86">
        <v>1459.95</v>
      </c>
      <c r="S22" s="87">
        <f t="shared" si="5"/>
        <v>1459.95</v>
      </c>
    </row>
    <row r="23" spans="1:21" s="46" customFormat="1" x14ac:dyDescent="0.25">
      <c r="A23" s="201"/>
      <c r="B23" s="202"/>
      <c r="C23" s="81"/>
      <c r="D23" s="203" t="s">
        <v>64</v>
      </c>
      <c r="E23" s="204"/>
      <c r="F23" s="204"/>
      <c r="G23" s="82" t="s">
        <v>69</v>
      </c>
      <c r="H23" s="83">
        <v>1</v>
      </c>
      <c r="I23" s="84">
        <v>46</v>
      </c>
      <c r="J23" s="77">
        <f t="shared" si="2"/>
        <v>46</v>
      </c>
      <c r="K23" s="85">
        <v>1</v>
      </c>
      <c r="L23" s="86">
        <v>50.09</v>
      </c>
      <c r="M23" s="87">
        <f t="shared" si="3"/>
        <v>50.09</v>
      </c>
      <c r="N23" s="83">
        <v>1</v>
      </c>
      <c r="O23" s="87">
        <v>53.555</v>
      </c>
      <c r="P23" s="86">
        <f t="shared" si="4"/>
        <v>53.555</v>
      </c>
      <c r="Q23" s="85">
        <v>1</v>
      </c>
      <c r="R23" s="86">
        <v>56.29</v>
      </c>
      <c r="S23" s="87">
        <f t="shared" si="5"/>
        <v>56.29</v>
      </c>
    </row>
    <row r="24" spans="1:21" s="46" customFormat="1" ht="16.5" thickBot="1" x14ac:dyDescent="0.3">
      <c r="A24" s="261"/>
      <c r="B24" s="262"/>
      <c r="C24" s="54"/>
      <c r="D24" s="88" t="s">
        <v>65</v>
      </c>
      <c r="E24" s="88"/>
      <c r="F24" s="89"/>
      <c r="G24" s="90" t="s">
        <v>36</v>
      </c>
      <c r="H24" s="55">
        <v>12</v>
      </c>
      <c r="I24" s="91">
        <v>1886.41</v>
      </c>
      <c r="J24" s="92">
        <f t="shared" si="2"/>
        <v>22636.920000000002</v>
      </c>
      <c r="K24" s="56">
        <v>12</v>
      </c>
      <c r="L24" s="93">
        <v>2054.3000000000002</v>
      </c>
      <c r="M24" s="94">
        <f t="shared" si="3"/>
        <v>24651.600000000002</v>
      </c>
      <c r="N24" s="55">
        <v>12</v>
      </c>
      <c r="O24" s="94">
        <v>2196.0500000000002</v>
      </c>
      <c r="P24" s="93">
        <f t="shared" si="4"/>
        <v>26352.600000000002</v>
      </c>
      <c r="Q24" s="56">
        <v>12</v>
      </c>
      <c r="R24" s="93">
        <v>2308.0500000000002</v>
      </c>
      <c r="S24" s="94">
        <f t="shared" si="5"/>
        <v>27696.600000000002</v>
      </c>
    </row>
    <row r="25" spans="1:21" s="60" customFormat="1" ht="16.5" customHeight="1" thickBot="1" x14ac:dyDescent="0.3">
      <c r="A25" s="266">
        <v>2</v>
      </c>
      <c r="B25" s="267"/>
      <c r="C25" s="95"/>
      <c r="D25" s="286" t="s">
        <v>9</v>
      </c>
      <c r="E25" s="287"/>
      <c r="F25" s="287"/>
      <c r="G25" s="96"/>
      <c r="H25" s="97"/>
      <c r="I25" s="98"/>
      <c r="J25" s="99">
        <f>J26+J27+J30</f>
        <v>262450</v>
      </c>
      <c r="K25" s="100"/>
      <c r="L25" s="99"/>
      <c r="M25" s="101">
        <f>M26+M28+M29+M30</f>
        <v>277815.99899999995</v>
      </c>
      <c r="N25" s="102"/>
      <c r="O25" s="101"/>
      <c r="P25" s="102">
        <f t="shared" ref="P25:S25" si="6">P26+P28+P29+P30</f>
        <v>296984.99693100003</v>
      </c>
      <c r="Q25" s="101"/>
      <c r="R25" s="102"/>
      <c r="S25" s="101">
        <f t="shared" si="6"/>
        <v>312131.995</v>
      </c>
    </row>
    <row r="26" spans="1:21" s="46" customFormat="1" ht="30.75" customHeight="1" x14ac:dyDescent="0.25">
      <c r="A26" s="329"/>
      <c r="B26" s="330"/>
      <c r="C26" s="103"/>
      <c r="D26" s="279" t="s">
        <v>85</v>
      </c>
      <c r="E26" s="280"/>
      <c r="F26" s="281"/>
      <c r="G26" s="50" t="s">
        <v>11</v>
      </c>
      <c r="H26" s="104">
        <v>1</v>
      </c>
      <c r="I26" s="105">
        <v>83082</v>
      </c>
      <c r="J26" s="106">
        <f t="shared" ref="J26" si="7">H26*I26</f>
        <v>83082</v>
      </c>
      <c r="K26" s="107">
        <v>1</v>
      </c>
      <c r="L26" s="106">
        <v>90475.997999999992</v>
      </c>
      <c r="M26" s="80">
        <f>J26*1.089-0.3</f>
        <v>90475.997999999992</v>
      </c>
      <c r="N26" s="108">
        <v>1</v>
      </c>
      <c r="O26" s="80">
        <v>96719.002861999979</v>
      </c>
      <c r="P26" s="79">
        <f>M26*1.069+0.161</f>
        <v>96719.002861999979</v>
      </c>
      <c r="Q26" s="107">
        <v>1</v>
      </c>
      <c r="R26" s="79">
        <v>101651.999</v>
      </c>
      <c r="S26" s="80">
        <f>96719*1.051+0.33</f>
        <v>101651.999</v>
      </c>
    </row>
    <row r="27" spans="1:21" s="46" customFormat="1" ht="31.5" customHeight="1" x14ac:dyDescent="0.25">
      <c r="A27" s="264"/>
      <c r="B27" s="265"/>
      <c r="C27" s="109"/>
      <c r="D27" s="288" t="s">
        <v>86</v>
      </c>
      <c r="E27" s="289"/>
      <c r="F27" s="290"/>
      <c r="G27" s="81" t="s">
        <v>11</v>
      </c>
      <c r="H27" s="110">
        <v>1</v>
      </c>
      <c r="I27" s="111">
        <f>43549+45339</f>
        <v>88888</v>
      </c>
      <c r="J27" s="112">
        <f>H27*I27</f>
        <v>88888</v>
      </c>
      <c r="K27" s="113"/>
      <c r="L27" s="112"/>
      <c r="M27" s="87"/>
      <c r="N27" s="114"/>
      <c r="O27" s="87"/>
      <c r="P27" s="86"/>
      <c r="Q27" s="113"/>
      <c r="R27" s="86"/>
      <c r="S27" s="87"/>
    </row>
    <row r="28" spans="1:21" s="46" customFormat="1" ht="27.75" customHeight="1" x14ac:dyDescent="0.25">
      <c r="A28" s="249"/>
      <c r="B28" s="250"/>
      <c r="C28" s="109"/>
      <c r="D28" s="251" t="s">
        <v>48</v>
      </c>
      <c r="E28" s="251"/>
      <c r="F28" s="251"/>
      <c r="G28" s="81" t="s">
        <v>39</v>
      </c>
      <c r="H28" s="110"/>
      <c r="I28" s="111">
        <v>45339</v>
      </c>
      <c r="J28" s="112">
        <v>45339</v>
      </c>
      <c r="K28" s="113">
        <v>1</v>
      </c>
      <c r="L28" s="112">
        <v>41382</v>
      </c>
      <c r="M28" s="87">
        <f>38000*1.089</f>
        <v>41382</v>
      </c>
      <c r="N28" s="114">
        <v>1</v>
      </c>
      <c r="O28" s="87">
        <v>44236.997000000003</v>
      </c>
      <c r="P28" s="86">
        <f>M28*1.069-0.361</f>
        <v>44236.997000000003</v>
      </c>
      <c r="Q28" s="113">
        <v>1</v>
      </c>
      <c r="R28" s="86">
        <v>46492.997000000003</v>
      </c>
      <c r="S28" s="87">
        <f>44237*1.051-0.09</f>
        <v>46492.997000000003</v>
      </c>
    </row>
    <row r="29" spans="1:21" s="46" customFormat="1" x14ac:dyDescent="0.25">
      <c r="A29" s="249"/>
      <c r="B29" s="250"/>
      <c r="C29" s="109"/>
      <c r="D29" s="251" t="s">
        <v>47</v>
      </c>
      <c r="E29" s="251"/>
      <c r="F29" s="251"/>
      <c r="G29" s="81" t="s">
        <v>39</v>
      </c>
      <c r="H29" s="110"/>
      <c r="I29" s="111">
        <v>1244.2570000000001</v>
      </c>
      <c r="J29" s="112">
        <v>43549</v>
      </c>
      <c r="K29" s="113">
        <v>1</v>
      </c>
      <c r="L29" s="112">
        <v>47425.000999999997</v>
      </c>
      <c r="M29" s="87">
        <f>J29*1.089+0.14</f>
        <v>47425.000999999997</v>
      </c>
      <c r="N29" s="114">
        <v>1</v>
      </c>
      <c r="O29" s="87">
        <v>50696.997068999997</v>
      </c>
      <c r="P29" s="86">
        <f>M29*1.069-0.329</f>
        <v>50696.997068999997</v>
      </c>
      <c r="Q29" s="113">
        <v>1</v>
      </c>
      <c r="R29" s="86">
        <v>53282.996999999996</v>
      </c>
      <c r="S29" s="87">
        <f>50697*1.051+0.45</f>
        <v>53282.996999999996</v>
      </c>
    </row>
    <row r="30" spans="1:21" s="72" customFormat="1" ht="31.5" customHeight="1" thickBot="1" x14ac:dyDescent="0.3">
      <c r="A30" s="276"/>
      <c r="B30" s="277"/>
      <c r="C30" s="115"/>
      <c r="D30" s="317" t="s">
        <v>87</v>
      </c>
      <c r="E30" s="317"/>
      <c r="F30" s="317"/>
      <c r="G30" s="116" t="s">
        <v>11</v>
      </c>
      <c r="H30" s="117">
        <v>1</v>
      </c>
      <c r="I30" s="118">
        <v>90480</v>
      </c>
      <c r="J30" s="119">
        <v>90480</v>
      </c>
      <c r="K30" s="120">
        <v>1</v>
      </c>
      <c r="L30" s="119">
        <v>98533</v>
      </c>
      <c r="M30" s="121">
        <f>J30*1.089+0.28</f>
        <v>98533</v>
      </c>
      <c r="N30" s="122">
        <v>1</v>
      </c>
      <c r="O30" s="121">
        <v>105332</v>
      </c>
      <c r="P30" s="123">
        <f>M30*1.069+0.223</f>
        <v>105332</v>
      </c>
      <c r="Q30" s="120">
        <v>1</v>
      </c>
      <c r="R30" s="123">
        <v>110704.00199999999</v>
      </c>
      <c r="S30" s="121">
        <f>P30*1.051+0.07</f>
        <v>110704.00199999999</v>
      </c>
    </row>
    <row r="31" spans="1:21" s="46" customFormat="1" ht="32.25" customHeight="1" thickBot="1" x14ac:dyDescent="0.3">
      <c r="A31" s="331">
        <v>3</v>
      </c>
      <c r="B31" s="332"/>
      <c r="C31" s="124"/>
      <c r="D31" s="282" t="s">
        <v>12</v>
      </c>
      <c r="E31" s="282"/>
      <c r="F31" s="282"/>
      <c r="G31" s="125"/>
      <c r="H31" s="126"/>
      <c r="I31" s="127"/>
      <c r="J31" s="12">
        <f>J32+J45</f>
        <v>371100.99680905003</v>
      </c>
      <c r="K31" s="11"/>
      <c r="L31" s="12"/>
      <c r="M31" s="13">
        <f>M32+M45</f>
        <v>458754.99610000005</v>
      </c>
      <c r="N31" s="35"/>
      <c r="O31" s="36"/>
      <c r="P31" s="35">
        <f t="shared" ref="P31:S31" si="8">P32+P45</f>
        <v>490410.00012689998</v>
      </c>
      <c r="Q31" s="37"/>
      <c r="R31" s="38"/>
      <c r="S31" s="39">
        <f t="shared" si="8"/>
        <v>515420.00000147178</v>
      </c>
      <c r="U31" s="128"/>
    </row>
    <row r="32" spans="1:21" s="46" customFormat="1" ht="31.5" customHeight="1" thickBot="1" x14ac:dyDescent="0.3">
      <c r="A32" s="331" t="s">
        <v>73</v>
      </c>
      <c r="B32" s="332"/>
      <c r="C32" s="129"/>
      <c r="D32" s="291" t="s">
        <v>49</v>
      </c>
      <c r="E32" s="291"/>
      <c r="F32" s="291"/>
      <c r="G32" s="130"/>
      <c r="H32" s="131"/>
      <c r="I32" s="132"/>
      <c r="J32" s="15">
        <f>J35+J36+J39+J40+J43+J44</f>
        <v>359162.99680000002</v>
      </c>
      <c r="K32" s="14"/>
      <c r="L32" s="15"/>
      <c r="M32" s="13">
        <f>M33+M37+M41</f>
        <v>444466.00050000002</v>
      </c>
      <c r="N32" s="35"/>
      <c r="O32" s="36"/>
      <c r="P32" s="35">
        <f t="shared" ref="P32:S32" si="9">P33+P37+P41</f>
        <v>475135.00010049995</v>
      </c>
      <c r="Q32" s="39"/>
      <c r="R32" s="40"/>
      <c r="S32" s="39">
        <f t="shared" si="9"/>
        <v>499366.00003992539</v>
      </c>
    </row>
    <row r="33" spans="1:19" s="72" customFormat="1" x14ac:dyDescent="0.25">
      <c r="A33" s="333"/>
      <c r="B33" s="334"/>
      <c r="C33" s="133"/>
      <c r="D33" s="283" t="s">
        <v>13</v>
      </c>
      <c r="E33" s="284"/>
      <c r="F33" s="285"/>
      <c r="G33" s="133"/>
      <c r="H33" s="134"/>
      <c r="I33" s="135"/>
      <c r="J33" s="17">
        <f>J35+J36</f>
        <v>202741.00080000001</v>
      </c>
      <c r="K33" s="16"/>
      <c r="L33" s="17"/>
      <c r="M33" s="16">
        <f>M35+M36</f>
        <v>254011.00050000002</v>
      </c>
      <c r="N33" s="17"/>
      <c r="O33" s="16"/>
      <c r="P33" s="17">
        <f t="shared" ref="P33:S33" si="10">P35+P36</f>
        <v>271538.9999845</v>
      </c>
      <c r="Q33" s="16"/>
      <c r="R33" s="17"/>
      <c r="S33" s="16">
        <f t="shared" si="10"/>
        <v>285386.99998720945</v>
      </c>
    </row>
    <row r="34" spans="1:19" s="46" customFormat="1" x14ac:dyDescent="0.25">
      <c r="A34" s="268"/>
      <c r="B34" s="269"/>
      <c r="C34" s="109"/>
      <c r="D34" s="255" t="s">
        <v>42</v>
      </c>
      <c r="E34" s="256"/>
      <c r="F34" s="257"/>
      <c r="G34" s="136"/>
      <c r="H34" s="137"/>
      <c r="I34" s="138"/>
      <c r="J34" s="18"/>
      <c r="K34" s="5"/>
      <c r="L34" s="18"/>
      <c r="M34" s="5"/>
      <c r="N34" s="18"/>
      <c r="O34" s="5"/>
      <c r="P34" s="18"/>
      <c r="Q34" s="5"/>
      <c r="R34" s="18"/>
      <c r="S34" s="5"/>
    </row>
    <row r="35" spans="1:19" s="46" customFormat="1" x14ac:dyDescent="0.25">
      <c r="A35" s="268"/>
      <c r="B35" s="269"/>
      <c r="C35" s="109"/>
      <c r="D35" s="305" t="s">
        <v>14</v>
      </c>
      <c r="E35" s="306"/>
      <c r="F35" s="307"/>
      <c r="G35" s="139" t="s">
        <v>15</v>
      </c>
      <c r="H35" s="140">
        <v>39.9</v>
      </c>
      <c r="I35" s="141">
        <v>2702.25</v>
      </c>
      <c r="J35" s="142">
        <f>H35*I35+0.225</f>
        <v>107820</v>
      </c>
      <c r="K35" s="5">
        <f>44.11+2</f>
        <v>46.11</v>
      </c>
      <c r="L35" s="18">
        <v>2829.55</v>
      </c>
      <c r="M35" s="5">
        <f>K35*L35+0.45</f>
        <v>130471.00050000001</v>
      </c>
      <c r="N35" s="18">
        <v>46.11</v>
      </c>
      <c r="O35" s="5">
        <f>L35*1.069</f>
        <v>3024.7889500000001</v>
      </c>
      <c r="P35" s="18">
        <f>N35*O35+0.9815</f>
        <v>139473.9999845</v>
      </c>
      <c r="Q35" s="5">
        <v>46.11</v>
      </c>
      <c r="R35" s="18">
        <f>O35*1.051</f>
        <v>3179.0531864499999</v>
      </c>
      <c r="S35" s="5">
        <f>Q35*R35+0.8576</f>
        <v>146587.00002720949</v>
      </c>
    </row>
    <row r="36" spans="1:19" s="46" customFormat="1" x14ac:dyDescent="0.25">
      <c r="A36" s="270"/>
      <c r="B36" s="271"/>
      <c r="C36" s="139"/>
      <c r="D36" s="305" t="s">
        <v>16</v>
      </c>
      <c r="E36" s="306"/>
      <c r="F36" s="307"/>
      <c r="G36" s="139" t="s">
        <v>17</v>
      </c>
      <c r="H36" s="140">
        <v>12</v>
      </c>
      <c r="I36" s="141">
        <v>7910.0834000000004</v>
      </c>
      <c r="J36" s="142">
        <f>H36*I36</f>
        <v>94921.000800000009</v>
      </c>
      <c r="K36" s="5">
        <v>12</v>
      </c>
      <c r="L36" s="18">
        <v>10295</v>
      </c>
      <c r="M36" s="5">
        <v>123540</v>
      </c>
      <c r="N36" s="18">
        <v>12</v>
      </c>
      <c r="O36" s="5">
        <f>L36*1.069</f>
        <v>11005.355</v>
      </c>
      <c r="P36" s="18">
        <f>N36*O36+0.74</f>
        <v>132065</v>
      </c>
      <c r="Q36" s="5">
        <v>12</v>
      </c>
      <c r="R36" s="18">
        <f>O36*1.051</f>
        <v>11566.628104999998</v>
      </c>
      <c r="S36" s="5">
        <f>Q36*R36+0.4627</f>
        <v>138799.99995999999</v>
      </c>
    </row>
    <row r="37" spans="1:19" s="72" customFormat="1" x14ac:dyDescent="0.25">
      <c r="A37" s="335"/>
      <c r="B37" s="336"/>
      <c r="C37" s="143"/>
      <c r="D37" s="308" t="s">
        <v>18</v>
      </c>
      <c r="E37" s="309"/>
      <c r="F37" s="310"/>
      <c r="G37" s="144"/>
      <c r="H37" s="145"/>
      <c r="I37" s="146"/>
      <c r="J37" s="147">
        <f>J39+J40</f>
        <v>53633</v>
      </c>
      <c r="K37" s="19"/>
      <c r="L37" s="20"/>
      <c r="M37" s="19">
        <f>M39+M40</f>
        <v>76063</v>
      </c>
      <c r="N37" s="20"/>
      <c r="O37" s="19"/>
      <c r="P37" s="20">
        <f t="shared" ref="P37:S37" si="11">P39+P40</f>
        <v>81311.00005599999</v>
      </c>
      <c r="Q37" s="19"/>
      <c r="R37" s="20"/>
      <c r="S37" s="19">
        <f t="shared" si="11"/>
        <v>85458.000042455998</v>
      </c>
    </row>
    <row r="38" spans="1:19" s="46" customFormat="1" x14ac:dyDescent="0.25">
      <c r="A38" s="270"/>
      <c r="B38" s="271"/>
      <c r="C38" s="139"/>
      <c r="D38" s="255" t="s">
        <v>42</v>
      </c>
      <c r="E38" s="256"/>
      <c r="F38" s="257"/>
      <c r="G38" s="148"/>
      <c r="H38" s="149"/>
      <c r="I38" s="150"/>
      <c r="J38" s="142"/>
      <c r="K38" s="5"/>
      <c r="L38" s="18"/>
      <c r="M38" s="5"/>
      <c r="N38" s="18"/>
      <c r="O38" s="5"/>
      <c r="P38" s="18"/>
      <c r="Q38" s="5"/>
      <c r="R38" s="18"/>
      <c r="S38" s="5"/>
    </row>
    <row r="39" spans="1:19" s="46" customFormat="1" ht="14.25" customHeight="1" x14ac:dyDescent="0.25">
      <c r="A39" s="270"/>
      <c r="B39" s="271"/>
      <c r="C39" s="139"/>
      <c r="D39" s="252" t="s">
        <v>19</v>
      </c>
      <c r="E39" s="253"/>
      <c r="F39" s="254"/>
      <c r="G39" s="81" t="s">
        <v>20</v>
      </c>
      <c r="H39" s="151">
        <v>694</v>
      </c>
      <c r="I39" s="152">
        <v>32.664000000000001</v>
      </c>
      <c r="J39" s="142">
        <f>H39*I39+0.18</f>
        <v>22668.996000000003</v>
      </c>
      <c r="K39" s="5">
        <f>694+100</f>
        <v>794</v>
      </c>
      <c r="L39" s="6">
        <v>42.192</v>
      </c>
      <c r="M39" s="5">
        <f>K39*L39+0.552</f>
        <v>33501</v>
      </c>
      <c r="N39" s="18">
        <v>794</v>
      </c>
      <c r="O39" s="30">
        <f>L39*1.069</f>
        <v>45.103248000000001</v>
      </c>
      <c r="P39" s="18">
        <f>N39*O39+0.0211</f>
        <v>35812.000011999997</v>
      </c>
      <c r="Q39" s="5">
        <v>794</v>
      </c>
      <c r="R39" s="6">
        <f>O39*1.051</f>
        <v>47.403513648000001</v>
      </c>
      <c r="S39" s="5">
        <f>Q39*R39+0.6102</f>
        <v>37639.000036512007</v>
      </c>
    </row>
    <row r="40" spans="1:19" s="46" customFormat="1" ht="15" customHeight="1" x14ac:dyDescent="0.25">
      <c r="A40" s="270"/>
      <c r="B40" s="271"/>
      <c r="C40" s="139"/>
      <c r="D40" s="252" t="s">
        <v>21</v>
      </c>
      <c r="E40" s="253"/>
      <c r="F40" s="254"/>
      <c r="G40" s="81" t="s">
        <v>20</v>
      </c>
      <c r="H40" s="151">
        <v>694</v>
      </c>
      <c r="I40" s="152">
        <v>44.616</v>
      </c>
      <c r="J40" s="142">
        <f>H40*I40+0.5</f>
        <v>30964.004000000001</v>
      </c>
      <c r="K40" s="5">
        <f>694+100</f>
        <v>794</v>
      </c>
      <c r="L40" s="6">
        <v>53.603999999999999</v>
      </c>
      <c r="M40" s="5">
        <f>K40*L40+0.424</f>
        <v>42562</v>
      </c>
      <c r="N40" s="18">
        <v>794</v>
      </c>
      <c r="O40" s="30">
        <f>L40*1.069</f>
        <v>57.302675999999998</v>
      </c>
      <c r="P40" s="18">
        <f>N40*O40+0.6753</f>
        <v>45499.000044</v>
      </c>
      <c r="Q40" s="5">
        <v>794</v>
      </c>
      <c r="R40" s="6">
        <f>O40*1.051</f>
        <v>60.225112475999993</v>
      </c>
      <c r="S40" s="5">
        <f>Q40*R40+0.2607</f>
        <v>47819.000005943992</v>
      </c>
    </row>
    <row r="41" spans="1:19" s="72" customFormat="1" x14ac:dyDescent="0.25">
      <c r="A41" s="335"/>
      <c r="B41" s="336"/>
      <c r="C41" s="143"/>
      <c r="D41" s="311" t="s">
        <v>22</v>
      </c>
      <c r="E41" s="312"/>
      <c r="F41" s="313"/>
      <c r="G41" s="144"/>
      <c r="H41" s="145"/>
      <c r="I41" s="153"/>
      <c r="J41" s="147">
        <f>J43+J44</f>
        <v>102788.996</v>
      </c>
      <c r="K41" s="19"/>
      <c r="L41" s="21"/>
      <c r="M41" s="19">
        <f>M43+M44</f>
        <v>114392</v>
      </c>
      <c r="N41" s="20"/>
      <c r="O41" s="31"/>
      <c r="P41" s="20">
        <f t="shared" ref="P41:S41" si="12">P43+P44</f>
        <v>122285.00005999999</v>
      </c>
      <c r="Q41" s="19"/>
      <c r="R41" s="21"/>
      <c r="S41" s="19">
        <f t="shared" si="12"/>
        <v>128521.00001025997</v>
      </c>
    </row>
    <row r="42" spans="1:19" s="46" customFormat="1" x14ac:dyDescent="0.25">
      <c r="A42" s="270"/>
      <c r="B42" s="271"/>
      <c r="C42" s="139"/>
      <c r="D42" s="255" t="s">
        <v>42</v>
      </c>
      <c r="E42" s="256"/>
      <c r="F42" s="257"/>
      <c r="G42" s="148"/>
      <c r="H42" s="149"/>
      <c r="I42" s="138"/>
      <c r="J42" s="142"/>
      <c r="K42" s="5"/>
      <c r="L42" s="6"/>
      <c r="M42" s="5"/>
      <c r="N42" s="18"/>
      <c r="O42" s="30"/>
      <c r="P42" s="18"/>
      <c r="Q42" s="5"/>
      <c r="R42" s="6"/>
      <c r="S42" s="5"/>
    </row>
    <row r="43" spans="1:19" s="46" customFormat="1" x14ac:dyDescent="0.25">
      <c r="A43" s="270"/>
      <c r="B43" s="271"/>
      <c r="C43" s="139"/>
      <c r="D43" s="314" t="s">
        <v>23</v>
      </c>
      <c r="E43" s="315"/>
      <c r="F43" s="316"/>
      <c r="G43" s="139" t="s">
        <v>24</v>
      </c>
      <c r="H43" s="151">
        <v>10000</v>
      </c>
      <c r="I43" s="154">
        <v>7.2236076000000002</v>
      </c>
      <c r="J43" s="142">
        <f>H43*I43-0.08</f>
        <v>72235.995999999999</v>
      </c>
      <c r="K43" s="5">
        <v>11000</v>
      </c>
      <c r="L43" s="6">
        <v>7.1826720000000002</v>
      </c>
      <c r="M43" s="5">
        <f>K43*L43+0.61</f>
        <v>79010.002000000008</v>
      </c>
      <c r="N43" s="18">
        <v>11000</v>
      </c>
      <c r="O43" s="30">
        <f>L43*1.069</f>
        <v>7.6782763679999997</v>
      </c>
      <c r="P43" s="18">
        <f>N43*O43+0.96</f>
        <v>84462.000048000002</v>
      </c>
      <c r="Q43" s="5">
        <v>11000</v>
      </c>
      <c r="R43" s="6">
        <f>O43*1.051</f>
        <v>8.0698684627679995</v>
      </c>
      <c r="S43" s="5">
        <f>Q43*R43+0.4469</f>
        <v>88768.999990447992</v>
      </c>
    </row>
    <row r="44" spans="1:19" s="46" customFormat="1" ht="16.5" thickBot="1" x14ac:dyDescent="0.3">
      <c r="A44" s="272"/>
      <c r="B44" s="273"/>
      <c r="C44" s="155"/>
      <c r="D44" s="258" t="s">
        <v>25</v>
      </c>
      <c r="E44" s="259"/>
      <c r="F44" s="260"/>
      <c r="G44" s="155" t="s">
        <v>24</v>
      </c>
      <c r="H44" s="156">
        <v>10000</v>
      </c>
      <c r="I44" s="157">
        <v>3.055212</v>
      </c>
      <c r="J44" s="158">
        <f>H44*I44+0.88</f>
        <v>30553</v>
      </c>
      <c r="K44" s="7">
        <v>11000</v>
      </c>
      <c r="L44" s="8">
        <v>3.2164679999999999</v>
      </c>
      <c r="M44" s="5">
        <f>K44*L44+0.85</f>
        <v>35381.998</v>
      </c>
      <c r="N44" s="32">
        <v>11000</v>
      </c>
      <c r="O44" s="33">
        <f>L44*1.069</f>
        <v>3.4384042919999995</v>
      </c>
      <c r="P44" s="18">
        <f>N44*O44+0.5528</f>
        <v>37823.00001199999</v>
      </c>
      <c r="Q44" s="7">
        <v>11000</v>
      </c>
      <c r="R44" s="41">
        <f>O44*1.051</f>
        <v>3.6137629108919991</v>
      </c>
      <c r="S44" s="5">
        <f>Q44*R44+0.608</f>
        <v>39752.000019811989</v>
      </c>
    </row>
    <row r="45" spans="1:19" s="46" customFormat="1" ht="16.5" thickBot="1" x14ac:dyDescent="0.3">
      <c r="A45" s="337" t="s">
        <v>74</v>
      </c>
      <c r="B45" s="338"/>
      <c r="C45" s="129"/>
      <c r="D45" s="298" t="s">
        <v>50</v>
      </c>
      <c r="E45" s="298"/>
      <c r="F45" s="298"/>
      <c r="G45" s="159"/>
      <c r="H45" s="160"/>
      <c r="I45" s="161"/>
      <c r="J45" s="162">
        <f>J46</f>
        <v>11938.00000905</v>
      </c>
      <c r="K45" s="22"/>
      <c r="L45" s="23"/>
      <c r="M45" s="22">
        <f>M46</f>
        <v>14288.995599999998</v>
      </c>
      <c r="N45" s="23"/>
      <c r="O45" s="22"/>
      <c r="P45" s="23">
        <f t="shared" ref="P45:S46" si="13">P46</f>
        <v>15275.000026399999</v>
      </c>
      <c r="Q45" s="42"/>
      <c r="R45" s="43"/>
      <c r="S45" s="22">
        <f t="shared" si="13"/>
        <v>16053.999961546397</v>
      </c>
    </row>
    <row r="46" spans="1:19" s="46" customFormat="1" x14ac:dyDescent="0.25">
      <c r="A46" s="274"/>
      <c r="B46" s="275"/>
      <c r="C46" s="103"/>
      <c r="D46" s="299" t="s">
        <v>28</v>
      </c>
      <c r="E46" s="300"/>
      <c r="F46" s="301"/>
      <c r="G46" s="163"/>
      <c r="H46" s="134"/>
      <c r="I46" s="135"/>
      <c r="J46" s="164">
        <f>J47</f>
        <v>11938.00000905</v>
      </c>
      <c r="K46" s="24"/>
      <c r="L46" s="25"/>
      <c r="M46" s="26">
        <f>M47</f>
        <v>14288.995599999998</v>
      </c>
      <c r="N46" s="25"/>
      <c r="O46" s="26"/>
      <c r="P46" s="34">
        <f t="shared" si="13"/>
        <v>15275.000026399999</v>
      </c>
      <c r="Q46" s="24"/>
      <c r="R46" s="44"/>
      <c r="S46" s="26">
        <f t="shared" si="13"/>
        <v>16053.999961546397</v>
      </c>
    </row>
    <row r="47" spans="1:19" s="46" customFormat="1" ht="29.25" customHeight="1" x14ac:dyDescent="0.25">
      <c r="A47" s="268"/>
      <c r="B47" s="269"/>
      <c r="C47" s="109"/>
      <c r="D47" s="295" t="s">
        <v>29</v>
      </c>
      <c r="E47" s="296"/>
      <c r="F47" s="297"/>
      <c r="G47" s="148"/>
      <c r="H47" s="137"/>
      <c r="I47" s="138"/>
      <c r="J47" s="165">
        <f>J49+J50+J51</f>
        <v>11938.00000905</v>
      </c>
      <c r="K47" s="5"/>
      <c r="L47" s="18"/>
      <c r="M47" s="5">
        <f>M49+M50+M51</f>
        <v>14288.995599999998</v>
      </c>
      <c r="N47" s="18"/>
      <c r="O47" s="5"/>
      <c r="P47" s="18">
        <f t="shared" ref="P47:S47" si="14">P49+P50+P51</f>
        <v>15275.000026399999</v>
      </c>
      <c r="Q47" s="5"/>
      <c r="R47" s="6"/>
      <c r="S47" s="5">
        <f t="shared" si="14"/>
        <v>16053.999961546397</v>
      </c>
    </row>
    <row r="48" spans="1:19" s="46" customFormat="1" x14ac:dyDescent="0.25">
      <c r="A48" s="268"/>
      <c r="B48" s="269"/>
      <c r="C48" s="109"/>
      <c r="D48" s="302" t="s">
        <v>42</v>
      </c>
      <c r="E48" s="303"/>
      <c r="F48" s="304"/>
      <c r="G48" s="148"/>
      <c r="H48" s="137"/>
      <c r="I48" s="138"/>
      <c r="J48" s="165"/>
      <c r="K48" s="5"/>
      <c r="L48" s="18"/>
      <c r="M48" s="5"/>
      <c r="N48" s="18"/>
      <c r="O48" s="5"/>
      <c r="P48" s="18"/>
      <c r="Q48" s="5"/>
      <c r="R48" s="6"/>
      <c r="S48" s="5"/>
    </row>
    <row r="49" spans="1:19" s="46" customFormat="1" ht="18.75" customHeight="1" x14ac:dyDescent="0.25">
      <c r="A49" s="268"/>
      <c r="B49" s="269"/>
      <c r="C49" s="109"/>
      <c r="D49" s="252" t="s">
        <v>30</v>
      </c>
      <c r="E49" s="253"/>
      <c r="F49" s="254"/>
      <c r="G49" s="166" t="s">
        <v>27</v>
      </c>
      <c r="H49" s="151">
        <v>53.9</v>
      </c>
      <c r="I49" s="154">
        <v>189.68</v>
      </c>
      <c r="J49" s="167">
        <f>H49*I49+0.248</f>
        <v>10224</v>
      </c>
      <c r="K49" s="9">
        <f>53.9+2.31</f>
        <v>56.21</v>
      </c>
      <c r="L49" s="10">
        <v>221.5</v>
      </c>
      <c r="M49" s="5">
        <f>K49*L49+0.48</f>
        <v>12450.994999999999</v>
      </c>
      <c r="N49" s="10">
        <v>56.21</v>
      </c>
      <c r="O49" s="5">
        <f>L49*1.069</f>
        <v>236.78349999999998</v>
      </c>
      <c r="P49" s="18">
        <f>N49*O49+0.3995</f>
        <v>13310.000034999999</v>
      </c>
      <c r="Q49" s="9">
        <v>56.21</v>
      </c>
      <c r="R49" s="6">
        <f>O49*1.051</f>
        <v>248.85945849999996</v>
      </c>
      <c r="S49" s="5">
        <f>Q49*R49+0.6098</f>
        <v>13988.999962284997</v>
      </c>
    </row>
    <row r="50" spans="1:19" s="46" customFormat="1" ht="18.75" x14ac:dyDescent="0.25">
      <c r="A50" s="268"/>
      <c r="B50" s="269"/>
      <c r="C50" s="109"/>
      <c r="D50" s="252" t="s">
        <v>44</v>
      </c>
      <c r="E50" s="253"/>
      <c r="F50" s="254"/>
      <c r="G50" s="166" t="s">
        <v>27</v>
      </c>
      <c r="H50" s="151">
        <v>53.901292499999997</v>
      </c>
      <c r="I50" s="154">
        <v>27.86</v>
      </c>
      <c r="J50" s="167">
        <f>H50*I50+0.31</f>
        <v>1502.0000090499998</v>
      </c>
      <c r="K50" s="9">
        <v>56.21</v>
      </c>
      <c r="L50" s="10">
        <v>27.86</v>
      </c>
      <c r="M50" s="5">
        <f>K50*L50+0.99</f>
        <v>1567.0006000000001</v>
      </c>
      <c r="N50" s="10">
        <v>56.21</v>
      </c>
      <c r="O50" s="5">
        <f>L50*1.069</f>
        <v>29.782339999999998</v>
      </c>
      <c r="P50" s="18">
        <f>N50*O50+0.9347</f>
        <v>1675.0000313999999</v>
      </c>
      <c r="Q50" s="9">
        <v>56.21</v>
      </c>
      <c r="R50" s="6">
        <f>O50*1.051</f>
        <v>31.301239339999995</v>
      </c>
      <c r="S50" s="5">
        <f>Q50*R50+0.55735</f>
        <v>1760.0000133013998</v>
      </c>
    </row>
    <row r="51" spans="1:19" s="46" customFormat="1" ht="16.5" thickBot="1" x14ac:dyDescent="0.3">
      <c r="A51" s="327"/>
      <c r="B51" s="328"/>
      <c r="C51" s="168"/>
      <c r="D51" s="292" t="s">
        <v>26</v>
      </c>
      <c r="E51" s="293"/>
      <c r="F51" s="294"/>
      <c r="G51" s="166" t="s">
        <v>17</v>
      </c>
      <c r="H51" s="151">
        <v>12</v>
      </c>
      <c r="I51" s="154">
        <v>17.649999999999999</v>
      </c>
      <c r="J51" s="167">
        <f>H51*I51+0.2</f>
        <v>211.99999999999997</v>
      </c>
      <c r="K51" s="27">
        <v>12</v>
      </c>
      <c r="L51" s="28">
        <v>22.57</v>
      </c>
      <c r="M51" s="29">
        <v>271.00000000000006</v>
      </c>
      <c r="N51" s="28">
        <v>12</v>
      </c>
      <c r="O51" s="29">
        <f>L51*1.069</f>
        <v>24.127330000000001</v>
      </c>
      <c r="P51" s="18">
        <f>N51*O51+0.472</f>
        <v>289.99995999999999</v>
      </c>
      <c r="Q51" s="27">
        <v>12</v>
      </c>
      <c r="R51" s="8">
        <f>O51*1.051</f>
        <v>25.357823829999997</v>
      </c>
      <c r="S51" s="5">
        <f>Q51*R51+0.7061</f>
        <v>304.99998595999995</v>
      </c>
    </row>
    <row r="52" spans="1:19" ht="16.5" thickBot="1" x14ac:dyDescent="0.3">
      <c r="A52" s="196">
        <v>4</v>
      </c>
      <c r="B52" s="197"/>
      <c r="C52" s="169"/>
      <c r="D52" s="198" t="s">
        <v>81</v>
      </c>
      <c r="E52" s="198"/>
      <c r="F52" s="198"/>
      <c r="G52" s="170"/>
      <c r="H52" s="171"/>
      <c r="I52" s="172"/>
      <c r="J52" s="171"/>
      <c r="K52" s="172"/>
      <c r="L52" s="171"/>
      <c r="M52" s="172"/>
      <c r="N52" s="171"/>
      <c r="O52" s="172"/>
      <c r="P52" s="171"/>
      <c r="Q52" s="172"/>
      <c r="R52" s="171"/>
      <c r="S52" s="172"/>
    </row>
    <row r="53" spans="1:19" ht="16.5" thickBot="1" x14ac:dyDescent="0.3">
      <c r="A53" s="217" t="s">
        <v>82</v>
      </c>
      <c r="B53" s="218"/>
      <c r="C53" s="173"/>
      <c r="D53" s="215" t="s">
        <v>70</v>
      </c>
      <c r="E53" s="216"/>
      <c r="F53" s="216"/>
      <c r="G53" s="51"/>
      <c r="H53" s="52"/>
      <c r="I53" s="53"/>
      <c r="J53" s="174"/>
      <c r="K53" s="175"/>
      <c r="L53" s="174"/>
      <c r="M53" s="175"/>
      <c r="N53" s="174"/>
      <c r="O53" s="175"/>
      <c r="P53" s="174"/>
      <c r="Q53" s="175"/>
      <c r="R53" s="174"/>
      <c r="S53" s="175"/>
    </row>
    <row r="54" spans="1:19" ht="32.25" customHeight="1" thickBot="1" x14ac:dyDescent="0.3">
      <c r="A54" s="205"/>
      <c r="B54" s="207"/>
      <c r="C54" s="173"/>
      <c r="D54" s="205" t="s">
        <v>88</v>
      </c>
      <c r="E54" s="206"/>
      <c r="F54" s="206"/>
      <c r="G54" s="51" t="s">
        <v>71</v>
      </c>
      <c r="H54" s="52"/>
      <c r="I54" s="53"/>
      <c r="J54" s="174"/>
      <c r="K54" s="175">
        <v>1</v>
      </c>
      <c r="L54" s="174">
        <v>49005</v>
      </c>
      <c r="M54" s="176">
        <f>K54*L54</f>
        <v>49005</v>
      </c>
      <c r="N54" s="177"/>
      <c r="O54" s="176"/>
      <c r="P54" s="177"/>
      <c r="Q54" s="176"/>
      <c r="R54" s="177"/>
      <c r="S54" s="176"/>
    </row>
    <row r="55" spans="1:19" s="182" customFormat="1" ht="16.5" thickBot="1" x14ac:dyDescent="0.3">
      <c r="A55" s="222"/>
      <c r="B55" s="223"/>
      <c r="C55" s="178"/>
      <c r="D55" s="219" t="s">
        <v>72</v>
      </c>
      <c r="E55" s="220"/>
      <c r="F55" s="221"/>
      <c r="G55" s="179"/>
      <c r="H55" s="180"/>
      <c r="I55" s="181"/>
      <c r="J55" s="35">
        <f>J26+J27+J31</f>
        <v>543070.99680904998</v>
      </c>
      <c r="K55" s="13"/>
      <c r="L55" s="35"/>
      <c r="M55" s="13">
        <f>M7+M25+M31+M54</f>
        <v>1015345.9950999999</v>
      </c>
      <c r="N55" s="35"/>
      <c r="O55" s="13"/>
      <c r="P55" s="35">
        <f>P7+P25+P31+P54+0.01</f>
        <v>1033019.0020579</v>
      </c>
      <c r="Q55" s="13"/>
      <c r="R55" s="35"/>
      <c r="S55" s="13">
        <f>S7+S25+S31+S54</f>
        <v>1085702.9950014718</v>
      </c>
    </row>
    <row r="56" spans="1:19" ht="31.5" customHeight="1" thickBot="1" x14ac:dyDescent="0.3">
      <c r="A56" s="318"/>
      <c r="B56" s="319"/>
      <c r="C56" s="57"/>
      <c r="D56" s="320" t="s">
        <v>89</v>
      </c>
      <c r="E56" s="321"/>
      <c r="F56" s="321"/>
      <c r="G56" s="184"/>
      <c r="H56" s="183"/>
      <c r="I56" s="184"/>
      <c r="J56" s="185">
        <f>J7+J30</f>
        <v>301472.18000000005</v>
      </c>
      <c r="K56" s="184"/>
      <c r="L56" s="186"/>
      <c r="M56" s="184"/>
      <c r="N56" s="186"/>
      <c r="O56" s="184"/>
      <c r="P56" s="186"/>
      <c r="Q56" s="184"/>
      <c r="R56" s="186"/>
      <c r="S56" s="184"/>
    </row>
    <row r="57" spans="1:19" x14ac:dyDescent="0.25">
      <c r="G57" s="187"/>
      <c r="H57" s="187"/>
      <c r="I57" s="188" t="s">
        <v>32</v>
      </c>
      <c r="J57" s="188"/>
      <c r="K57" s="189"/>
      <c r="L57" s="189"/>
    </row>
    <row r="58" spans="1:19" x14ac:dyDescent="0.25">
      <c r="C58" s="199" t="s">
        <v>75</v>
      </c>
      <c r="D58" s="199"/>
      <c r="E58" s="199"/>
      <c r="G58" s="190" t="s">
        <v>8</v>
      </c>
      <c r="H58" s="191"/>
      <c r="I58" s="191" t="s">
        <v>45</v>
      </c>
      <c r="J58" s="189"/>
      <c r="K58" s="189"/>
      <c r="L58" s="189"/>
    </row>
    <row r="60" spans="1:19" x14ac:dyDescent="0.25">
      <c r="C60" s="278" t="s">
        <v>41</v>
      </c>
      <c r="D60" s="278"/>
      <c r="E60" s="278"/>
      <c r="F60" s="278"/>
      <c r="G60" s="187"/>
      <c r="H60" s="187"/>
      <c r="I60" s="188" t="s">
        <v>40</v>
      </c>
      <c r="J60" s="188"/>
      <c r="K60" s="189"/>
      <c r="L60" s="189"/>
    </row>
    <row r="61" spans="1:19" x14ac:dyDescent="0.25">
      <c r="C61" s="192"/>
      <c r="D61" s="193"/>
      <c r="E61" s="190"/>
      <c r="G61" s="190" t="s">
        <v>8</v>
      </c>
      <c r="H61" s="191"/>
      <c r="I61" s="191" t="s">
        <v>45</v>
      </c>
      <c r="J61" s="189"/>
      <c r="K61" s="189"/>
      <c r="L61" s="189"/>
    </row>
    <row r="62" spans="1:19" x14ac:dyDescent="0.25">
      <c r="C62" s="278" t="s">
        <v>31</v>
      </c>
      <c r="D62" s="278"/>
      <c r="E62" s="278"/>
      <c r="G62" s="194"/>
      <c r="H62" s="194"/>
      <c r="I62" s="188" t="s">
        <v>33</v>
      </c>
      <c r="J62" s="188"/>
      <c r="K62" s="189"/>
      <c r="L62" s="189"/>
    </row>
    <row r="63" spans="1:19" x14ac:dyDescent="0.25">
      <c r="G63" s="190" t="s">
        <v>8</v>
      </c>
      <c r="H63" s="191"/>
      <c r="I63" s="191" t="s">
        <v>45</v>
      </c>
      <c r="J63" s="189"/>
      <c r="K63" s="189"/>
      <c r="L63" s="189"/>
    </row>
  </sheetData>
  <mergeCells count="124">
    <mergeCell ref="A56:B56"/>
    <mergeCell ref="D56:F56"/>
    <mergeCell ref="L5:L6"/>
    <mergeCell ref="O5:O6"/>
    <mergeCell ref="R5:R6"/>
    <mergeCell ref="K5:K6"/>
    <mergeCell ref="N5:N6"/>
    <mergeCell ref="Q5:Q6"/>
    <mergeCell ref="K3:M3"/>
    <mergeCell ref="N3:P3"/>
    <mergeCell ref="Q3:S3"/>
    <mergeCell ref="A51:B51"/>
    <mergeCell ref="A50:B50"/>
    <mergeCell ref="A26:B26"/>
    <mergeCell ref="A31:B31"/>
    <mergeCell ref="A33:B33"/>
    <mergeCell ref="A35:B35"/>
    <mergeCell ref="A37:B37"/>
    <mergeCell ref="A39:B39"/>
    <mergeCell ref="A41:B41"/>
    <mergeCell ref="A43:B43"/>
    <mergeCell ref="A45:B45"/>
    <mergeCell ref="A47:B47"/>
    <mergeCell ref="A32:B32"/>
    <mergeCell ref="C60:F60"/>
    <mergeCell ref="C62:E62"/>
    <mergeCell ref="D26:F26"/>
    <mergeCell ref="D31:F31"/>
    <mergeCell ref="D33:F33"/>
    <mergeCell ref="D25:F25"/>
    <mergeCell ref="D27:F27"/>
    <mergeCell ref="D32:F32"/>
    <mergeCell ref="D51:F51"/>
    <mergeCell ref="D49:F49"/>
    <mergeCell ref="D47:F47"/>
    <mergeCell ref="D45:F45"/>
    <mergeCell ref="D34:F34"/>
    <mergeCell ref="D46:F46"/>
    <mergeCell ref="D48:F48"/>
    <mergeCell ref="D50:F50"/>
    <mergeCell ref="D35:F35"/>
    <mergeCell ref="D37:F37"/>
    <mergeCell ref="D39:F39"/>
    <mergeCell ref="D41:F41"/>
    <mergeCell ref="D43:F43"/>
    <mergeCell ref="D36:F36"/>
    <mergeCell ref="D38:F38"/>
    <mergeCell ref="D30:F30"/>
    <mergeCell ref="A38:B38"/>
    <mergeCell ref="A28:B28"/>
    <mergeCell ref="A49:B49"/>
    <mergeCell ref="A40:B40"/>
    <mergeCell ref="A42:B42"/>
    <mergeCell ref="A44:B44"/>
    <mergeCell ref="A46:B46"/>
    <mergeCell ref="A48:B48"/>
    <mergeCell ref="A30:B30"/>
    <mergeCell ref="A14:B14"/>
    <mergeCell ref="A29:B29"/>
    <mergeCell ref="D29:F29"/>
    <mergeCell ref="D28:F28"/>
    <mergeCell ref="D40:F40"/>
    <mergeCell ref="D42:F42"/>
    <mergeCell ref="D44:F44"/>
    <mergeCell ref="A13:B13"/>
    <mergeCell ref="A16:B16"/>
    <mergeCell ref="A18:B18"/>
    <mergeCell ref="A22:B22"/>
    <mergeCell ref="A24:B24"/>
    <mergeCell ref="D22:F22"/>
    <mergeCell ref="D18:F18"/>
    <mergeCell ref="D16:F16"/>
    <mergeCell ref="A27:B27"/>
    <mergeCell ref="A25:B25"/>
    <mergeCell ref="A23:B23"/>
    <mergeCell ref="A19:B19"/>
    <mergeCell ref="A17:B17"/>
    <mergeCell ref="A15:B15"/>
    <mergeCell ref="D14:F14"/>
    <mergeCell ref="A34:B34"/>
    <mergeCell ref="A36:B36"/>
    <mergeCell ref="D7:F7"/>
    <mergeCell ref="A4:S4"/>
    <mergeCell ref="M5:M6"/>
    <mergeCell ref="P5:P6"/>
    <mergeCell ref="S5:S6"/>
    <mergeCell ref="A12:B12"/>
    <mergeCell ref="A10:B10"/>
    <mergeCell ref="A8:B8"/>
    <mergeCell ref="A11:B11"/>
    <mergeCell ref="A9:B9"/>
    <mergeCell ref="D12:F12"/>
    <mergeCell ref="I5:I6"/>
    <mergeCell ref="J5:J6"/>
    <mergeCell ref="C5:C6"/>
    <mergeCell ref="G5:G6"/>
    <mergeCell ref="H5:H6"/>
    <mergeCell ref="D5:F6"/>
    <mergeCell ref="A5:B6"/>
    <mergeCell ref="A7:B7"/>
    <mergeCell ref="A52:B52"/>
    <mergeCell ref="D52:F52"/>
    <mergeCell ref="C58:E58"/>
    <mergeCell ref="A1:S1"/>
    <mergeCell ref="A2:S2"/>
    <mergeCell ref="A20:B20"/>
    <mergeCell ref="A21:B21"/>
    <mergeCell ref="D20:F20"/>
    <mergeCell ref="D54:F54"/>
    <mergeCell ref="A54:B54"/>
    <mergeCell ref="D10:F10"/>
    <mergeCell ref="D8:F8"/>
    <mergeCell ref="D23:F23"/>
    <mergeCell ref="D19:F19"/>
    <mergeCell ref="D17:F17"/>
    <mergeCell ref="D15:F15"/>
    <mergeCell ref="D13:F13"/>
    <mergeCell ref="D11:F11"/>
    <mergeCell ref="D9:F9"/>
    <mergeCell ref="D21:F21"/>
    <mergeCell ref="D53:F53"/>
    <mergeCell ref="A53:B53"/>
    <mergeCell ref="D55:F55"/>
    <mergeCell ref="A55:B55"/>
  </mergeCells>
  <conditionalFormatting sqref="D12:D16">
    <cfRule type="notContainsText" dxfId="0" priority="1" operator="notContains" text="[назва витратного матеріалу]">
      <formula>ISERROR(SEARCH("[назва витратного матеріалу]",D12))</formula>
    </cfRule>
  </conditionalFormatting>
  <pageMargins left="0.7" right="0.7" top="0.75" bottom="0.75" header="0.3" footer="0.3"/>
  <pageSetup paperSize="9" scale="5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80AE6-EADA-41E0-BC95-BF4656E3B13E}">
  <dimension ref="B2:F10"/>
  <sheetViews>
    <sheetView workbookViewId="0">
      <selection activeCell="I25" sqref="I25"/>
    </sheetView>
  </sheetViews>
  <sheetFormatPr defaultRowHeight="15" x14ac:dyDescent="0.25"/>
  <cols>
    <col min="2" max="2" width="61.5703125" customWidth="1"/>
    <col min="5" max="5" width="17.140625" customWidth="1"/>
    <col min="6" max="6" width="16.7109375" customWidth="1"/>
  </cols>
  <sheetData>
    <row r="2" spans="2:6" s="2" customFormat="1" x14ac:dyDescent="0.25">
      <c r="B2" s="2" t="s">
        <v>34</v>
      </c>
    </row>
    <row r="3" spans="2:6" s="2" customFormat="1" x14ac:dyDescent="0.25"/>
    <row r="4" spans="2:6" x14ac:dyDescent="0.25">
      <c r="B4" s="339" t="s">
        <v>2</v>
      </c>
      <c r="C4" s="339" t="s">
        <v>6</v>
      </c>
      <c r="D4" s="341" t="s">
        <v>3</v>
      </c>
      <c r="E4" s="339" t="s">
        <v>38</v>
      </c>
      <c r="F4" s="339" t="s">
        <v>37</v>
      </c>
    </row>
    <row r="5" spans="2:6" ht="31.5" customHeight="1" x14ac:dyDescent="0.25">
      <c r="B5" s="340"/>
      <c r="C5" s="339"/>
      <c r="D5" s="341"/>
      <c r="E5" s="341"/>
      <c r="F5" s="341"/>
    </row>
    <row r="6" spans="2:6" ht="15.75" customHeight="1" x14ac:dyDescent="0.25">
      <c r="B6" s="3" t="s">
        <v>35</v>
      </c>
      <c r="C6" s="3" t="s">
        <v>36</v>
      </c>
      <c r="D6" s="3">
        <v>1</v>
      </c>
      <c r="E6" s="4">
        <v>41217</v>
      </c>
      <c r="F6" s="4">
        <v>45339</v>
      </c>
    </row>
    <row r="7" spans="2:6" x14ac:dyDescent="0.25">
      <c r="B7" s="3" t="s">
        <v>10</v>
      </c>
      <c r="C7" s="3" t="s">
        <v>39</v>
      </c>
      <c r="D7" s="3">
        <v>1</v>
      </c>
      <c r="E7" s="4">
        <v>8292</v>
      </c>
      <c r="F7" s="4">
        <v>9122</v>
      </c>
    </row>
    <row r="10" spans="2:6" x14ac:dyDescent="0.25">
      <c r="B10" t="s">
        <v>41</v>
      </c>
      <c r="C10" s="1"/>
      <c r="D10" s="1"/>
      <c r="E10" t="s">
        <v>40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2026 повний</vt:lpstr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2015-09-25T07:33:13Z</cp:lastPrinted>
  <dcterms:created xsi:type="dcterms:W3CDTF">2006-09-28T05:33:49Z</dcterms:created>
  <dcterms:modified xsi:type="dcterms:W3CDTF">2026-07-16T08:34:11Z</dcterms:modified>
</cp:coreProperties>
</file>