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4F7990C-F2AE-4917-ACE9-A9C4316FB669}" xr6:coauthVersionLast="47" xr6:coauthVersionMax="47" xr10:uidLastSave="{00000000-0000-0000-0000-000000000000}"/>
  <bookViews>
    <workbookView xWindow="3000" yWindow="3000" windowWidth="17280" windowHeight="8964" tabRatio="877" xr2:uid="{00000000-000D-0000-FFFF-FFFF00000000}"/>
  </bookViews>
  <sheets>
    <sheet name="фин.план 1" sheetId="3" r:id="rId1"/>
    <sheet name="обсяги витрат 1" sheetId="4" r:id="rId2"/>
  </sheets>
  <definedNames>
    <definedName name="_xlnm.Print_Area" localSheetId="1">'обсяги витрат 1'!$A$1:$Q$29</definedName>
    <definedName name="_xlnm.Print_Area" localSheetId="0">'фин.план 1'!$A$1:$G$124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3" l="1"/>
  <c r="F41" i="3" s="1"/>
  <c r="G44" i="3"/>
  <c r="G47" i="3"/>
  <c r="F46" i="3"/>
  <c r="J25" i="4"/>
  <c r="G110" i="3" l="1"/>
  <c r="I25" i="4"/>
  <c r="E96" i="3"/>
  <c r="J16" i="4"/>
  <c r="J14" i="4"/>
  <c r="J10" i="4"/>
  <c r="J11" i="4" s="1"/>
  <c r="I16" i="4"/>
  <c r="I14" i="4"/>
  <c r="I13" i="4"/>
  <c r="I10" i="4"/>
  <c r="I11" i="4" s="1"/>
  <c r="H22" i="4"/>
  <c r="H17" i="4"/>
  <c r="H15" i="4"/>
  <c r="H14" i="4"/>
  <c r="H13" i="4"/>
  <c r="G11" i="4"/>
  <c r="F11" i="4"/>
  <c r="C11" i="4"/>
  <c r="N25" i="4" l="1"/>
  <c r="G46" i="3" l="1"/>
  <c r="M14" i="4"/>
  <c r="M12" i="4" s="1"/>
  <c r="G64" i="3" s="1"/>
  <c r="D14" i="4"/>
  <c r="Q16" i="4"/>
  <c r="Q25" i="4"/>
  <c r="G101" i="3"/>
  <c r="P13" i="4"/>
  <c r="L10" i="4"/>
  <c r="G34" i="3" s="1"/>
  <c r="I9" i="4"/>
  <c r="H20" i="4"/>
  <c r="H18" i="4" s="1"/>
  <c r="G9" i="4"/>
  <c r="E102" i="3"/>
  <c r="E65" i="3"/>
  <c r="P26" i="4"/>
  <c r="O26" i="4"/>
  <c r="N26" i="4"/>
  <c r="N24" i="4" s="1"/>
  <c r="P25" i="4"/>
  <c r="O25" i="4"/>
  <c r="M24" i="4"/>
  <c r="L24" i="4"/>
  <c r="K24" i="4"/>
  <c r="J24" i="4"/>
  <c r="I24" i="4"/>
  <c r="H24" i="4"/>
  <c r="G24" i="4"/>
  <c r="F24" i="4"/>
  <c r="E24" i="4"/>
  <c r="D24" i="4"/>
  <c r="C24" i="4"/>
  <c r="B24" i="4"/>
  <c r="Q23" i="4"/>
  <c r="P23" i="4"/>
  <c r="O23" i="4"/>
  <c r="N23" i="4"/>
  <c r="Q22" i="4"/>
  <c r="P22" i="4"/>
  <c r="O22" i="4"/>
  <c r="N22" i="4"/>
  <c r="Q21" i="4"/>
  <c r="N21" i="4"/>
  <c r="Q20" i="4"/>
  <c r="P20" i="4"/>
  <c r="Q19" i="4"/>
  <c r="P19" i="4"/>
  <c r="O19" i="4"/>
  <c r="N19" i="4"/>
  <c r="M18" i="4"/>
  <c r="G54" i="3" s="1"/>
  <c r="L18" i="4"/>
  <c r="K18" i="4"/>
  <c r="J18" i="4"/>
  <c r="F54" i="3" s="1"/>
  <c r="I18" i="4"/>
  <c r="G18" i="4"/>
  <c r="E54" i="3" s="1"/>
  <c r="F18" i="4"/>
  <c r="E18" i="4"/>
  <c r="D18" i="4"/>
  <c r="C18" i="4"/>
  <c r="B18" i="4"/>
  <c r="Q17" i="4"/>
  <c r="P17" i="4"/>
  <c r="O17" i="4"/>
  <c r="N17" i="4"/>
  <c r="P16" i="4"/>
  <c r="O16" i="4"/>
  <c r="N16" i="4"/>
  <c r="Q15" i="4"/>
  <c r="P15" i="4"/>
  <c r="O15" i="4"/>
  <c r="N15" i="4"/>
  <c r="L14" i="4"/>
  <c r="L12" i="4" s="1"/>
  <c r="F12" i="4"/>
  <c r="O14" i="4"/>
  <c r="Q14" i="4"/>
  <c r="C14" i="4"/>
  <c r="Q13" i="4"/>
  <c r="E13" i="4"/>
  <c r="O13" i="4" s="1"/>
  <c r="K12" i="4"/>
  <c r="J12" i="4"/>
  <c r="F64" i="3" s="1"/>
  <c r="I12" i="4"/>
  <c r="H12" i="4"/>
  <c r="G12" i="4"/>
  <c r="E64" i="3" s="1"/>
  <c r="D12" i="4"/>
  <c r="D64" i="3" s="1"/>
  <c r="C12" i="4"/>
  <c r="B12" i="4"/>
  <c r="K11" i="4"/>
  <c r="K9" i="4" s="1"/>
  <c r="M10" i="4"/>
  <c r="G65" i="3" s="1"/>
  <c r="L11" i="4"/>
  <c r="L9" i="4" s="1"/>
  <c r="J9" i="4"/>
  <c r="H10" i="4"/>
  <c r="H11" i="4" s="1"/>
  <c r="H9" i="4" s="1"/>
  <c r="F9" i="4"/>
  <c r="E10" i="4"/>
  <c r="E51" i="3" s="1"/>
  <c r="D10" i="4"/>
  <c r="B10" i="4"/>
  <c r="B11" i="4" s="1"/>
  <c r="F110" i="3"/>
  <c r="D110" i="3"/>
  <c r="C108" i="3"/>
  <c r="C107" i="3"/>
  <c r="C106" i="3"/>
  <c r="C105" i="3"/>
  <c r="C104" i="3"/>
  <c r="C103" i="3"/>
  <c r="C102" i="3"/>
  <c r="C100" i="3"/>
  <c r="G99" i="3"/>
  <c r="F99" i="3"/>
  <c r="E99" i="3"/>
  <c r="D99" i="3"/>
  <c r="C95" i="3"/>
  <c r="G93" i="3"/>
  <c r="F93" i="3"/>
  <c r="E93" i="3"/>
  <c r="D93" i="3"/>
  <c r="C68" i="3"/>
  <c r="C67" i="3"/>
  <c r="C53" i="3"/>
  <c r="C47" i="3"/>
  <c r="G41" i="3"/>
  <c r="E46" i="3"/>
  <c r="E41" i="3" s="1"/>
  <c r="D46" i="3"/>
  <c r="D41" i="3" s="1"/>
  <c r="C44" i="3"/>
  <c r="C43" i="3"/>
  <c r="F39" i="3"/>
  <c r="C36" i="3"/>
  <c r="C27" i="3"/>
  <c r="G33" i="3" l="1"/>
  <c r="C93" i="3"/>
  <c r="E37" i="3"/>
  <c r="Q10" i="4"/>
  <c r="K27" i="4"/>
  <c r="G29" i="3" s="1"/>
  <c r="G26" i="3" s="1"/>
  <c r="G22" i="3" s="1"/>
  <c r="E11" i="4"/>
  <c r="E9" i="4" s="1"/>
  <c r="O20" i="4"/>
  <c r="Q18" i="4"/>
  <c r="G37" i="3"/>
  <c r="G109" i="3"/>
  <c r="N20" i="4"/>
  <c r="F37" i="3"/>
  <c r="E101" i="3"/>
  <c r="E109" i="3" s="1"/>
  <c r="E94" i="3" s="1"/>
  <c r="F27" i="4"/>
  <c r="E30" i="3" s="1"/>
  <c r="D50" i="3"/>
  <c r="N13" i="4"/>
  <c r="P18" i="4"/>
  <c r="F34" i="3"/>
  <c r="F51" i="3"/>
  <c r="O24" i="4"/>
  <c r="J27" i="4"/>
  <c r="D54" i="3"/>
  <c r="C54" i="3" s="1"/>
  <c r="D65" i="3"/>
  <c r="D101" i="3"/>
  <c r="D109" i="3" s="1"/>
  <c r="F66" i="3"/>
  <c r="E12" i="4"/>
  <c r="C46" i="3"/>
  <c r="L27" i="4"/>
  <c r="G30" i="3" s="1"/>
  <c r="N18" i="4"/>
  <c r="P24" i="4"/>
  <c r="E34" i="3"/>
  <c r="E91" i="3" s="1"/>
  <c r="F65" i="3"/>
  <c r="D34" i="3"/>
  <c r="G35" i="3"/>
  <c r="G31" i="3" s="1"/>
  <c r="G51" i="3"/>
  <c r="G91" i="3" s="1"/>
  <c r="I27" i="4"/>
  <c r="F30" i="3" s="1"/>
  <c r="G50" i="3"/>
  <c r="G90" i="3" s="1"/>
  <c r="H27" i="4"/>
  <c r="F50" i="3"/>
  <c r="D37" i="3"/>
  <c r="O18" i="4"/>
  <c r="D33" i="3"/>
  <c r="E66" i="3"/>
  <c r="E62" i="3" s="1"/>
  <c r="G27" i="4"/>
  <c r="F101" i="3"/>
  <c r="F109" i="3" s="1"/>
  <c r="Q24" i="4"/>
  <c r="N14" i="4"/>
  <c r="C64" i="3"/>
  <c r="Q12" i="4"/>
  <c r="F33" i="3"/>
  <c r="P12" i="4"/>
  <c r="G52" i="3"/>
  <c r="F52" i="3"/>
  <c r="F35" i="3"/>
  <c r="P10" i="4"/>
  <c r="D52" i="3"/>
  <c r="D35" i="3"/>
  <c r="D51" i="3"/>
  <c r="P11" i="4"/>
  <c r="B9" i="4"/>
  <c r="B27" i="4" s="1"/>
  <c r="P14" i="4"/>
  <c r="C9" i="4"/>
  <c r="D11" i="4"/>
  <c r="M11" i="4"/>
  <c r="O10" i="4"/>
  <c r="N10" i="4"/>
  <c r="G39" i="3"/>
  <c r="C110" i="3"/>
  <c r="E39" i="3"/>
  <c r="C99" i="3"/>
  <c r="E110" i="3"/>
  <c r="D39" i="3"/>
  <c r="D94" i="3" l="1"/>
  <c r="E52" i="3"/>
  <c r="E35" i="3"/>
  <c r="D90" i="3"/>
  <c r="O11" i="4"/>
  <c r="C65" i="3"/>
  <c r="G94" i="3"/>
  <c r="E27" i="4"/>
  <c r="E29" i="3" s="1"/>
  <c r="D66" i="3"/>
  <c r="D62" i="3" s="1"/>
  <c r="Q11" i="4"/>
  <c r="F94" i="3"/>
  <c r="C34" i="3"/>
  <c r="D48" i="3"/>
  <c r="M9" i="4"/>
  <c r="M27" i="4" s="1"/>
  <c r="G66" i="3"/>
  <c r="G62" i="3" s="1"/>
  <c r="F62" i="3"/>
  <c r="C62" i="3" s="1"/>
  <c r="F91" i="3"/>
  <c r="C51" i="3"/>
  <c r="F90" i="3"/>
  <c r="C35" i="3"/>
  <c r="F48" i="3"/>
  <c r="P27" i="4"/>
  <c r="F29" i="3"/>
  <c r="F31" i="3"/>
  <c r="O12" i="4"/>
  <c r="E33" i="3"/>
  <c r="E50" i="3"/>
  <c r="C37" i="3"/>
  <c r="D31" i="3"/>
  <c r="C66" i="3"/>
  <c r="E92" i="3"/>
  <c r="C101" i="3"/>
  <c r="C96" i="3"/>
  <c r="C52" i="3"/>
  <c r="G48" i="3"/>
  <c r="F92" i="3"/>
  <c r="D92" i="3"/>
  <c r="D91" i="3"/>
  <c r="P9" i="4"/>
  <c r="C27" i="4"/>
  <c r="D30" i="3" s="1"/>
  <c r="O9" i="4"/>
  <c r="D29" i="3"/>
  <c r="D9" i="4"/>
  <c r="N12" i="4"/>
  <c r="N11" i="4"/>
  <c r="C39" i="3"/>
  <c r="C41" i="3"/>
  <c r="E26" i="3" l="1"/>
  <c r="E22" i="3" s="1"/>
  <c r="F26" i="3"/>
  <c r="F22" i="3" s="1"/>
  <c r="N9" i="4"/>
  <c r="N27" i="4" s="1"/>
  <c r="C94" i="3"/>
  <c r="Q27" i="4"/>
  <c r="F97" i="3"/>
  <c r="C29" i="3"/>
  <c r="O27" i="4"/>
  <c r="G92" i="3"/>
  <c r="G97" i="3" s="1"/>
  <c r="C92" i="3"/>
  <c r="C50" i="3"/>
  <c r="E48" i="3"/>
  <c r="E90" i="3"/>
  <c r="E31" i="3"/>
  <c r="C31" i="3" s="1"/>
  <c r="C33" i="3"/>
  <c r="C109" i="3"/>
  <c r="C30" i="3"/>
  <c r="D26" i="3"/>
  <c r="D97" i="3"/>
  <c r="C91" i="3"/>
  <c r="Q9" i="4"/>
  <c r="D27" i="4"/>
  <c r="C48" i="3" l="1"/>
  <c r="E97" i="3"/>
  <c r="C90" i="3"/>
  <c r="D22" i="3"/>
  <c r="C26" i="3"/>
  <c r="C97" i="3" l="1"/>
  <c r="C22" i="3"/>
  <c r="I97" i="3" l="1"/>
</calcChain>
</file>

<file path=xl/sharedStrings.xml><?xml version="1.0" encoding="utf-8"?>
<sst xmlns="http://schemas.openxmlformats.org/spreadsheetml/2006/main" count="210" uniqueCount="167">
  <si>
    <t>Підприємство</t>
  </si>
  <si>
    <t>Коди</t>
  </si>
  <si>
    <t>Орган управління</t>
  </si>
  <si>
    <t>За ЄДРПОУ</t>
  </si>
  <si>
    <t>Галузь</t>
  </si>
  <si>
    <t>Охорона здоров’я</t>
  </si>
  <si>
    <t>За СПОДУ</t>
  </si>
  <si>
    <t>Вид економічної діяльності</t>
  </si>
  <si>
    <t>Діяльність лікарняних закладів</t>
  </si>
  <si>
    <t>За ЗКНГ</t>
  </si>
  <si>
    <t>За КВЕД</t>
  </si>
  <si>
    <t>86.10</t>
  </si>
  <si>
    <t>(04842) 3-52-01</t>
  </si>
  <si>
    <t>Керівник</t>
  </si>
  <si>
    <t>Показники</t>
  </si>
  <si>
    <t>Код рядка</t>
  </si>
  <si>
    <t>Плановий рік, усього</t>
  </si>
  <si>
    <t>У тому числі за кварталами</t>
  </si>
  <si>
    <t>І</t>
  </si>
  <si>
    <t>ІІ</t>
  </si>
  <si>
    <t>ІІІ</t>
  </si>
  <si>
    <t>ІV</t>
  </si>
  <si>
    <t>І. Фінансові результати</t>
  </si>
  <si>
    <t>Дохід (виручка) від реалізації продукції (товарів, робіт, послуг)</t>
  </si>
  <si>
    <t>Податок на додану вартість</t>
  </si>
  <si>
    <t>Акцизний збір</t>
  </si>
  <si>
    <t>Інші вирахування з доходу</t>
  </si>
  <si>
    <t>за рахунок субвенції з Державного бюджету</t>
  </si>
  <si>
    <t>за рахунок місцевого бюджету</t>
  </si>
  <si>
    <t>за договорами НСЗУ</t>
  </si>
  <si>
    <t>Собівартість реалізованої продукції (товарів, робіт, послуг)</t>
  </si>
  <si>
    <t>у тому числі за економічними елементами:</t>
  </si>
  <si>
    <t>матеріальні затрати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</si>
  <si>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</si>
  <si>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</si>
  <si>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</si>
  <si>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</si>
  <si>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Валовий:</t>
  </si>
  <si>
    <t>прибуток</t>
  </si>
  <si>
    <t>збиток</t>
  </si>
  <si>
    <t>Інші операційні доходи</t>
  </si>
  <si>
    <t>у тому числі:</t>
  </si>
  <si>
    <t>дохід від операційної оренди активів</t>
  </si>
  <si>
    <t>одержані гранти та субсидії</t>
  </si>
  <si>
    <t>дохід від реалізації необоротних активів, утримуваних для продажу</t>
  </si>
  <si>
    <t>дохід від платних послуг</t>
  </si>
  <si>
    <t>Витрати на збут (сума рядків зі 101 по 105)</t>
  </si>
  <si>
    <t>Фінансові результати від операційної діяльності:</t>
  </si>
  <si>
    <t>Дохід від участі в капіталі</t>
  </si>
  <si>
    <t>Інші фінансові доходи</t>
  </si>
  <si>
    <t>Інші доходи</t>
  </si>
  <si>
    <t>від реалізації фінансових інвестицій</t>
  </si>
  <si>
    <t>від безплатно одержаних активів</t>
  </si>
  <si>
    <t>Фінансові витрати</t>
  </si>
  <si>
    <t>Витрати від участі в капіталі</t>
  </si>
  <si>
    <t>Інші витрати</t>
  </si>
  <si>
    <t>Фінансові результати від звичайної діяльності до оподаткування:</t>
  </si>
  <si>
    <t>Податок на прибуток</t>
  </si>
  <si>
    <t>Чистий:</t>
  </si>
  <si>
    <t>Відрахування частини прибутку до бюджету</t>
  </si>
  <si>
    <t>ІІ. Елементи операційних витрат (разом)</t>
  </si>
  <si>
    <t>Матеріальні затрати</t>
  </si>
  <si>
    <t>Витрати на оплату праці</t>
  </si>
  <si>
    <t>Відрахування на соціальні заходи</t>
  </si>
  <si>
    <t>Амортизація</t>
  </si>
  <si>
    <t>Разом (сума рядків із 310 по 350)</t>
  </si>
  <si>
    <t>ІІІ. Капітальні інвестиції протягом року</t>
  </si>
  <si>
    <t>Капітальне будівництво</t>
  </si>
  <si>
    <t>у тому числі за рахунок бюджетних коштів</t>
  </si>
  <si>
    <t>Придбання (виготовлення) основних засобів та інших необоротних матеріальних активів</t>
  </si>
  <si>
    <t>Придбання (створення) нематеріальних активів)</t>
  </si>
  <si>
    <t>Погашення отриманих на капітальні інвестиції позик</t>
  </si>
  <si>
    <t>Модернізація, модифікація, дообладнання, реконструкція, інші види поліпшення необоротних активів</t>
  </si>
  <si>
    <t>Разом (сума рядків 410,420, 430, 440, 450)</t>
  </si>
  <si>
    <t>у тому числі за рахунок бюджетних коштів (сума рядків 411, 421, 431, 441, 451)</t>
  </si>
  <si>
    <t>ІV. Додаткова інформація</t>
  </si>
  <si>
    <t>Первісна 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</si>
  <si>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</si>
  <si>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</si>
  <si>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одиниця виміру: тис. грн.</t>
  </si>
  <si>
    <t xml:space="preserve">Місцезнаходження  </t>
  </si>
  <si>
    <t xml:space="preserve">Телефон </t>
  </si>
  <si>
    <t>010</t>
  </si>
  <si>
    <t>020</t>
  </si>
  <si>
    <t>030</t>
  </si>
  <si>
    <t>040</t>
  </si>
  <si>
    <t>050</t>
  </si>
  <si>
    <t>051</t>
  </si>
  <si>
    <t>052</t>
  </si>
  <si>
    <t>053</t>
  </si>
  <si>
    <t>060</t>
  </si>
  <si>
    <t>061</t>
  </si>
  <si>
    <t>062</t>
  </si>
  <si>
    <t>063</t>
  </si>
  <si>
    <t>064</t>
  </si>
  <si>
    <t>065</t>
  </si>
  <si>
    <t>071</t>
  </si>
  <si>
    <t>072</t>
  </si>
  <si>
    <t>080</t>
  </si>
  <si>
    <t>081</t>
  </si>
  <si>
    <t>082</t>
  </si>
  <si>
    <t>083</t>
  </si>
  <si>
    <t>084</t>
  </si>
  <si>
    <t>Адміністративні витрати
(сума рядків із 091 по 095)</t>
  </si>
  <si>
    <t>090</t>
  </si>
  <si>
    <t>091</t>
  </si>
  <si>
    <t>092</t>
  </si>
  <si>
    <t>093</t>
  </si>
  <si>
    <t>094</t>
  </si>
  <si>
    <t>095</t>
  </si>
  <si>
    <t>Інші операційні витрати
(сума рядків з 111 по 115)</t>
  </si>
  <si>
    <t>Керуюча справами міськвиконкому</t>
  </si>
  <si>
    <t>Шегида Л.Г.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</si>
  <si>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</si>
  <si>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085</t>
  </si>
  <si>
    <t>благодійні внески, гранти та дарунки</t>
  </si>
  <si>
    <t>Чистий дохід (виручка) від реалізації продукції (товарів, робіт, послуг) (сума рядків із 051 по 054 та 080 ), в т.ч.:</t>
  </si>
  <si>
    <t>інші субвенції з місцевого бюджету</t>
  </si>
  <si>
    <t>Додаток1</t>
  </si>
  <si>
    <t xml:space="preserve">до пояснювальної записки </t>
  </si>
  <si>
    <t>(тис.грн)</t>
  </si>
  <si>
    <t>Найменування</t>
  </si>
  <si>
    <t>1 квартал</t>
  </si>
  <si>
    <t>2 квартал</t>
  </si>
  <si>
    <t>3 квартал</t>
  </si>
  <si>
    <t>4 квартал</t>
  </si>
  <si>
    <t>ВСЬОГО</t>
  </si>
  <si>
    <t>Місцевий бюджет</t>
  </si>
  <si>
    <t>МБ</t>
  </si>
  <si>
    <t>НСЗУ</t>
  </si>
  <si>
    <t>власні</t>
  </si>
  <si>
    <t>Оплата праці  і нарахування</t>
  </si>
  <si>
    <t>Заробітна плата</t>
  </si>
  <si>
    <t>Продукти харчування</t>
  </si>
  <si>
    <t>Інші операційні витрати (соціальне забезпечення, інші поточні видатки)</t>
  </si>
  <si>
    <t xml:space="preserve">Відрядження </t>
  </si>
  <si>
    <t>Інші виплати населенню</t>
  </si>
  <si>
    <t>Інші поточні видатки</t>
  </si>
  <si>
    <t>Капітальні інвестиції протягом року:</t>
  </si>
  <si>
    <t>Придбання обладнання і предметів довгострокового користування</t>
  </si>
  <si>
    <t>Капітальний ремонт</t>
  </si>
  <si>
    <t>Всього</t>
  </si>
  <si>
    <t>_____________</t>
  </si>
  <si>
    <t>Чисельність працівників, штатних одиниць</t>
  </si>
  <si>
    <t>Оплата комунальних послуг та енергоносіїв</t>
  </si>
  <si>
    <t>Медикаменти та перев' язувальні матеріали</t>
  </si>
  <si>
    <t>Предмети, матеріали, обладнання та інвентар</t>
  </si>
  <si>
    <t>Нарахування на оплату праці</t>
  </si>
  <si>
    <t>Оплата послуг (крім комунальних)</t>
  </si>
  <si>
    <t>Генеральний  директор</t>
  </si>
  <si>
    <t>Оксана ДЕНИСЕНКО</t>
  </si>
  <si>
    <t>Комунальне некомерційне підприємство «Південнівська міська лікарня» Південнівської міської ради</t>
  </si>
  <si>
    <t>Південнівська міська рада</t>
  </si>
  <si>
    <t>вул. Хіміків, 1, м. Південне, Одеська область, індекс 65481</t>
  </si>
  <si>
    <t>ДЕНИСЕНКО Оксана Вадимівна</t>
  </si>
  <si>
    <t>Відрядження</t>
  </si>
  <si>
    <t>Послуги з зубопротезування пільгової категорії громадян.Пільова пенсія</t>
  </si>
  <si>
    <t>Фінансовий план підприємства на 2026 рік</t>
  </si>
  <si>
    <t>350.1</t>
  </si>
  <si>
    <t>Інші операційні витрати в т.ч.</t>
  </si>
  <si>
    <t>350.2</t>
  </si>
  <si>
    <t xml:space="preserve">  -Капітальний ремонт </t>
  </si>
  <si>
    <t xml:space="preserve">  -Придбання обладнання </t>
  </si>
  <si>
    <t>Розрахункова таблиця  до фінансового плану Комунального некомерційного підприємства «Південнівська міська лікарня» Південнівської міської ради на 2026 рік</t>
  </si>
  <si>
    <t xml:space="preserve">Додаток
до рішення виконавчого комітету
Південнівської міської ради
від 29.09.2026 № 3120
</t>
  </si>
  <si>
    <t>Керуючий справами виконавчого комітету</t>
  </si>
  <si>
    <t>Владислав ТЕРЕЩЕНКО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</si>
</sst>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"/>
    <numFmt numFmtId="167" formatCode="0.000000"/>
  </numFmts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1" fontId="5" fillId="2" borderId="6" xfId="0" applyNumberFormat="1" applyFont="1" applyFill="1" applyBorder="1" applyAlignment="1">
      <alignment horizontal="center" wrapText="1"/>
    </xf>
    <xf numFmtId="0" fontId="5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6" fillId="0" borderId="0" xfId="0" applyFont="1"/>
    <xf numFmtId="165" fontId="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/>
    <xf numFmtId="4" fontId="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6" fillId="4" borderId="0" xfId="0" applyFont="1" applyFill="1"/>
    <xf numFmtId="0" fontId="2" fillId="4" borderId="0" xfId="0" applyFont="1" applyFill="1"/>
    <xf numFmtId="0" fontId="9" fillId="0" borderId="0" xfId="0" applyFont="1"/>
    <xf numFmtId="0" fontId="4" fillId="4" borderId="0" xfId="0" applyFont="1" applyFill="1"/>
    <xf numFmtId="49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3"/>
    </xf>
    <xf numFmtId="164" fontId="1" fillId="0" borderId="0" xfId="0" applyNumberFormat="1" applyFont="1"/>
    <xf numFmtId="165" fontId="1" fillId="0" borderId="0" xfId="0" applyNumberFormat="1" applyFont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0" xfId="0" applyFont="1" applyFill="1"/>
    <xf numFmtId="165" fontId="4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/>
    <xf numFmtId="165" fontId="10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165" fontId="4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 indent="3"/>
    </xf>
    <xf numFmtId="165" fontId="1" fillId="6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165" fontId="1" fillId="6" borderId="5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vertical="center" wrapText="1"/>
    </xf>
    <xf numFmtId="165" fontId="4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>
      <alignment horizontal="center" vertical="center"/>
    </xf>
    <xf numFmtId="165" fontId="6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5"/>
  <sheetViews>
    <sheetView tabSelected="1" view="pageBreakPreview" zoomScaleNormal="100" zoomScaleSheetLayoutView="100" workbookViewId="0">
      <selection activeCell="E124" sqref="E124:G124"/>
    </sheetView>
  </sheetViews>
  <sheetFormatPr defaultColWidth="9.109375" defaultRowHeight="15.6" x14ac:dyDescent="0.3"/>
  <cols>
    <col min="1" max="1" width="34.5546875" style="20" customWidth="1"/>
    <col min="2" max="2" width="12.5546875" style="20" customWidth="1"/>
    <col min="3" max="3" width="17" style="20" customWidth="1"/>
    <col min="4" max="4" width="14.33203125" style="20" bestFit="1" customWidth="1"/>
    <col min="5" max="5" width="14.6640625" style="20" customWidth="1"/>
    <col min="6" max="6" width="13.33203125" style="20" customWidth="1"/>
    <col min="7" max="7" width="13.109375" style="20" customWidth="1"/>
    <col min="8" max="8" width="9.109375" style="20"/>
    <col min="9" max="9" width="12.109375" style="20" bestFit="1" customWidth="1"/>
    <col min="10" max="10" width="11.33203125" style="20" bestFit="1" customWidth="1"/>
    <col min="11" max="11" width="15.5546875" style="20" customWidth="1"/>
    <col min="12" max="12" width="11.88671875" style="20" bestFit="1" customWidth="1"/>
    <col min="13" max="13" width="10.6640625" style="20" bestFit="1" customWidth="1"/>
    <col min="14" max="16384" width="9.109375" style="20"/>
  </cols>
  <sheetData>
    <row r="1" spans="1:12" ht="108" customHeight="1" x14ac:dyDescent="0.3">
      <c r="E1" s="86" t="s">
        <v>164</v>
      </c>
      <c r="F1" s="87"/>
      <c r="G1" s="87"/>
    </row>
    <row r="2" spans="1:12" ht="17.25" customHeight="1" x14ac:dyDescent="0.3">
      <c r="E2" s="88"/>
      <c r="F2" s="88"/>
      <c r="G2" s="88"/>
    </row>
    <row r="3" spans="1:12" ht="40.5" customHeight="1" x14ac:dyDescent="0.3">
      <c r="A3" s="89" t="s">
        <v>157</v>
      </c>
      <c r="B3" s="90"/>
      <c r="C3" s="90"/>
      <c r="D3" s="90"/>
      <c r="E3" s="90"/>
      <c r="F3" s="90"/>
      <c r="G3" s="90"/>
    </row>
    <row r="5" spans="1:12" ht="35.25" customHeight="1" x14ac:dyDescent="0.3">
      <c r="A5" s="91" t="s">
        <v>0</v>
      </c>
      <c r="B5" s="93" t="s">
        <v>151</v>
      </c>
      <c r="C5" s="94"/>
      <c r="D5" s="84" t="s">
        <v>1</v>
      </c>
      <c r="E5" s="97"/>
      <c r="F5" s="97"/>
      <c r="G5" s="85"/>
      <c r="L5" s="20" t="s">
        <v>113</v>
      </c>
    </row>
    <row r="6" spans="1:12" ht="28.5" customHeight="1" x14ac:dyDescent="0.3">
      <c r="A6" s="92"/>
      <c r="B6" s="95"/>
      <c r="C6" s="96"/>
      <c r="D6" s="84" t="s">
        <v>3</v>
      </c>
      <c r="E6" s="85"/>
      <c r="F6" s="84">
        <v>34592230</v>
      </c>
      <c r="G6" s="85"/>
    </row>
    <row r="7" spans="1:12" ht="28.2" customHeight="1" x14ac:dyDescent="0.3">
      <c r="A7" s="64" t="s">
        <v>2</v>
      </c>
      <c r="B7" s="81" t="s">
        <v>152</v>
      </c>
      <c r="C7" s="83"/>
      <c r="D7" s="84" t="s">
        <v>6</v>
      </c>
      <c r="E7" s="85"/>
      <c r="F7" s="84"/>
      <c r="G7" s="85"/>
    </row>
    <row r="8" spans="1:12" ht="26.4" customHeight="1" x14ac:dyDescent="0.3">
      <c r="A8" s="64" t="s">
        <v>4</v>
      </c>
      <c r="B8" s="81" t="s">
        <v>5</v>
      </c>
      <c r="C8" s="83"/>
      <c r="D8" s="84" t="s">
        <v>9</v>
      </c>
      <c r="E8" s="85"/>
      <c r="F8" s="84"/>
      <c r="G8" s="85"/>
    </row>
    <row r="9" spans="1:12" ht="31.95" customHeight="1" x14ac:dyDescent="0.3">
      <c r="A9" s="64" t="s">
        <v>7</v>
      </c>
      <c r="B9" s="81" t="s">
        <v>8</v>
      </c>
      <c r="C9" s="83"/>
      <c r="D9" s="84" t="s">
        <v>10</v>
      </c>
      <c r="E9" s="85"/>
      <c r="F9" s="84" t="s">
        <v>11</v>
      </c>
      <c r="G9" s="85"/>
    </row>
    <row r="10" spans="1:12" ht="19.2" customHeight="1" x14ac:dyDescent="0.3">
      <c r="A10" s="64" t="s">
        <v>80</v>
      </c>
      <c r="B10" s="81" t="s">
        <v>153</v>
      </c>
      <c r="C10" s="82"/>
      <c r="D10" s="82"/>
      <c r="E10" s="82"/>
      <c r="F10" s="82"/>
      <c r="G10" s="83"/>
    </row>
    <row r="11" spans="1:12" ht="18.600000000000001" customHeight="1" x14ac:dyDescent="0.3">
      <c r="A11" s="64" t="s">
        <v>81</v>
      </c>
      <c r="B11" s="81" t="s">
        <v>12</v>
      </c>
      <c r="C11" s="82"/>
      <c r="D11" s="82"/>
      <c r="E11" s="82"/>
      <c r="F11" s="82"/>
      <c r="G11" s="83"/>
    </row>
    <row r="12" spans="1:12" ht="19.95" customHeight="1" x14ac:dyDescent="0.3">
      <c r="A12" s="64" t="s">
        <v>13</v>
      </c>
      <c r="B12" s="81" t="s">
        <v>154</v>
      </c>
      <c r="C12" s="82"/>
      <c r="D12" s="82"/>
      <c r="E12" s="82"/>
      <c r="F12" s="82"/>
      <c r="G12" s="83"/>
    </row>
    <row r="14" spans="1:12" ht="8.25" customHeight="1" x14ac:dyDescent="0.3"/>
    <row r="15" spans="1:12" ht="8.25" customHeight="1" x14ac:dyDescent="0.3">
      <c r="A15" s="21"/>
    </row>
    <row r="16" spans="1:12" x14ac:dyDescent="0.3">
      <c r="A16" s="21"/>
      <c r="E16" s="20" t="s">
        <v>79</v>
      </c>
    </row>
    <row r="17" spans="1:13" x14ac:dyDescent="0.3">
      <c r="A17" s="22">
        <v>1</v>
      </c>
      <c r="B17" s="22">
        <v>2</v>
      </c>
      <c r="C17" s="22">
        <v>3</v>
      </c>
      <c r="D17" s="22">
        <v>4</v>
      </c>
      <c r="E17" s="22">
        <v>5</v>
      </c>
      <c r="F17" s="22">
        <v>6</v>
      </c>
      <c r="G17" s="22">
        <v>7</v>
      </c>
    </row>
    <row r="18" spans="1:13" x14ac:dyDescent="0.3">
      <c r="A18" s="80" t="s">
        <v>14</v>
      </c>
      <c r="B18" s="80" t="s">
        <v>15</v>
      </c>
      <c r="C18" s="80" t="s">
        <v>16</v>
      </c>
      <c r="D18" s="80" t="s">
        <v>17</v>
      </c>
      <c r="E18" s="80"/>
      <c r="F18" s="80"/>
      <c r="G18" s="80"/>
    </row>
    <row r="19" spans="1:13" ht="21.75" customHeight="1" x14ac:dyDescent="0.3">
      <c r="A19" s="80"/>
      <c r="B19" s="80"/>
      <c r="C19" s="80"/>
      <c r="D19" s="22" t="s">
        <v>18</v>
      </c>
      <c r="E19" s="22" t="s">
        <v>19</v>
      </c>
      <c r="F19" s="22" t="s">
        <v>20</v>
      </c>
      <c r="G19" s="22" t="s">
        <v>21</v>
      </c>
    </row>
    <row r="20" spans="1:13" x14ac:dyDescent="0.3">
      <c r="A20" s="22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</row>
    <row r="21" spans="1:13" ht="21.75" customHeight="1" x14ac:dyDescent="0.3">
      <c r="A21" s="80" t="s">
        <v>22</v>
      </c>
      <c r="B21" s="80"/>
      <c r="C21" s="80"/>
      <c r="D21" s="80"/>
      <c r="E21" s="80"/>
      <c r="F21" s="80"/>
      <c r="G21" s="80"/>
      <c r="I21" s="26"/>
      <c r="J21" s="26"/>
      <c r="K21" s="26"/>
      <c r="L21" s="26"/>
    </row>
    <row r="22" spans="1:13" ht="31.2" x14ac:dyDescent="0.3">
      <c r="A22" s="23" t="s">
        <v>23</v>
      </c>
      <c r="B22" s="24" t="s">
        <v>82</v>
      </c>
      <c r="C22" s="25">
        <f>D22+E22+F22+G22</f>
        <v>109363.61500000001</v>
      </c>
      <c r="D22" s="25">
        <f>D26</f>
        <v>22976.675999999999</v>
      </c>
      <c r="E22" s="25">
        <f>E26</f>
        <v>27481.626</v>
      </c>
      <c r="F22" s="25">
        <f>F26</f>
        <v>32156.319</v>
      </c>
      <c r="G22" s="25">
        <f>G26</f>
        <v>26748.993999999999</v>
      </c>
    </row>
    <row r="23" spans="1:13" x14ac:dyDescent="0.3">
      <c r="A23" s="23" t="s">
        <v>24</v>
      </c>
      <c r="B23" s="24" t="s">
        <v>83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13" x14ac:dyDescent="0.3">
      <c r="A24" s="23" t="s">
        <v>25</v>
      </c>
      <c r="B24" s="24" t="s">
        <v>84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13" x14ac:dyDescent="0.3">
      <c r="A25" s="23" t="s">
        <v>26</v>
      </c>
      <c r="B25" s="24" t="s">
        <v>85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13" ht="62.4" x14ac:dyDescent="0.3">
      <c r="A26" s="23" t="s">
        <v>116</v>
      </c>
      <c r="B26" s="24" t="s">
        <v>86</v>
      </c>
      <c r="C26" s="25">
        <f>D26+E26+F26+G26</f>
        <v>109363.61500000001</v>
      </c>
      <c r="D26" s="25">
        <f>D27+D28+D29+D30+D41</f>
        <v>22976.675999999999</v>
      </c>
      <c r="E26" s="25">
        <f>E27+E28+E29+E41+E30</f>
        <v>27481.626</v>
      </c>
      <c r="F26" s="25">
        <f t="shared" ref="F26:G26" si="0">F27+F28+F29+F41+F30</f>
        <v>32156.319</v>
      </c>
      <c r="G26" s="25">
        <f t="shared" si="0"/>
        <v>26748.993999999999</v>
      </c>
      <c r="I26" s="26"/>
    </row>
    <row r="27" spans="1:13" ht="32.25" customHeight="1" x14ac:dyDescent="0.3">
      <c r="A27" s="23" t="s">
        <v>27</v>
      </c>
      <c r="B27" s="24" t="s">
        <v>87</v>
      </c>
      <c r="C27" s="25">
        <f>SUM(D27:G27)</f>
        <v>0</v>
      </c>
      <c r="D27" s="25"/>
      <c r="E27" s="25">
        <v>0</v>
      </c>
      <c r="F27" s="25">
        <v>0</v>
      </c>
      <c r="G27" s="25">
        <v>0</v>
      </c>
      <c r="I27" s="26"/>
    </row>
    <row r="28" spans="1:13" s="49" customFormat="1" ht="31.95" hidden="1" customHeight="1" x14ac:dyDescent="0.3">
      <c r="A28" s="47" t="s">
        <v>117</v>
      </c>
      <c r="B28" s="48" t="s">
        <v>88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I28" s="26"/>
      <c r="J28" s="20"/>
      <c r="K28" s="20"/>
      <c r="L28" s="20"/>
      <c r="M28" s="20"/>
    </row>
    <row r="29" spans="1:13" ht="30.75" customHeight="1" x14ac:dyDescent="0.3">
      <c r="A29" s="76" t="s">
        <v>28</v>
      </c>
      <c r="B29" s="24" t="s">
        <v>88</v>
      </c>
      <c r="C29" s="25">
        <f>SUM(D29:G29)</f>
        <v>27970.135999999999</v>
      </c>
      <c r="D29" s="25">
        <f>'обсяги витрат 1'!B27</f>
        <v>6192.0069999999996</v>
      </c>
      <c r="E29" s="25">
        <f>'обсяги витрат 1'!E27</f>
        <v>9765.6219999999994</v>
      </c>
      <c r="F29" s="25">
        <f>'обсяги витрат 1'!H27</f>
        <v>6268.085</v>
      </c>
      <c r="G29" s="25">
        <f>'обсяги витрат 1'!K27</f>
        <v>5744.4219999999996</v>
      </c>
      <c r="I29" s="26"/>
    </row>
    <row r="30" spans="1:13" ht="28.5" customHeight="1" x14ac:dyDescent="0.3">
      <c r="A30" s="76" t="s">
        <v>29</v>
      </c>
      <c r="B30" s="24" t="s">
        <v>89</v>
      </c>
      <c r="C30" s="25">
        <f>SUM(D30:G30)</f>
        <v>70802.391000000003</v>
      </c>
      <c r="D30" s="25">
        <f>'обсяги витрат 1'!C27</f>
        <v>14954.344999999999</v>
      </c>
      <c r="E30" s="25">
        <f>'обсяги витрат 1'!F27</f>
        <v>15670.17</v>
      </c>
      <c r="F30" s="25">
        <f>'обсяги витрат 1'!I27</f>
        <v>23005.392</v>
      </c>
      <c r="G30" s="25">
        <f>'обсяги витрат 1'!L27</f>
        <v>17172.484</v>
      </c>
      <c r="I30" s="26"/>
    </row>
    <row r="31" spans="1:13" ht="34.5" customHeight="1" x14ac:dyDescent="0.3">
      <c r="A31" s="23" t="s">
        <v>30</v>
      </c>
      <c r="B31" s="24" t="s">
        <v>90</v>
      </c>
      <c r="C31" s="25">
        <f>SUM(D31:G31)</f>
        <v>73445.188999999998</v>
      </c>
      <c r="D31" s="25">
        <f>D33+D34+D35+D37+D36</f>
        <v>16939.425999999999</v>
      </c>
      <c r="E31" s="25">
        <f t="shared" ref="E31:G31" si="1">E33+E34+E35+E37+E36</f>
        <v>17991.311000000002</v>
      </c>
      <c r="F31" s="25">
        <f t="shared" si="1"/>
        <v>20958.581999999999</v>
      </c>
      <c r="G31" s="25">
        <f t="shared" si="1"/>
        <v>17555.87</v>
      </c>
      <c r="I31" s="26"/>
    </row>
    <row r="32" spans="1:13" ht="31.2" x14ac:dyDescent="0.3">
      <c r="A32" s="23" t="s">
        <v>31</v>
      </c>
      <c r="B32" s="34"/>
      <c r="C32" s="35"/>
      <c r="D32" s="35"/>
      <c r="E32" s="35"/>
      <c r="F32" s="35"/>
      <c r="G32" s="35"/>
      <c r="I32" s="26"/>
    </row>
    <row r="33" spans="1:9" ht="18" customHeight="1" x14ac:dyDescent="0.3">
      <c r="A33" s="36" t="s">
        <v>32</v>
      </c>
      <c r="B33" s="24" t="s">
        <v>91</v>
      </c>
      <c r="C33" s="25">
        <f>SUM(D33:G33)</f>
        <v>18829.97</v>
      </c>
      <c r="D33" s="25">
        <f>('обсяги витрат 1'!B12+'обсяги витрат 1'!C12)*80%</f>
        <v>4463.1540000000005</v>
      </c>
      <c r="E33" s="25">
        <f>('обсяги витрат 1'!E12+'обсяги витрат 1'!F12)*80%</f>
        <v>5246.5879999999997</v>
      </c>
      <c r="F33" s="67">
        <f>('обсяги витрат 1'!H12+'обсяги витрат 1'!I12)*80%</f>
        <v>5184.0630000000001</v>
      </c>
      <c r="G33" s="25">
        <f>('обсяги витрат 1'!K12+'обсяги витрат 1'!L12)*80%</f>
        <v>3936.165</v>
      </c>
      <c r="I33" s="26"/>
    </row>
    <row r="34" spans="1:9" ht="18" customHeight="1" x14ac:dyDescent="0.3">
      <c r="A34" s="36" t="s">
        <v>33</v>
      </c>
      <c r="B34" s="24" t="s">
        <v>92</v>
      </c>
      <c r="C34" s="25">
        <f t="shared" ref="C34" si="2">SUM(D34:G34)</f>
        <v>44402.131999999998</v>
      </c>
      <c r="D34" s="25">
        <f>('обсяги витрат 1'!B10+'обсяги витрат 1'!C10)*80%</f>
        <v>10136.609</v>
      </c>
      <c r="E34" s="39">
        <f>('обсяги витрат 1'!E10+'обсяги витрат 1'!F10)*80%</f>
        <v>10355.790000000001</v>
      </c>
      <c r="F34" s="70">
        <f>('обсяги витрат 1'!H10+'обсяги витрат 1'!I10)*80%</f>
        <v>12835.915999999999</v>
      </c>
      <c r="G34" s="39">
        <f>('обсяги витрат 1'!K10+'обсяги витрат 1'!L10)*80%</f>
        <v>11073.816999999999</v>
      </c>
      <c r="I34" s="26"/>
    </row>
    <row r="35" spans="1:9" ht="31.2" x14ac:dyDescent="0.3">
      <c r="A35" s="36" t="s">
        <v>34</v>
      </c>
      <c r="B35" s="24" t="s">
        <v>93</v>
      </c>
      <c r="C35" s="25">
        <f>SUM(D35:G35)</f>
        <v>9763.1740000000009</v>
      </c>
      <c r="D35" s="38">
        <f>('обсяги витрат 1'!B11+'обсяги витрат 1'!C11)*80%</f>
        <v>2227.9409999999998</v>
      </c>
      <c r="E35" s="39">
        <f>('обсяги витрат 1'!E11+'обсяги витрат 1'!F11)*80%</f>
        <v>2276.1860000000001</v>
      </c>
      <c r="F35" s="70">
        <f>('обсяги витрат 1'!H11+'обсяги витрат 1'!I11)*80%</f>
        <v>2824.8809999999999</v>
      </c>
      <c r="G35" s="39">
        <f>('обсяги витрат 1'!K11+'обсяги витрат 1'!L11)*80%</f>
        <v>2434.1660000000002</v>
      </c>
      <c r="I35" s="26"/>
    </row>
    <row r="36" spans="1:9" ht="17.25" customHeight="1" x14ac:dyDescent="0.3">
      <c r="A36" s="36" t="s">
        <v>35</v>
      </c>
      <c r="B36" s="24" t="s">
        <v>94</v>
      </c>
      <c r="C36" s="25">
        <f t="shared" ref="C36" si="3">SUM(D38:G38)</f>
        <v>0</v>
      </c>
      <c r="D36" s="25">
        <v>0</v>
      </c>
      <c r="E36" s="25">
        <v>0</v>
      </c>
      <c r="F36" s="67">
        <v>0</v>
      </c>
      <c r="G36" s="25">
        <v>0</v>
      </c>
      <c r="I36" s="26"/>
    </row>
    <row r="37" spans="1:9" ht="18.75" customHeight="1" x14ac:dyDescent="0.3">
      <c r="A37" s="36" t="s">
        <v>36</v>
      </c>
      <c r="B37" s="24" t="s">
        <v>95</v>
      </c>
      <c r="C37" s="67">
        <f>SUM(D37:G37)+0.001</f>
        <v>449.91399999999999</v>
      </c>
      <c r="D37" s="25">
        <f>'обсяги витрат 1'!B18+'обсяги витрат 1'!C18</f>
        <v>111.72199999999999</v>
      </c>
      <c r="E37" s="25">
        <f>'обсяги витрат 1'!E18+'обсяги витрат 1'!F18</f>
        <v>112.747</v>
      </c>
      <c r="F37" s="67">
        <f>'обсяги витрат 1'!H18+'обсяги витрат 1'!I18</f>
        <v>113.72199999999999</v>
      </c>
      <c r="G37" s="25">
        <f>'обсяги витрат 1'!K18+'обсяги витрат 1'!L18</f>
        <v>111.72199999999999</v>
      </c>
      <c r="I37" s="26"/>
    </row>
    <row r="38" spans="1:9" x14ac:dyDescent="0.3">
      <c r="A38" s="23" t="s">
        <v>37</v>
      </c>
      <c r="B38" s="34"/>
      <c r="C38" s="35"/>
      <c r="D38" s="35"/>
      <c r="E38" s="35"/>
      <c r="F38" s="35"/>
      <c r="G38" s="35"/>
      <c r="I38" s="26"/>
    </row>
    <row r="39" spans="1:9" x14ac:dyDescent="0.3">
      <c r="A39" s="36" t="s">
        <v>38</v>
      </c>
      <c r="B39" s="24" t="s">
        <v>96</v>
      </c>
      <c r="C39" s="25">
        <f>D39+E39+F39+G39</f>
        <v>10591.088</v>
      </c>
      <c r="D39" s="25">
        <f>D41</f>
        <v>1830.3240000000001</v>
      </c>
      <c r="E39" s="25">
        <f t="shared" ref="E39:G39" si="4">E41</f>
        <v>2045.8340000000001</v>
      </c>
      <c r="F39" s="25">
        <f t="shared" si="4"/>
        <v>2882.8420000000001</v>
      </c>
      <c r="G39" s="25">
        <f t="shared" si="4"/>
        <v>3832.0880000000002</v>
      </c>
      <c r="I39" s="26"/>
    </row>
    <row r="40" spans="1:9" x14ac:dyDescent="0.3">
      <c r="A40" s="36" t="s">
        <v>39</v>
      </c>
      <c r="B40" s="24" t="s">
        <v>97</v>
      </c>
      <c r="C40" s="25"/>
      <c r="D40" s="25"/>
      <c r="E40" s="25"/>
      <c r="F40" s="25"/>
      <c r="G40" s="25"/>
      <c r="I40" s="26"/>
    </row>
    <row r="41" spans="1:9" ht="21" customHeight="1" x14ac:dyDescent="0.3">
      <c r="A41" s="23" t="s">
        <v>40</v>
      </c>
      <c r="B41" s="24" t="s">
        <v>98</v>
      </c>
      <c r="C41" s="25">
        <f>D41+E41+F41+G41</f>
        <v>10591.088</v>
      </c>
      <c r="D41" s="25">
        <f>SUM(D43:D47)</f>
        <v>1830.3240000000001</v>
      </c>
      <c r="E41" s="25">
        <f>SUM(E43:E47)</f>
        <v>2045.8340000000001</v>
      </c>
      <c r="F41" s="25">
        <f>SUM(F43:F47)</f>
        <v>2882.8420000000001</v>
      </c>
      <c r="G41" s="25">
        <f t="shared" ref="G41" si="5">SUM(G43:G47)</f>
        <v>3832.0880000000002</v>
      </c>
      <c r="I41" s="26"/>
    </row>
    <row r="42" spans="1:9" x14ac:dyDescent="0.3">
      <c r="A42" s="23" t="s">
        <v>41</v>
      </c>
      <c r="B42" s="34"/>
      <c r="C42" s="35"/>
      <c r="D42" s="35"/>
      <c r="E42" s="35"/>
      <c r="F42" s="35"/>
      <c r="G42" s="35"/>
      <c r="I42" s="26"/>
    </row>
    <row r="43" spans="1:9" ht="31.2" x14ac:dyDescent="0.3">
      <c r="A43" s="66" t="s">
        <v>42</v>
      </c>
      <c r="B43" s="24" t="s">
        <v>99</v>
      </c>
      <c r="C43" s="25">
        <f>D43+E43+F43+G43</f>
        <v>1007.268</v>
      </c>
      <c r="D43" s="25">
        <v>251.81700000000001</v>
      </c>
      <c r="E43" s="25">
        <v>251.81700000000001</v>
      </c>
      <c r="F43" s="25">
        <v>251.81700000000001</v>
      </c>
      <c r="G43" s="25">
        <v>251.81700000000001</v>
      </c>
      <c r="I43" s="26"/>
    </row>
    <row r="44" spans="1:9" ht="17.25" customHeight="1" x14ac:dyDescent="0.3">
      <c r="A44" s="36" t="s">
        <v>43</v>
      </c>
      <c r="B44" s="24" t="s">
        <v>100</v>
      </c>
      <c r="C44" s="25">
        <f>D44+E44+F44+G44</f>
        <v>2700.4679999999998</v>
      </c>
      <c r="D44" s="25">
        <v>125.117</v>
      </c>
      <c r="E44" s="25">
        <v>125.117</v>
      </c>
      <c r="F44" s="25">
        <f>125.117</f>
        <v>125.117</v>
      </c>
      <c r="G44" s="25">
        <f>125.117+2200</f>
        <v>2325.1170000000002</v>
      </c>
      <c r="I44" s="26"/>
    </row>
    <row r="45" spans="1:9" ht="46.8" x14ac:dyDescent="0.3">
      <c r="A45" s="36" t="s">
        <v>44</v>
      </c>
      <c r="B45" s="24" t="s">
        <v>101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I45" s="26"/>
    </row>
    <row r="46" spans="1:9" ht="23.25" customHeight="1" x14ac:dyDescent="0.3">
      <c r="A46" s="66" t="s">
        <v>45</v>
      </c>
      <c r="B46" s="24" t="s">
        <v>102</v>
      </c>
      <c r="C46" s="25">
        <f>SUM(D46:G46)</f>
        <v>6863.3519999999999</v>
      </c>
      <c r="D46" s="25">
        <f>1715.838-267.448</f>
        <v>1448.39</v>
      </c>
      <c r="E46" s="25">
        <f>1715.838-51.938</f>
        <v>1663.9</v>
      </c>
      <c r="F46" s="25">
        <f>1715.838+85.07+700</f>
        <v>2500.9079999999999</v>
      </c>
      <c r="G46" s="25">
        <f>1715.838+234.316-700</f>
        <v>1250.154</v>
      </c>
      <c r="I46" s="26"/>
    </row>
    <row r="47" spans="1:9" ht="30.75" customHeight="1" x14ac:dyDescent="0.3">
      <c r="A47" s="66" t="s">
        <v>115</v>
      </c>
      <c r="B47" s="24" t="s">
        <v>114</v>
      </c>
      <c r="C47" s="25">
        <f>SUM(D47:G47)</f>
        <v>20</v>
      </c>
      <c r="D47" s="25">
        <v>5</v>
      </c>
      <c r="E47" s="25">
        <v>5</v>
      </c>
      <c r="F47" s="25">
        <v>5</v>
      </c>
      <c r="G47" s="25">
        <f>5</f>
        <v>5</v>
      </c>
      <c r="I47" s="26"/>
    </row>
    <row r="48" spans="1:9" ht="32.25" customHeight="1" x14ac:dyDescent="0.3">
      <c r="A48" s="23" t="s">
        <v>103</v>
      </c>
      <c r="B48" s="24" t="s">
        <v>104</v>
      </c>
      <c r="C48" s="25">
        <f>SUM(C50:C54)</f>
        <v>18268.819</v>
      </c>
      <c r="D48" s="25">
        <f>SUM(D50:D54)</f>
        <v>4211.9260000000004</v>
      </c>
      <c r="E48" s="25">
        <f>SUM(E50:E54)</f>
        <v>4474.6419999999998</v>
      </c>
      <c r="F48" s="25">
        <f>SUM(F50:F54)</f>
        <v>5216.2150000000001</v>
      </c>
      <c r="G48" s="25">
        <f>SUM(G50:G54)</f>
        <v>4366.0360000000001</v>
      </c>
      <c r="I48" s="26"/>
    </row>
    <row r="49" spans="1:15" ht="31.2" x14ac:dyDescent="0.3">
      <c r="A49" s="23" t="s">
        <v>31</v>
      </c>
      <c r="B49" s="34"/>
      <c r="C49" s="35"/>
      <c r="D49" s="35"/>
      <c r="E49" s="35"/>
      <c r="F49" s="35"/>
      <c r="G49" s="35"/>
      <c r="I49" s="26"/>
    </row>
    <row r="50" spans="1:15" x14ac:dyDescent="0.3">
      <c r="A50" s="36" t="s">
        <v>32</v>
      </c>
      <c r="B50" s="24" t="s">
        <v>105</v>
      </c>
      <c r="C50" s="25">
        <f>SUM(D50:G50)</f>
        <v>4707.4930000000004</v>
      </c>
      <c r="D50" s="40">
        <f>('обсяги витрат 1'!B12+'обсяги витрат 1'!C12)*20%</f>
        <v>1115.789</v>
      </c>
      <c r="E50" s="40">
        <f>('обсяги витрат 1'!E12+'обсяги витрат 1'!F12)*20%</f>
        <v>1311.6469999999999</v>
      </c>
      <c r="F50" s="71">
        <f>('обсяги витрат 1'!H12+'обсяги витрат 1'!I12)*20%</f>
        <v>1296.0160000000001</v>
      </c>
      <c r="G50" s="40">
        <f>('обсяги витрат 1'!K12+'обсяги витрат 1'!L12)*20%</f>
        <v>984.04100000000005</v>
      </c>
      <c r="I50" s="26"/>
    </row>
    <row r="51" spans="1:15" x14ac:dyDescent="0.3">
      <c r="A51" s="36" t="s">
        <v>33</v>
      </c>
      <c r="B51" s="24" t="s">
        <v>106</v>
      </c>
      <c r="C51" s="25">
        <f>SUM(D51:G51)</f>
        <v>11100.532999999999</v>
      </c>
      <c r="D51" s="25">
        <f>('обсяги витрат 1'!B10+'обсяги витрат 1'!C10)*20%</f>
        <v>2534.152</v>
      </c>
      <c r="E51" s="25">
        <f>('обсяги витрат 1'!E10+'обсяги витрат 1'!F10)*20%</f>
        <v>2588.9479999999999</v>
      </c>
      <c r="F51" s="67">
        <f>('обсяги витрат 1'!H10+'обсяги витрат 1'!I10)*20%</f>
        <v>3208.9789999999998</v>
      </c>
      <c r="G51" s="25">
        <f>('обсяги витрат 1'!K10+'обсяги витрат 1'!L10)*20%</f>
        <v>2768.4540000000002</v>
      </c>
      <c r="I51" s="26"/>
      <c r="O51" s="26"/>
    </row>
    <row r="52" spans="1:15" ht="31.2" x14ac:dyDescent="0.3">
      <c r="A52" s="36" t="s">
        <v>34</v>
      </c>
      <c r="B52" s="24" t="s">
        <v>107</v>
      </c>
      <c r="C52" s="41">
        <f>SUM(D52:G52)</f>
        <v>2440.7930000000001</v>
      </c>
      <c r="D52" s="25">
        <f>('обсяги витрат 1'!B11+'обсяги витрат 1'!C11)*20%</f>
        <v>556.98500000000001</v>
      </c>
      <c r="E52" s="25">
        <f>('обсяги витрат 1'!E11+'обсяги витрат 1'!F11)*20%</f>
        <v>569.04700000000003</v>
      </c>
      <c r="F52" s="67">
        <f>('обсяги витрат 1'!H11+'обсяги витрат 1'!I11)*20%</f>
        <v>706.22</v>
      </c>
      <c r="G52" s="25">
        <f>('обсяги витрат 1'!K11+'обсяги витрат 1'!L11)*20%</f>
        <v>608.54100000000005</v>
      </c>
      <c r="I52" s="26"/>
    </row>
    <row r="53" spans="1:15" x14ac:dyDescent="0.3">
      <c r="A53" s="36" t="s">
        <v>35</v>
      </c>
      <c r="B53" s="24" t="s">
        <v>108</v>
      </c>
      <c r="C53" s="25">
        <f>SUM(D53:G53)</f>
        <v>0</v>
      </c>
      <c r="D53" s="40">
        <v>0</v>
      </c>
      <c r="E53" s="40">
        <v>0</v>
      </c>
      <c r="F53" s="71">
        <v>0</v>
      </c>
      <c r="G53" s="40">
        <v>0</v>
      </c>
      <c r="I53" s="26"/>
    </row>
    <row r="54" spans="1:15" x14ac:dyDescent="0.3">
      <c r="A54" s="36" t="s">
        <v>36</v>
      </c>
      <c r="B54" s="24" t="s">
        <v>109</v>
      </c>
      <c r="C54" s="25">
        <f>SUM(D54:G54)</f>
        <v>20</v>
      </c>
      <c r="D54" s="40">
        <f>'обсяги витрат 1'!D18</f>
        <v>5</v>
      </c>
      <c r="E54" s="40">
        <f>'обсяги витрат 1'!G18</f>
        <v>5</v>
      </c>
      <c r="F54" s="71">
        <f>'обсяги витрат 1'!J18</f>
        <v>5</v>
      </c>
      <c r="G54" s="40">
        <f>'обсяги витрат 1'!M18</f>
        <v>5</v>
      </c>
    </row>
    <row r="55" spans="1:15" ht="31.2" x14ac:dyDescent="0.3">
      <c r="A55" s="23" t="s">
        <v>46</v>
      </c>
      <c r="B55" s="24">
        <v>100</v>
      </c>
      <c r="C55" s="25">
        <v>0</v>
      </c>
      <c r="D55" s="25">
        <v>0</v>
      </c>
      <c r="E55" s="25">
        <v>0</v>
      </c>
      <c r="F55" s="67">
        <v>0</v>
      </c>
      <c r="G55" s="25">
        <v>0</v>
      </c>
    </row>
    <row r="56" spans="1:15" ht="31.2" x14ac:dyDescent="0.3">
      <c r="A56" s="23" t="s">
        <v>31</v>
      </c>
      <c r="B56" s="34"/>
      <c r="C56" s="35"/>
      <c r="D56" s="35"/>
      <c r="E56" s="35"/>
      <c r="F56" s="72"/>
      <c r="G56" s="35"/>
    </row>
    <row r="57" spans="1:15" x14ac:dyDescent="0.3">
      <c r="A57" s="36" t="s">
        <v>32</v>
      </c>
      <c r="B57" s="24">
        <v>101</v>
      </c>
      <c r="C57" s="25">
        <v>0</v>
      </c>
      <c r="D57" s="25">
        <v>0</v>
      </c>
      <c r="E57" s="25">
        <v>0</v>
      </c>
      <c r="F57" s="67">
        <v>0</v>
      </c>
      <c r="G57" s="25">
        <v>0</v>
      </c>
    </row>
    <row r="58" spans="1:15" x14ac:dyDescent="0.3">
      <c r="A58" s="36" t="s">
        <v>33</v>
      </c>
      <c r="B58" s="24">
        <v>102</v>
      </c>
      <c r="C58" s="25">
        <v>0</v>
      </c>
      <c r="D58" s="25">
        <v>0</v>
      </c>
      <c r="E58" s="25">
        <v>0</v>
      </c>
      <c r="F58" s="67">
        <v>0</v>
      </c>
      <c r="G58" s="25">
        <v>0</v>
      </c>
    </row>
    <row r="59" spans="1:15" ht="31.2" x14ac:dyDescent="0.3">
      <c r="A59" s="36" t="s">
        <v>34</v>
      </c>
      <c r="B59" s="24">
        <v>103</v>
      </c>
      <c r="C59" s="25">
        <v>0</v>
      </c>
      <c r="D59" s="25">
        <v>0</v>
      </c>
      <c r="E59" s="25">
        <v>0</v>
      </c>
      <c r="F59" s="67">
        <v>0</v>
      </c>
      <c r="G59" s="25">
        <v>0</v>
      </c>
    </row>
    <row r="60" spans="1:15" x14ac:dyDescent="0.3">
      <c r="A60" s="36" t="s">
        <v>35</v>
      </c>
      <c r="B60" s="24">
        <v>104</v>
      </c>
      <c r="C60" s="25">
        <v>0</v>
      </c>
      <c r="D60" s="25">
        <v>0</v>
      </c>
      <c r="E60" s="25">
        <v>0</v>
      </c>
      <c r="F60" s="67">
        <v>0</v>
      </c>
      <c r="G60" s="25">
        <v>0</v>
      </c>
    </row>
    <row r="61" spans="1:15" x14ac:dyDescent="0.3">
      <c r="A61" s="36" t="s">
        <v>36</v>
      </c>
      <c r="B61" s="24">
        <v>105</v>
      </c>
      <c r="C61" s="25">
        <v>0</v>
      </c>
      <c r="D61" s="25">
        <v>0</v>
      </c>
      <c r="E61" s="25">
        <v>0</v>
      </c>
      <c r="F61" s="67">
        <v>0</v>
      </c>
      <c r="G61" s="25">
        <v>0</v>
      </c>
    </row>
    <row r="62" spans="1:15" ht="31.2" x14ac:dyDescent="0.3">
      <c r="A62" s="23" t="s">
        <v>110</v>
      </c>
      <c r="B62" s="24">
        <v>110</v>
      </c>
      <c r="C62" s="25">
        <f>D62+E62+F62+G62</f>
        <v>7624.7380000000003</v>
      </c>
      <c r="D62" s="25">
        <f>D64+D65+D66+D67+D68</f>
        <v>1825.3240000000001</v>
      </c>
      <c r="E62" s="25">
        <f>E64+E65+E66+E67+E68</f>
        <v>2040.8340000000001</v>
      </c>
      <c r="F62" s="67">
        <f>F64+F65+F66+F67+F68</f>
        <v>2131.4920000000002</v>
      </c>
      <c r="G62" s="25">
        <f t="shared" ref="G62" si="6">G64+G65+G66+G67+G68</f>
        <v>1627.088</v>
      </c>
      <c r="I62" s="26"/>
      <c r="J62" s="26"/>
      <c r="K62" s="26"/>
      <c r="L62" s="26"/>
    </row>
    <row r="63" spans="1:15" ht="31.2" x14ac:dyDescent="0.3">
      <c r="A63" s="23" t="s">
        <v>31</v>
      </c>
      <c r="B63" s="34"/>
      <c r="C63" s="35"/>
      <c r="D63" s="35"/>
      <c r="E63" s="35"/>
      <c r="F63" s="72"/>
      <c r="G63" s="35"/>
    </row>
    <row r="64" spans="1:15" x14ac:dyDescent="0.3">
      <c r="A64" s="36" t="s">
        <v>32</v>
      </c>
      <c r="B64" s="24">
        <v>111</v>
      </c>
      <c r="C64" s="25">
        <f>D64+E64+F64+G64</f>
        <v>4257.2929999999997</v>
      </c>
      <c r="D64" s="25">
        <f>'обсяги витрат 1'!D12</f>
        <v>1234.087</v>
      </c>
      <c r="E64" s="25">
        <f>'обсяги витрат 1'!G12</f>
        <v>1007.333</v>
      </c>
      <c r="F64" s="67">
        <f>'обсяги витрат 1'!J12</f>
        <v>1287.405</v>
      </c>
      <c r="G64" s="25">
        <f>'обсяги витрат 1'!M12</f>
        <v>728.46799999999996</v>
      </c>
      <c r="I64" s="37"/>
    </row>
    <row r="65" spans="1:7" x14ac:dyDescent="0.3">
      <c r="A65" s="36" t="s">
        <v>33</v>
      </c>
      <c r="B65" s="24">
        <v>112</v>
      </c>
      <c r="C65" s="25">
        <f>D65+E65+F65+G65</f>
        <v>2761.3820000000001</v>
      </c>
      <c r="D65" s="25">
        <f>'обсяги витрат 1'!D10</f>
        <v>485.01799999999997</v>
      </c>
      <c r="E65" s="25">
        <f>'обсяги витрат 1'!G10</f>
        <v>847.827</v>
      </c>
      <c r="F65" s="67">
        <f>'обсяги витрат 1'!J10</f>
        <v>691.35900000000004</v>
      </c>
      <c r="G65" s="25">
        <f>'обсяги витрат 1'!M10</f>
        <v>737.178</v>
      </c>
    </row>
    <row r="66" spans="1:7" ht="31.2" x14ac:dyDescent="0.3">
      <c r="A66" s="36" t="s">
        <v>34</v>
      </c>
      <c r="B66" s="24">
        <v>113</v>
      </c>
      <c r="C66" s="25">
        <f>D66+E66+F66+G66</f>
        <v>606.06299999999999</v>
      </c>
      <c r="D66" s="25">
        <f>'обсяги витрат 1'!D11</f>
        <v>106.21899999999999</v>
      </c>
      <c r="E66" s="25">
        <f>'обсяги витрат 1'!G11</f>
        <v>185.67400000000001</v>
      </c>
      <c r="F66" s="25">
        <f>'обсяги витрат 1'!J11</f>
        <v>152.72800000000001</v>
      </c>
      <c r="G66" s="25">
        <f>'обсяги витрат 1'!M11</f>
        <v>161.44200000000001</v>
      </c>
    </row>
    <row r="67" spans="1:7" x14ac:dyDescent="0.3">
      <c r="A67" s="36" t="s">
        <v>35</v>
      </c>
      <c r="B67" s="24">
        <v>114</v>
      </c>
      <c r="C67" s="25">
        <f t="shared" ref="C67:C68" si="7">D67+E67+F67+G67</f>
        <v>0</v>
      </c>
      <c r="D67" s="25">
        <v>0</v>
      </c>
      <c r="E67" s="25">
        <v>0</v>
      </c>
      <c r="F67" s="25">
        <v>0</v>
      </c>
      <c r="G67" s="25">
        <v>0</v>
      </c>
    </row>
    <row r="68" spans="1:7" x14ac:dyDescent="0.3">
      <c r="A68" s="36" t="s">
        <v>36</v>
      </c>
      <c r="B68" s="24">
        <v>115</v>
      </c>
      <c r="C68" s="25">
        <f t="shared" si="7"/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ht="31.2" x14ac:dyDescent="0.3">
      <c r="A69" s="23" t="s">
        <v>47</v>
      </c>
      <c r="B69" s="34"/>
      <c r="C69" s="35"/>
      <c r="D69" s="35"/>
      <c r="E69" s="35"/>
      <c r="F69" s="35"/>
      <c r="G69" s="35"/>
    </row>
    <row r="70" spans="1:7" x14ac:dyDescent="0.3">
      <c r="A70" s="36" t="s">
        <v>38</v>
      </c>
      <c r="B70" s="24">
        <v>121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7" x14ac:dyDescent="0.3">
      <c r="A71" s="36" t="s">
        <v>39</v>
      </c>
      <c r="B71" s="24">
        <v>122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</row>
    <row r="72" spans="1:7" x14ac:dyDescent="0.3">
      <c r="A72" s="23" t="s">
        <v>48</v>
      </c>
      <c r="B72" s="24">
        <v>130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x14ac:dyDescent="0.3">
      <c r="A73" s="23" t="s">
        <v>49</v>
      </c>
      <c r="B73" s="24">
        <v>140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x14ac:dyDescent="0.3">
      <c r="A74" s="23" t="s">
        <v>50</v>
      </c>
      <c r="B74" s="24">
        <v>150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x14ac:dyDescent="0.3">
      <c r="A75" s="23" t="s">
        <v>41</v>
      </c>
      <c r="B75" s="34"/>
      <c r="C75" s="35"/>
      <c r="D75" s="35"/>
      <c r="E75" s="35"/>
      <c r="F75" s="35"/>
      <c r="G75" s="35"/>
    </row>
    <row r="76" spans="1:7" ht="29.25" customHeight="1" x14ac:dyDescent="0.3">
      <c r="A76" s="36" t="s">
        <v>51</v>
      </c>
      <c r="B76" s="24">
        <v>152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</row>
    <row r="77" spans="1:7" ht="29.25" customHeight="1" x14ac:dyDescent="0.3">
      <c r="A77" s="36" t="s">
        <v>52</v>
      </c>
      <c r="B77" s="24">
        <v>154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</row>
    <row r="78" spans="1:7" x14ac:dyDescent="0.3">
      <c r="A78" s="23" t="s">
        <v>53</v>
      </c>
      <c r="B78" s="24">
        <v>160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</row>
    <row r="79" spans="1:7" x14ac:dyDescent="0.3">
      <c r="A79" s="23" t="s">
        <v>54</v>
      </c>
      <c r="B79" s="24">
        <v>170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</row>
    <row r="80" spans="1:7" x14ac:dyDescent="0.3">
      <c r="A80" s="23" t="s">
        <v>55</v>
      </c>
      <c r="B80" s="24">
        <v>180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</row>
    <row r="81" spans="1:9" ht="46.8" x14ac:dyDescent="0.3">
      <c r="A81" s="23" t="s">
        <v>56</v>
      </c>
      <c r="B81" s="34"/>
      <c r="C81" s="35"/>
      <c r="D81" s="35"/>
      <c r="E81" s="35"/>
      <c r="F81" s="35"/>
      <c r="G81" s="35"/>
    </row>
    <row r="82" spans="1:9" s="68" customFormat="1" x14ac:dyDescent="0.3">
      <c r="A82" s="36" t="s">
        <v>38</v>
      </c>
      <c r="B82" s="24">
        <v>191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0"/>
    </row>
    <row r="83" spans="1:9" x14ac:dyDescent="0.3">
      <c r="A83" s="36" t="s">
        <v>39</v>
      </c>
      <c r="B83" s="24">
        <v>192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</row>
    <row r="84" spans="1:9" x14ac:dyDescent="0.3">
      <c r="A84" s="23" t="s">
        <v>57</v>
      </c>
      <c r="B84" s="24">
        <v>200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</row>
    <row r="85" spans="1:9" x14ac:dyDescent="0.3">
      <c r="A85" s="23" t="s">
        <v>58</v>
      </c>
      <c r="B85" s="34"/>
      <c r="C85" s="35"/>
      <c r="D85" s="35"/>
      <c r="E85" s="35"/>
      <c r="F85" s="35"/>
      <c r="G85" s="35"/>
    </row>
    <row r="86" spans="1:9" x14ac:dyDescent="0.3">
      <c r="A86" s="36" t="s">
        <v>38</v>
      </c>
      <c r="B86" s="24">
        <v>211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</row>
    <row r="87" spans="1:9" x14ac:dyDescent="0.3">
      <c r="A87" s="36" t="s">
        <v>39</v>
      </c>
      <c r="B87" s="24">
        <v>212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</row>
    <row r="88" spans="1:9" ht="30" customHeight="1" x14ac:dyDescent="0.3">
      <c r="A88" s="23" t="s">
        <v>59</v>
      </c>
      <c r="B88" s="24">
        <v>220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</row>
    <row r="89" spans="1:9" ht="20.25" customHeight="1" x14ac:dyDescent="0.3">
      <c r="A89" s="80" t="s">
        <v>60</v>
      </c>
      <c r="B89" s="80"/>
      <c r="C89" s="80"/>
      <c r="D89" s="80"/>
      <c r="E89" s="80"/>
      <c r="F89" s="80"/>
      <c r="G89" s="80"/>
    </row>
    <row r="90" spans="1:9" x14ac:dyDescent="0.3">
      <c r="A90" s="23" t="s">
        <v>61</v>
      </c>
      <c r="B90" s="27">
        <v>310</v>
      </c>
      <c r="C90" s="25">
        <f>SUM(D90:G90)</f>
        <v>27794.756000000001</v>
      </c>
      <c r="D90" s="25">
        <f>D33+D50+D64</f>
        <v>6813.03</v>
      </c>
      <c r="E90" s="25">
        <f t="shared" ref="E90:G93" si="8">E33+E50+E64</f>
        <v>7565.5680000000002</v>
      </c>
      <c r="F90" s="25">
        <f>F33+F50+F64</f>
        <v>7767.4840000000004</v>
      </c>
      <c r="G90" s="25">
        <f t="shared" si="8"/>
        <v>5648.674</v>
      </c>
      <c r="I90" s="26"/>
    </row>
    <row r="91" spans="1:9" x14ac:dyDescent="0.3">
      <c r="A91" s="23" t="s">
        <v>62</v>
      </c>
      <c r="B91" s="27">
        <v>320</v>
      </c>
      <c r="C91" s="25">
        <f>SUM(D91:G91)</f>
        <v>58264.046999999999</v>
      </c>
      <c r="D91" s="25">
        <f>D34+D51+D65</f>
        <v>13155.779</v>
      </c>
      <c r="E91" s="25">
        <f t="shared" si="8"/>
        <v>13792.565000000001</v>
      </c>
      <c r="F91" s="25">
        <f>F34+F51+F65</f>
        <v>16736.254000000001</v>
      </c>
      <c r="G91" s="25">
        <f t="shared" si="8"/>
        <v>14579.449000000001</v>
      </c>
      <c r="I91" s="26"/>
    </row>
    <row r="92" spans="1:9" x14ac:dyDescent="0.3">
      <c r="A92" s="23" t="s">
        <v>63</v>
      </c>
      <c r="B92" s="27">
        <v>330</v>
      </c>
      <c r="C92" s="25">
        <f t="shared" ref="C92" si="9">SUM(D92:G92)</f>
        <v>12810.03</v>
      </c>
      <c r="D92" s="25">
        <f>D35+D52+D66</f>
        <v>2891.145</v>
      </c>
      <c r="E92" s="25">
        <f t="shared" si="8"/>
        <v>3030.9070000000002</v>
      </c>
      <c r="F92" s="25">
        <f t="shared" si="8"/>
        <v>3683.8290000000002</v>
      </c>
      <c r="G92" s="25">
        <f t="shared" si="8"/>
        <v>3204.1489999999999</v>
      </c>
    </row>
    <row r="93" spans="1:9" x14ac:dyDescent="0.3">
      <c r="A93" s="23" t="s">
        <v>64</v>
      </c>
      <c r="B93" s="27">
        <v>340</v>
      </c>
      <c r="C93" s="25">
        <f>SUM(D93:G93)</f>
        <v>0</v>
      </c>
      <c r="D93" s="25">
        <f t="shared" ref="D93" si="10">D36+D53+D67</f>
        <v>0</v>
      </c>
      <c r="E93" s="25">
        <f t="shared" si="8"/>
        <v>0</v>
      </c>
      <c r="F93" s="25">
        <f>F36+F53+F67</f>
        <v>0</v>
      </c>
      <c r="G93" s="25">
        <f>G36+G53+G67</f>
        <v>0</v>
      </c>
    </row>
    <row r="94" spans="1:9" x14ac:dyDescent="0.3">
      <c r="A94" s="23" t="s">
        <v>159</v>
      </c>
      <c r="B94" s="27">
        <v>350</v>
      </c>
      <c r="C94" s="25">
        <f>SUM(D94:G94)</f>
        <v>10494.781999999999</v>
      </c>
      <c r="D94" s="25">
        <f>D37+D54+D68+D109</f>
        <v>116.72199999999999</v>
      </c>
      <c r="E94" s="25">
        <f>E37+E54+E68+E109</f>
        <v>3092.5859999999998</v>
      </c>
      <c r="F94" s="25">
        <f>F37+F54+F68+F109</f>
        <v>3968.752</v>
      </c>
      <c r="G94" s="25">
        <f t="shared" ref="G94" si="11">G37+G54+G68+G109</f>
        <v>3316.7220000000002</v>
      </c>
      <c r="I94" s="26"/>
    </row>
    <row r="95" spans="1:9" x14ac:dyDescent="0.3">
      <c r="A95" s="69" t="s">
        <v>161</v>
      </c>
      <c r="B95" s="27" t="s">
        <v>158</v>
      </c>
      <c r="C95" s="25">
        <f t="shared" ref="C95:C96" si="12">SUM(D95:G95)</f>
        <v>2020.106</v>
      </c>
      <c r="D95" s="25">
        <v>0</v>
      </c>
      <c r="E95" s="25">
        <v>2020.106</v>
      </c>
      <c r="F95" s="25">
        <v>0</v>
      </c>
      <c r="G95" s="25">
        <v>0</v>
      </c>
    </row>
    <row r="96" spans="1:9" x14ac:dyDescent="0.3">
      <c r="A96" s="69" t="s">
        <v>162</v>
      </c>
      <c r="B96" s="27" t="s">
        <v>160</v>
      </c>
      <c r="C96" s="25">
        <f t="shared" si="12"/>
        <v>8004.7629999999999</v>
      </c>
      <c r="D96" s="25">
        <v>0</v>
      </c>
      <c r="E96" s="25">
        <f>'обсяги витрат 1'!E25</f>
        <v>954.73299999999995</v>
      </c>
      <c r="F96" s="25">
        <v>3850.03</v>
      </c>
      <c r="G96" s="25">
        <v>3200</v>
      </c>
    </row>
    <row r="97" spans="1:11" x14ac:dyDescent="0.3">
      <c r="A97" s="23" t="s">
        <v>65</v>
      </c>
      <c r="B97" s="27">
        <v>360</v>
      </c>
      <c r="C97" s="25">
        <f>SUM(C90:C94)</f>
        <v>109363.61500000001</v>
      </c>
      <c r="D97" s="25">
        <f>SUM(D90:D94)</f>
        <v>22976.675999999999</v>
      </c>
      <c r="E97" s="25">
        <f>SUM(E90:E94)</f>
        <v>27481.626</v>
      </c>
      <c r="F97" s="25">
        <f>SUM(F90:F94)</f>
        <v>32156.319</v>
      </c>
      <c r="G97" s="25">
        <f>SUM(G90:G94)</f>
        <v>26748.993999999999</v>
      </c>
      <c r="I97" s="26">
        <f>C97-C22</f>
        <v>0</v>
      </c>
      <c r="K97" s="26"/>
    </row>
    <row r="98" spans="1:11" ht="24" customHeight="1" x14ac:dyDescent="0.3">
      <c r="A98" s="80" t="s">
        <v>66</v>
      </c>
      <c r="B98" s="80"/>
      <c r="C98" s="80"/>
      <c r="D98" s="80"/>
      <c r="E98" s="80"/>
      <c r="F98" s="80"/>
      <c r="G98" s="80"/>
    </row>
    <row r="99" spans="1:11" x14ac:dyDescent="0.3">
      <c r="A99" s="23" t="s">
        <v>67</v>
      </c>
      <c r="B99" s="27">
        <v>410</v>
      </c>
      <c r="C99" s="25">
        <f>SUM(D99:G99)</f>
        <v>0</v>
      </c>
      <c r="D99" s="25">
        <f>D100</f>
        <v>0</v>
      </c>
      <c r="E99" s="25">
        <f>E100</f>
        <v>0</v>
      </c>
      <c r="F99" s="25">
        <f t="shared" ref="F99:G99" si="13">F100</f>
        <v>0</v>
      </c>
      <c r="G99" s="25">
        <f t="shared" si="13"/>
        <v>0</v>
      </c>
    </row>
    <row r="100" spans="1:11" ht="31.2" x14ac:dyDescent="0.3">
      <c r="A100" s="36" t="s">
        <v>68</v>
      </c>
      <c r="B100" s="27">
        <v>411</v>
      </c>
      <c r="C100" s="25">
        <f>SUM(D100:G100)</f>
        <v>0</v>
      </c>
      <c r="D100" s="25">
        <v>0</v>
      </c>
      <c r="E100" s="25">
        <v>0</v>
      </c>
      <c r="F100" s="28">
        <v>0</v>
      </c>
      <c r="G100" s="28">
        <v>0</v>
      </c>
    </row>
    <row r="101" spans="1:11" ht="48.75" customHeight="1" x14ac:dyDescent="0.3">
      <c r="A101" s="23" t="s">
        <v>69</v>
      </c>
      <c r="B101" s="27">
        <v>420</v>
      </c>
      <c r="C101" s="28">
        <f>D101+E101+F101+G101</f>
        <v>8004.7629999999999</v>
      </c>
      <c r="D101" s="28">
        <f>'обсяги витрат 1'!B24+'обсяги витрат 1'!C24+'обсяги витрат 1'!D24</f>
        <v>0</v>
      </c>
      <c r="E101" s="28">
        <f>'обсяги витрат 1'!E25+'обсяги витрат 1'!F24+'обсяги витрат 1'!G24</f>
        <v>954.73299999999995</v>
      </c>
      <c r="F101" s="28">
        <f>'обсяги витрат 1'!H24+'обсяги витрат 1'!I24+'обсяги витрат 1'!J24</f>
        <v>3850.03</v>
      </c>
      <c r="G101" s="28">
        <f>'обсяги витрат 1'!K25+'обсяги витрат 1'!L25+'обсяги витрат 1'!M25</f>
        <v>3200</v>
      </c>
    </row>
    <row r="102" spans="1:11" ht="31.2" x14ac:dyDescent="0.3">
      <c r="A102" s="36" t="s">
        <v>68</v>
      </c>
      <c r="B102" s="27">
        <v>421</v>
      </c>
      <c r="C102" s="28">
        <f>SUM(D102:G102)</f>
        <v>954.73299999999995</v>
      </c>
      <c r="D102" s="28">
        <v>0</v>
      </c>
      <c r="E102" s="28">
        <f>'обсяги витрат 1'!E25</f>
        <v>954.73299999999995</v>
      </c>
      <c r="F102" s="28">
        <v>0</v>
      </c>
      <c r="G102" s="28">
        <v>0</v>
      </c>
    </row>
    <row r="103" spans="1:11" ht="31.2" x14ac:dyDescent="0.3">
      <c r="A103" s="23" t="s">
        <v>70</v>
      </c>
      <c r="B103" s="27">
        <v>430</v>
      </c>
      <c r="C103" s="28">
        <f t="shared" ref="C103:C107" si="14">SUM(D103:G103)</f>
        <v>0</v>
      </c>
      <c r="D103" s="28">
        <v>0</v>
      </c>
      <c r="E103" s="28">
        <v>0</v>
      </c>
      <c r="F103" s="28">
        <v>0</v>
      </c>
      <c r="G103" s="28">
        <v>0</v>
      </c>
    </row>
    <row r="104" spans="1:11" ht="31.2" x14ac:dyDescent="0.3">
      <c r="A104" s="36" t="s">
        <v>68</v>
      </c>
      <c r="B104" s="27">
        <v>431</v>
      </c>
      <c r="C104" s="28">
        <f t="shared" si="14"/>
        <v>0</v>
      </c>
      <c r="D104" s="28">
        <v>0</v>
      </c>
      <c r="E104" s="28">
        <v>0</v>
      </c>
      <c r="F104" s="28">
        <v>0</v>
      </c>
      <c r="G104" s="28">
        <v>0</v>
      </c>
    </row>
    <row r="105" spans="1:11" ht="31.2" x14ac:dyDescent="0.3">
      <c r="A105" s="23" t="s">
        <v>71</v>
      </c>
      <c r="B105" s="27">
        <v>440</v>
      </c>
      <c r="C105" s="28">
        <f t="shared" si="14"/>
        <v>0</v>
      </c>
      <c r="D105" s="28">
        <v>0</v>
      </c>
      <c r="E105" s="28">
        <v>0</v>
      </c>
      <c r="F105" s="28">
        <v>0</v>
      </c>
      <c r="G105" s="28">
        <v>0</v>
      </c>
    </row>
    <row r="106" spans="1:11" ht="31.2" x14ac:dyDescent="0.3">
      <c r="A106" s="36" t="s">
        <v>68</v>
      </c>
      <c r="B106" s="27">
        <v>441</v>
      </c>
      <c r="C106" s="28">
        <f t="shared" si="14"/>
        <v>0</v>
      </c>
      <c r="D106" s="28">
        <v>0</v>
      </c>
      <c r="E106" s="28">
        <v>0</v>
      </c>
      <c r="F106" s="28">
        <v>0</v>
      </c>
      <c r="G106" s="28">
        <v>0</v>
      </c>
    </row>
    <row r="107" spans="1:11" ht="62.4" x14ac:dyDescent="0.3">
      <c r="A107" s="23" t="s">
        <v>72</v>
      </c>
      <c r="B107" s="27">
        <v>450</v>
      </c>
      <c r="C107" s="28">
        <f t="shared" si="14"/>
        <v>2020.106</v>
      </c>
      <c r="D107" s="28">
        <v>0</v>
      </c>
      <c r="E107" s="28">
        <v>2020.106</v>
      </c>
      <c r="F107" s="28">
        <v>0</v>
      </c>
      <c r="G107" s="28">
        <v>0</v>
      </c>
    </row>
    <row r="108" spans="1:11" ht="31.2" x14ac:dyDescent="0.3">
      <c r="A108" s="36" t="s">
        <v>68</v>
      </c>
      <c r="B108" s="27">
        <v>451</v>
      </c>
      <c r="C108" s="28">
        <f>SUM(D108:G108)</f>
        <v>2020.106</v>
      </c>
      <c r="D108" s="28">
        <v>0</v>
      </c>
      <c r="E108" s="28">
        <v>2020.106</v>
      </c>
      <c r="F108" s="28">
        <v>0</v>
      </c>
      <c r="G108" s="28">
        <v>0</v>
      </c>
    </row>
    <row r="109" spans="1:11" ht="31.2" x14ac:dyDescent="0.3">
      <c r="A109" s="42" t="s">
        <v>73</v>
      </c>
      <c r="B109" s="22">
        <v>490</v>
      </c>
      <c r="C109" s="43">
        <f>C99+C101+C103+C105+C107</f>
        <v>10024.869000000001</v>
      </c>
      <c r="D109" s="44">
        <f>D99+D101+D103+D105+D107</f>
        <v>0</v>
      </c>
      <c r="E109" s="43">
        <f>(E99+E101+E103+E105+E107)</f>
        <v>2974.8389999999999</v>
      </c>
      <c r="F109" s="44">
        <f>F99+F101+F103+F105+F107</f>
        <v>3850.03</v>
      </c>
      <c r="G109" s="44">
        <f t="shared" ref="G109" si="15">G99+G101+G103+G105+G107</f>
        <v>3200</v>
      </c>
    </row>
    <row r="110" spans="1:11" ht="46.8" x14ac:dyDescent="0.3">
      <c r="A110" s="36" t="s">
        <v>74</v>
      </c>
      <c r="B110" s="27">
        <v>491</v>
      </c>
      <c r="C110" s="25">
        <f>C100+C102+C104+C106+C108</f>
        <v>2974.8389999999999</v>
      </c>
      <c r="D110" s="28">
        <f>D100+D102+D104+D106+D108</f>
        <v>0</v>
      </c>
      <c r="E110" s="25">
        <f>(E100+E102+E104+E106+E108)</f>
        <v>2974.8389999999999</v>
      </c>
      <c r="F110" s="28">
        <f t="shared" ref="F110" si="16">F100+F102+F104+F106+F108</f>
        <v>0</v>
      </c>
      <c r="G110" s="28">
        <f>G100+G102+G104+G106+G108</f>
        <v>0</v>
      </c>
    </row>
    <row r="111" spans="1:11" x14ac:dyDescent="0.3">
      <c r="A111" s="22" t="s">
        <v>75</v>
      </c>
      <c r="B111" s="23"/>
      <c r="C111" s="27"/>
      <c r="D111" s="27"/>
      <c r="E111" s="27"/>
      <c r="F111" s="27"/>
      <c r="G111" s="27"/>
    </row>
    <row r="112" spans="1:11" ht="31.2" x14ac:dyDescent="0.3">
      <c r="A112" s="23" t="s">
        <v>143</v>
      </c>
      <c r="B112" s="27">
        <v>510</v>
      </c>
      <c r="C112" s="45">
        <v>267</v>
      </c>
      <c r="D112" s="45">
        <v>267</v>
      </c>
      <c r="E112" s="45">
        <v>267</v>
      </c>
      <c r="F112" s="45">
        <v>267</v>
      </c>
      <c r="G112" s="45">
        <v>267</v>
      </c>
    </row>
    <row r="113" spans="1:7" ht="31.2" x14ac:dyDescent="0.3">
      <c r="A113" s="23" t="s">
        <v>76</v>
      </c>
      <c r="B113" s="27">
        <v>520</v>
      </c>
      <c r="C113" s="67">
        <v>152629.58300000001</v>
      </c>
      <c r="D113" s="67">
        <v>152629.58300000001</v>
      </c>
      <c r="E113" s="67">
        <v>152629.58300000001</v>
      </c>
      <c r="F113" s="67">
        <v>152629.58300000001</v>
      </c>
      <c r="G113" s="67">
        <v>152629.58300000001</v>
      </c>
    </row>
    <row r="114" spans="1:7" x14ac:dyDescent="0.3">
      <c r="A114" s="23" t="s">
        <v>77</v>
      </c>
      <c r="B114" s="27">
        <v>530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</row>
    <row r="115" spans="1:7" ht="45.75" customHeight="1" x14ac:dyDescent="0.3">
      <c r="A115" s="23" t="s">
        <v>78</v>
      </c>
      <c r="B115" s="27">
        <v>540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</row>
    <row r="116" spans="1:7" hidden="1" x14ac:dyDescent="0.3"/>
    <row r="117" spans="1:7" hidden="1" x14ac:dyDescent="0.3"/>
    <row r="118" spans="1:7" hidden="1" x14ac:dyDescent="0.3"/>
    <row r="119" spans="1:7" s="29" customFormat="1" ht="17.399999999999999" hidden="1" x14ac:dyDescent="0.3">
      <c r="A119" s="29" t="s">
        <v>111</v>
      </c>
      <c r="E119" s="29" t="s">
        <v>112</v>
      </c>
    </row>
    <row r="123" spans="1:7" x14ac:dyDescent="0.3">
      <c r="A123" s="77"/>
      <c r="B123"/>
      <c r="C123"/>
      <c r="D123"/>
      <c r="E123"/>
      <c r="F123"/>
      <c r="G123"/>
    </row>
    <row r="124" spans="1:7" ht="38.25" customHeight="1" x14ac:dyDescent="0.3">
      <c r="A124" s="78" t="s">
        <v>165</v>
      </c>
      <c r="B124" s="78"/>
      <c r="C124"/>
      <c r="D124"/>
      <c r="E124" s="79" t="s">
        <v>166</v>
      </c>
      <c r="F124" s="79"/>
      <c r="G124" s="79"/>
    </row>
    <row r="125" spans="1:7" x14ac:dyDescent="0.3">
      <c r="A125" s="77"/>
      <c r="B125"/>
      <c r="C125"/>
      <c r="D125"/>
      <c r="E125"/>
      <c r="F125"/>
      <c r="G125" s="77"/>
    </row>
  </sheetData>
  <mergeCells count="29">
    <mergeCell ref="E1:G1"/>
    <mergeCell ref="E2:G2"/>
    <mergeCell ref="A3:G3"/>
    <mergeCell ref="A5:A6"/>
    <mergeCell ref="B5:C6"/>
    <mergeCell ref="D5:G5"/>
    <mergeCell ref="D6:E6"/>
    <mergeCell ref="F6:G6"/>
    <mergeCell ref="B12:G12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G10"/>
    <mergeCell ref="B11:G11"/>
    <mergeCell ref="A124:B124"/>
    <mergeCell ref="E124:G124"/>
    <mergeCell ref="A98:G98"/>
    <mergeCell ref="A18:A19"/>
    <mergeCell ref="B18:B19"/>
    <mergeCell ref="C18:C19"/>
    <mergeCell ref="D18:G18"/>
    <mergeCell ref="A21:G21"/>
    <mergeCell ref="A89:G89"/>
  </mergeCells>
  <pageMargins left="1.1811023622047245" right="0.59055118110236227" top="0.78740157480314965" bottom="0.78740157480314965" header="0.31496062992125984" footer="0.31496062992125984"/>
  <pageSetup paperSize="9" scale="69" fitToHeight="0" orientation="portrait" r:id="rId1"/>
  <rowBreaks count="2" manualBreakCount="2">
    <brk id="44" max="6" man="1"/>
    <brk id="94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Q32"/>
  <sheetViews>
    <sheetView topLeftCell="A5" zoomScale="85" zoomScaleNormal="85" zoomScaleSheetLayoutView="90" workbookViewId="0">
      <pane xSplit="1" ySplit="3" topLeftCell="B14" activePane="bottomRight" state="frozen"/>
      <selection activeCell="A5" sqref="A5"/>
      <selection pane="topRight" activeCell="B5" sqref="B5"/>
      <selection pane="bottomLeft" activeCell="A8" sqref="A8"/>
      <selection pane="bottomRight" activeCell="E27" sqref="E27:G27"/>
    </sheetView>
  </sheetViews>
  <sheetFormatPr defaultRowHeight="13.8" x14ac:dyDescent="0.25"/>
  <cols>
    <col min="1" max="1" width="27.109375" style="1" bestFit="1" customWidth="1"/>
    <col min="2" max="2" width="12.109375" style="2" customWidth="1"/>
    <col min="3" max="3" width="14.88671875" style="2" customWidth="1"/>
    <col min="4" max="4" width="12.6640625" style="2" customWidth="1"/>
    <col min="5" max="6" width="12.44140625" style="2" customWidth="1"/>
    <col min="7" max="7" width="11.33203125" style="2" customWidth="1"/>
    <col min="8" max="8" width="13.33203125" style="2" customWidth="1"/>
    <col min="9" max="9" width="13.44140625" style="2" customWidth="1"/>
    <col min="10" max="10" width="10.5546875" style="2" customWidth="1"/>
    <col min="11" max="11" width="14.33203125" style="2" customWidth="1"/>
    <col min="12" max="12" width="12.33203125" style="2" customWidth="1"/>
    <col min="13" max="13" width="10.33203125" style="2" customWidth="1"/>
    <col min="14" max="14" width="15.33203125" style="11" customWidth="1"/>
    <col min="15" max="15" width="14.33203125" style="3" customWidth="1"/>
    <col min="16" max="16" width="14.88671875" style="3" customWidth="1"/>
    <col min="17" max="17" width="13.109375" style="3" customWidth="1"/>
    <col min="18" max="153" width="9.109375" style="3"/>
    <col min="154" max="154" width="27.109375" style="3" bestFit="1" customWidth="1"/>
    <col min="155" max="155" width="12" style="3" customWidth="1"/>
    <col min="156" max="156" width="11" style="3" customWidth="1"/>
    <col min="157" max="157" width="8" style="3" customWidth="1"/>
    <col min="158" max="158" width="8.5546875" style="3" customWidth="1"/>
    <col min="159" max="159" width="10.33203125" style="3" customWidth="1"/>
    <col min="160" max="160" width="9.33203125" style="3" customWidth="1"/>
    <col min="161" max="161" width="9" style="3" customWidth="1"/>
    <col min="162" max="162" width="9.6640625" style="3" customWidth="1"/>
    <col min="163" max="163" width="10.5546875" style="3" customWidth="1"/>
    <col min="164" max="164" width="9.44140625" style="3" customWidth="1"/>
    <col min="165" max="165" width="9.5546875" style="3" customWidth="1"/>
    <col min="166" max="166" width="11.5546875" style="3" customWidth="1"/>
    <col min="167" max="167" width="10.33203125" style="3" customWidth="1"/>
    <col min="168" max="168" width="9.5546875" style="3" customWidth="1"/>
    <col min="169" max="169" width="11.6640625" style="3" customWidth="1"/>
    <col min="170" max="170" width="10.88671875" style="3" customWidth="1"/>
    <col min="171" max="171" width="15.33203125" style="3" customWidth="1"/>
    <col min="172" max="172" width="10" style="3" customWidth="1"/>
    <col min="173" max="409" width="9.109375" style="3"/>
    <col min="410" max="410" width="27.109375" style="3" bestFit="1" customWidth="1"/>
    <col min="411" max="411" width="12" style="3" customWidth="1"/>
    <col min="412" max="412" width="11" style="3" customWidth="1"/>
    <col min="413" max="413" width="8" style="3" customWidth="1"/>
    <col min="414" max="414" width="8.5546875" style="3" customWidth="1"/>
    <col min="415" max="415" width="10.33203125" style="3" customWidth="1"/>
    <col min="416" max="416" width="9.33203125" style="3" customWidth="1"/>
    <col min="417" max="417" width="9" style="3" customWidth="1"/>
    <col min="418" max="418" width="9.6640625" style="3" customWidth="1"/>
    <col min="419" max="419" width="10.5546875" style="3" customWidth="1"/>
    <col min="420" max="420" width="9.44140625" style="3" customWidth="1"/>
    <col min="421" max="421" width="9.5546875" style="3" customWidth="1"/>
    <col min="422" max="422" width="11.5546875" style="3" customWidth="1"/>
    <col min="423" max="423" width="10.33203125" style="3" customWidth="1"/>
    <col min="424" max="424" width="9.5546875" style="3" customWidth="1"/>
    <col min="425" max="425" width="11.6640625" style="3" customWidth="1"/>
    <col min="426" max="426" width="10.88671875" style="3" customWidth="1"/>
    <col min="427" max="427" width="15.33203125" style="3" customWidth="1"/>
    <col min="428" max="428" width="10" style="3" customWidth="1"/>
    <col min="429" max="665" width="9.109375" style="3"/>
    <col min="666" max="666" width="27.109375" style="3" bestFit="1" customWidth="1"/>
    <col min="667" max="667" width="12" style="3" customWidth="1"/>
    <col min="668" max="668" width="11" style="3" customWidth="1"/>
    <col min="669" max="669" width="8" style="3" customWidth="1"/>
    <col min="670" max="670" width="8.5546875" style="3" customWidth="1"/>
    <col min="671" max="671" width="10.33203125" style="3" customWidth="1"/>
    <col min="672" max="672" width="9.33203125" style="3" customWidth="1"/>
    <col min="673" max="673" width="9" style="3" customWidth="1"/>
    <col min="674" max="674" width="9.6640625" style="3" customWidth="1"/>
    <col min="675" max="675" width="10.5546875" style="3" customWidth="1"/>
    <col min="676" max="676" width="9.44140625" style="3" customWidth="1"/>
    <col min="677" max="677" width="9.5546875" style="3" customWidth="1"/>
    <col min="678" max="678" width="11.5546875" style="3" customWidth="1"/>
    <col min="679" max="679" width="10.33203125" style="3" customWidth="1"/>
    <col min="680" max="680" width="9.5546875" style="3" customWidth="1"/>
    <col min="681" max="681" width="11.6640625" style="3" customWidth="1"/>
    <col min="682" max="682" width="10.88671875" style="3" customWidth="1"/>
    <col min="683" max="683" width="15.33203125" style="3" customWidth="1"/>
    <col min="684" max="684" width="10" style="3" customWidth="1"/>
    <col min="685" max="921" width="9.109375" style="3"/>
    <col min="922" max="922" width="27.109375" style="3" bestFit="1" customWidth="1"/>
    <col min="923" max="923" width="12" style="3" customWidth="1"/>
    <col min="924" max="924" width="11" style="3" customWidth="1"/>
    <col min="925" max="925" width="8" style="3" customWidth="1"/>
    <col min="926" max="926" width="8.5546875" style="3" customWidth="1"/>
    <col min="927" max="927" width="10.33203125" style="3" customWidth="1"/>
    <col min="928" max="928" width="9.33203125" style="3" customWidth="1"/>
    <col min="929" max="929" width="9" style="3" customWidth="1"/>
    <col min="930" max="930" width="9.6640625" style="3" customWidth="1"/>
    <col min="931" max="931" width="10.5546875" style="3" customWidth="1"/>
    <col min="932" max="932" width="9.44140625" style="3" customWidth="1"/>
    <col min="933" max="933" width="9.5546875" style="3" customWidth="1"/>
    <col min="934" max="934" width="11.5546875" style="3" customWidth="1"/>
    <col min="935" max="935" width="10.33203125" style="3" customWidth="1"/>
    <col min="936" max="936" width="9.5546875" style="3" customWidth="1"/>
    <col min="937" max="937" width="11.6640625" style="3" customWidth="1"/>
    <col min="938" max="938" width="10.88671875" style="3" customWidth="1"/>
    <col min="939" max="939" width="15.33203125" style="3" customWidth="1"/>
    <col min="940" max="940" width="10" style="3" customWidth="1"/>
    <col min="941" max="1177" width="9.109375" style="3"/>
    <col min="1178" max="1178" width="27.109375" style="3" bestFit="1" customWidth="1"/>
    <col min="1179" max="1179" width="12" style="3" customWidth="1"/>
    <col min="1180" max="1180" width="11" style="3" customWidth="1"/>
    <col min="1181" max="1181" width="8" style="3" customWidth="1"/>
    <col min="1182" max="1182" width="8.5546875" style="3" customWidth="1"/>
    <col min="1183" max="1183" width="10.33203125" style="3" customWidth="1"/>
    <col min="1184" max="1184" width="9.33203125" style="3" customWidth="1"/>
    <col min="1185" max="1185" width="9" style="3" customWidth="1"/>
    <col min="1186" max="1186" width="9.6640625" style="3" customWidth="1"/>
    <col min="1187" max="1187" width="10.5546875" style="3" customWidth="1"/>
    <col min="1188" max="1188" width="9.44140625" style="3" customWidth="1"/>
    <col min="1189" max="1189" width="9.5546875" style="3" customWidth="1"/>
    <col min="1190" max="1190" width="11.5546875" style="3" customWidth="1"/>
    <col min="1191" max="1191" width="10.33203125" style="3" customWidth="1"/>
    <col min="1192" max="1192" width="9.5546875" style="3" customWidth="1"/>
    <col min="1193" max="1193" width="11.6640625" style="3" customWidth="1"/>
    <col min="1194" max="1194" width="10.88671875" style="3" customWidth="1"/>
    <col min="1195" max="1195" width="15.33203125" style="3" customWidth="1"/>
    <col min="1196" max="1196" width="10" style="3" customWidth="1"/>
    <col min="1197" max="1433" width="9.109375" style="3"/>
    <col min="1434" max="1434" width="27.109375" style="3" bestFit="1" customWidth="1"/>
    <col min="1435" max="1435" width="12" style="3" customWidth="1"/>
    <col min="1436" max="1436" width="11" style="3" customWidth="1"/>
    <col min="1437" max="1437" width="8" style="3" customWidth="1"/>
    <col min="1438" max="1438" width="8.5546875" style="3" customWidth="1"/>
    <col min="1439" max="1439" width="10.33203125" style="3" customWidth="1"/>
    <col min="1440" max="1440" width="9.33203125" style="3" customWidth="1"/>
    <col min="1441" max="1441" width="9" style="3" customWidth="1"/>
    <col min="1442" max="1442" width="9.6640625" style="3" customWidth="1"/>
    <col min="1443" max="1443" width="10.5546875" style="3" customWidth="1"/>
    <col min="1444" max="1444" width="9.44140625" style="3" customWidth="1"/>
    <col min="1445" max="1445" width="9.5546875" style="3" customWidth="1"/>
    <col min="1446" max="1446" width="11.5546875" style="3" customWidth="1"/>
    <col min="1447" max="1447" width="10.33203125" style="3" customWidth="1"/>
    <col min="1448" max="1448" width="9.5546875" style="3" customWidth="1"/>
    <col min="1449" max="1449" width="11.6640625" style="3" customWidth="1"/>
    <col min="1450" max="1450" width="10.88671875" style="3" customWidth="1"/>
    <col min="1451" max="1451" width="15.33203125" style="3" customWidth="1"/>
    <col min="1452" max="1452" width="10" style="3" customWidth="1"/>
    <col min="1453" max="1689" width="9.109375" style="3"/>
    <col min="1690" max="1690" width="27.109375" style="3" bestFit="1" customWidth="1"/>
    <col min="1691" max="1691" width="12" style="3" customWidth="1"/>
    <col min="1692" max="1692" width="11" style="3" customWidth="1"/>
    <col min="1693" max="1693" width="8" style="3" customWidth="1"/>
    <col min="1694" max="1694" width="8.5546875" style="3" customWidth="1"/>
    <col min="1695" max="1695" width="10.33203125" style="3" customWidth="1"/>
    <col min="1696" max="1696" width="9.33203125" style="3" customWidth="1"/>
    <col min="1697" max="1697" width="9" style="3" customWidth="1"/>
    <col min="1698" max="1698" width="9.6640625" style="3" customWidth="1"/>
    <col min="1699" max="1699" width="10.5546875" style="3" customWidth="1"/>
    <col min="1700" max="1700" width="9.44140625" style="3" customWidth="1"/>
    <col min="1701" max="1701" width="9.5546875" style="3" customWidth="1"/>
    <col min="1702" max="1702" width="11.5546875" style="3" customWidth="1"/>
    <col min="1703" max="1703" width="10.33203125" style="3" customWidth="1"/>
    <col min="1704" max="1704" width="9.5546875" style="3" customWidth="1"/>
    <col min="1705" max="1705" width="11.6640625" style="3" customWidth="1"/>
    <col min="1706" max="1706" width="10.88671875" style="3" customWidth="1"/>
    <col min="1707" max="1707" width="15.33203125" style="3" customWidth="1"/>
    <col min="1708" max="1708" width="10" style="3" customWidth="1"/>
    <col min="1709" max="1945" width="9.109375" style="3"/>
    <col min="1946" max="1946" width="27.109375" style="3" bestFit="1" customWidth="1"/>
    <col min="1947" max="1947" width="12" style="3" customWidth="1"/>
    <col min="1948" max="1948" width="11" style="3" customWidth="1"/>
    <col min="1949" max="1949" width="8" style="3" customWidth="1"/>
    <col min="1950" max="1950" width="8.5546875" style="3" customWidth="1"/>
    <col min="1951" max="1951" width="10.33203125" style="3" customWidth="1"/>
    <col min="1952" max="1952" width="9.33203125" style="3" customWidth="1"/>
    <col min="1953" max="1953" width="9" style="3" customWidth="1"/>
    <col min="1954" max="1954" width="9.6640625" style="3" customWidth="1"/>
    <col min="1955" max="1955" width="10.5546875" style="3" customWidth="1"/>
    <col min="1956" max="1956" width="9.44140625" style="3" customWidth="1"/>
    <col min="1957" max="1957" width="9.5546875" style="3" customWidth="1"/>
    <col min="1958" max="1958" width="11.5546875" style="3" customWidth="1"/>
    <col min="1959" max="1959" width="10.33203125" style="3" customWidth="1"/>
    <col min="1960" max="1960" width="9.5546875" style="3" customWidth="1"/>
    <col min="1961" max="1961" width="11.6640625" style="3" customWidth="1"/>
    <col min="1962" max="1962" width="10.88671875" style="3" customWidth="1"/>
    <col min="1963" max="1963" width="15.33203125" style="3" customWidth="1"/>
    <col min="1964" max="1964" width="10" style="3" customWidth="1"/>
    <col min="1965" max="2201" width="9.109375" style="3"/>
    <col min="2202" max="2202" width="27.109375" style="3" bestFit="1" customWidth="1"/>
    <col min="2203" max="2203" width="12" style="3" customWidth="1"/>
    <col min="2204" max="2204" width="11" style="3" customWidth="1"/>
    <col min="2205" max="2205" width="8" style="3" customWidth="1"/>
    <col min="2206" max="2206" width="8.5546875" style="3" customWidth="1"/>
    <col min="2207" max="2207" width="10.33203125" style="3" customWidth="1"/>
    <col min="2208" max="2208" width="9.33203125" style="3" customWidth="1"/>
    <col min="2209" max="2209" width="9" style="3" customWidth="1"/>
    <col min="2210" max="2210" width="9.6640625" style="3" customWidth="1"/>
    <col min="2211" max="2211" width="10.5546875" style="3" customWidth="1"/>
    <col min="2212" max="2212" width="9.44140625" style="3" customWidth="1"/>
    <col min="2213" max="2213" width="9.5546875" style="3" customWidth="1"/>
    <col min="2214" max="2214" width="11.5546875" style="3" customWidth="1"/>
    <col min="2215" max="2215" width="10.33203125" style="3" customWidth="1"/>
    <col min="2216" max="2216" width="9.5546875" style="3" customWidth="1"/>
    <col min="2217" max="2217" width="11.6640625" style="3" customWidth="1"/>
    <col min="2218" max="2218" width="10.88671875" style="3" customWidth="1"/>
    <col min="2219" max="2219" width="15.33203125" style="3" customWidth="1"/>
    <col min="2220" max="2220" width="10" style="3" customWidth="1"/>
    <col min="2221" max="2457" width="9.109375" style="3"/>
    <col min="2458" max="2458" width="27.109375" style="3" bestFit="1" customWidth="1"/>
    <col min="2459" max="2459" width="12" style="3" customWidth="1"/>
    <col min="2460" max="2460" width="11" style="3" customWidth="1"/>
    <col min="2461" max="2461" width="8" style="3" customWidth="1"/>
    <col min="2462" max="2462" width="8.5546875" style="3" customWidth="1"/>
    <col min="2463" max="2463" width="10.33203125" style="3" customWidth="1"/>
    <col min="2464" max="2464" width="9.33203125" style="3" customWidth="1"/>
    <col min="2465" max="2465" width="9" style="3" customWidth="1"/>
    <col min="2466" max="2466" width="9.6640625" style="3" customWidth="1"/>
    <col min="2467" max="2467" width="10.5546875" style="3" customWidth="1"/>
    <col min="2468" max="2468" width="9.44140625" style="3" customWidth="1"/>
    <col min="2469" max="2469" width="9.5546875" style="3" customWidth="1"/>
    <col min="2470" max="2470" width="11.5546875" style="3" customWidth="1"/>
    <col min="2471" max="2471" width="10.33203125" style="3" customWidth="1"/>
    <col min="2472" max="2472" width="9.5546875" style="3" customWidth="1"/>
    <col min="2473" max="2473" width="11.6640625" style="3" customWidth="1"/>
    <col min="2474" max="2474" width="10.88671875" style="3" customWidth="1"/>
    <col min="2475" max="2475" width="15.33203125" style="3" customWidth="1"/>
    <col min="2476" max="2476" width="10" style="3" customWidth="1"/>
    <col min="2477" max="2713" width="9.109375" style="3"/>
    <col min="2714" max="2714" width="27.109375" style="3" bestFit="1" customWidth="1"/>
    <col min="2715" max="2715" width="12" style="3" customWidth="1"/>
    <col min="2716" max="2716" width="11" style="3" customWidth="1"/>
    <col min="2717" max="2717" width="8" style="3" customWidth="1"/>
    <col min="2718" max="2718" width="8.5546875" style="3" customWidth="1"/>
    <col min="2719" max="2719" width="10.33203125" style="3" customWidth="1"/>
    <col min="2720" max="2720" width="9.33203125" style="3" customWidth="1"/>
    <col min="2721" max="2721" width="9" style="3" customWidth="1"/>
    <col min="2722" max="2722" width="9.6640625" style="3" customWidth="1"/>
    <col min="2723" max="2723" width="10.5546875" style="3" customWidth="1"/>
    <col min="2724" max="2724" width="9.44140625" style="3" customWidth="1"/>
    <col min="2725" max="2725" width="9.5546875" style="3" customWidth="1"/>
    <col min="2726" max="2726" width="11.5546875" style="3" customWidth="1"/>
    <col min="2727" max="2727" width="10.33203125" style="3" customWidth="1"/>
    <col min="2728" max="2728" width="9.5546875" style="3" customWidth="1"/>
    <col min="2729" max="2729" width="11.6640625" style="3" customWidth="1"/>
    <col min="2730" max="2730" width="10.88671875" style="3" customWidth="1"/>
    <col min="2731" max="2731" width="15.33203125" style="3" customWidth="1"/>
    <col min="2732" max="2732" width="10" style="3" customWidth="1"/>
    <col min="2733" max="2969" width="9.109375" style="3"/>
    <col min="2970" max="2970" width="27.109375" style="3" bestFit="1" customWidth="1"/>
    <col min="2971" max="2971" width="12" style="3" customWidth="1"/>
    <col min="2972" max="2972" width="11" style="3" customWidth="1"/>
    <col min="2973" max="2973" width="8" style="3" customWidth="1"/>
    <col min="2974" max="2974" width="8.5546875" style="3" customWidth="1"/>
    <col min="2975" max="2975" width="10.33203125" style="3" customWidth="1"/>
    <col min="2976" max="2976" width="9.33203125" style="3" customWidth="1"/>
    <col min="2977" max="2977" width="9" style="3" customWidth="1"/>
    <col min="2978" max="2978" width="9.6640625" style="3" customWidth="1"/>
    <col min="2979" max="2979" width="10.5546875" style="3" customWidth="1"/>
    <col min="2980" max="2980" width="9.44140625" style="3" customWidth="1"/>
    <col min="2981" max="2981" width="9.5546875" style="3" customWidth="1"/>
    <col min="2982" max="2982" width="11.5546875" style="3" customWidth="1"/>
    <col min="2983" max="2983" width="10.33203125" style="3" customWidth="1"/>
    <col min="2984" max="2984" width="9.5546875" style="3" customWidth="1"/>
    <col min="2985" max="2985" width="11.6640625" style="3" customWidth="1"/>
    <col min="2986" max="2986" width="10.88671875" style="3" customWidth="1"/>
    <col min="2987" max="2987" width="15.33203125" style="3" customWidth="1"/>
    <col min="2988" max="2988" width="10" style="3" customWidth="1"/>
    <col min="2989" max="3225" width="9.109375" style="3"/>
    <col min="3226" max="3226" width="27.109375" style="3" bestFit="1" customWidth="1"/>
    <col min="3227" max="3227" width="12" style="3" customWidth="1"/>
    <col min="3228" max="3228" width="11" style="3" customWidth="1"/>
    <col min="3229" max="3229" width="8" style="3" customWidth="1"/>
    <col min="3230" max="3230" width="8.5546875" style="3" customWidth="1"/>
    <col min="3231" max="3231" width="10.33203125" style="3" customWidth="1"/>
    <col min="3232" max="3232" width="9.33203125" style="3" customWidth="1"/>
    <col min="3233" max="3233" width="9" style="3" customWidth="1"/>
    <col min="3234" max="3234" width="9.6640625" style="3" customWidth="1"/>
    <col min="3235" max="3235" width="10.5546875" style="3" customWidth="1"/>
    <col min="3236" max="3236" width="9.44140625" style="3" customWidth="1"/>
    <col min="3237" max="3237" width="9.5546875" style="3" customWidth="1"/>
    <col min="3238" max="3238" width="11.5546875" style="3" customWidth="1"/>
    <col min="3239" max="3239" width="10.33203125" style="3" customWidth="1"/>
    <col min="3240" max="3240" width="9.5546875" style="3" customWidth="1"/>
    <col min="3241" max="3241" width="11.6640625" style="3" customWidth="1"/>
    <col min="3242" max="3242" width="10.88671875" style="3" customWidth="1"/>
    <col min="3243" max="3243" width="15.33203125" style="3" customWidth="1"/>
    <col min="3244" max="3244" width="10" style="3" customWidth="1"/>
    <col min="3245" max="3481" width="9.109375" style="3"/>
    <col min="3482" max="3482" width="27.109375" style="3" bestFit="1" customWidth="1"/>
    <col min="3483" max="3483" width="12" style="3" customWidth="1"/>
    <col min="3484" max="3484" width="11" style="3" customWidth="1"/>
    <col min="3485" max="3485" width="8" style="3" customWidth="1"/>
    <col min="3486" max="3486" width="8.5546875" style="3" customWidth="1"/>
    <col min="3487" max="3487" width="10.33203125" style="3" customWidth="1"/>
    <col min="3488" max="3488" width="9.33203125" style="3" customWidth="1"/>
    <col min="3489" max="3489" width="9" style="3" customWidth="1"/>
    <col min="3490" max="3490" width="9.6640625" style="3" customWidth="1"/>
    <col min="3491" max="3491" width="10.5546875" style="3" customWidth="1"/>
    <col min="3492" max="3492" width="9.44140625" style="3" customWidth="1"/>
    <col min="3493" max="3493" width="9.5546875" style="3" customWidth="1"/>
    <col min="3494" max="3494" width="11.5546875" style="3" customWidth="1"/>
    <col min="3495" max="3495" width="10.33203125" style="3" customWidth="1"/>
    <col min="3496" max="3496" width="9.5546875" style="3" customWidth="1"/>
    <col min="3497" max="3497" width="11.6640625" style="3" customWidth="1"/>
    <col min="3498" max="3498" width="10.88671875" style="3" customWidth="1"/>
    <col min="3499" max="3499" width="15.33203125" style="3" customWidth="1"/>
    <col min="3500" max="3500" width="10" style="3" customWidth="1"/>
    <col min="3501" max="3737" width="9.109375" style="3"/>
    <col min="3738" max="3738" width="27.109375" style="3" bestFit="1" customWidth="1"/>
    <col min="3739" max="3739" width="12" style="3" customWidth="1"/>
    <col min="3740" max="3740" width="11" style="3" customWidth="1"/>
    <col min="3741" max="3741" width="8" style="3" customWidth="1"/>
    <col min="3742" max="3742" width="8.5546875" style="3" customWidth="1"/>
    <col min="3743" max="3743" width="10.33203125" style="3" customWidth="1"/>
    <col min="3744" max="3744" width="9.33203125" style="3" customWidth="1"/>
    <col min="3745" max="3745" width="9" style="3" customWidth="1"/>
    <col min="3746" max="3746" width="9.6640625" style="3" customWidth="1"/>
    <col min="3747" max="3747" width="10.5546875" style="3" customWidth="1"/>
    <col min="3748" max="3748" width="9.44140625" style="3" customWidth="1"/>
    <col min="3749" max="3749" width="9.5546875" style="3" customWidth="1"/>
    <col min="3750" max="3750" width="11.5546875" style="3" customWidth="1"/>
    <col min="3751" max="3751" width="10.33203125" style="3" customWidth="1"/>
    <col min="3752" max="3752" width="9.5546875" style="3" customWidth="1"/>
    <col min="3753" max="3753" width="11.6640625" style="3" customWidth="1"/>
    <col min="3754" max="3754" width="10.88671875" style="3" customWidth="1"/>
    <col min="3755" max="3755" width="15.33203125" style="3" customWidth="1"/>
    <col min="3756" max="3756" width="10" style="3" customWidth="1"/>
    <col min="3757" max="3993" width="9.109375" style="3"/>
    <col min="3994" max="3994" width="27.109375" style="3" bestFit="1" customWidth="1"/>
    <col min="3995" max="3995" width="12" style="3" customWidth="1"/>
    <col min="3996" max="3996" width="11" style="3" customWidth="1"/>
    <col min="3997" max="3997" width="8" style="3" customWidth="1"/>
    <col min="3998" max="3998" width="8.5546875" style="3" customWidth="1"/>
    <col min="3999" max="3999" width="10.33203125" style="3" customWidth="1"/>
    <col min="4000" max="4000" width="9.33203125" style="3" customWidth="1"/>
    <col min="4001" max="4001" width="9" style="3" customWidth="1"/>
    <col min="4002" max="4002" width="9.6640625" style="3" customWidth="1"/>
    <col min="4003" max="4003" width="10.5546875" style="3" customWidth="1"/>
    <col min="4004" max="4004" width="9.44140625" style="3" customWidth="1"/>
    <col min="4005" max="4005" width="9.5546875" style="3" customWidth="1"/>
    <col min="4006" max="4006" width="11.5546875" style="3" customWidth="1"/>
    <col min="4007" max="4007" width="10.33203125" style="3" customWidth="1"/>
    <col min="4008" max="4008" width="9.5546875" style="3" customWidth="1"/>
    <col min="4009" max="4009" width="11.6640625" style="3" customWidth="1"/>
    <col min="4010" max="4010" width="10.88671875" style="3" customWidth="1"/>
    <col min="4011" max="4011" width="15.33203125" style="3" customWidth="1"/>
    <col min="4012" max="4012" width="10" style="3" customWidth="1"/>
    <col min="4013" max="4249" width="9.109375" style="3"/>
    <col min="4250" max="4250" width="27.109375" style="3" bestFit="1" customWidth="1"/>
    <col min="4251" max="4251" width="12" style="3" customWidth="1"/>
    <col min="4252" max="4252" width="11" style="3" customWidth="1"/>
    <col min="4253" max="4253" width="8" style="3" customWidth="1"/>
    <col min="4254" max="4254" width="8.5546875" style="3" customWidth="1"/>
    <col min="4255" max="4255" width="10.33203125" style="3" customWidth="1"/>
    <col min="4256" max="4256" width="9.33203125" style="3" customWidth="1"/>
    <col min="4257" max="4257" width="9" style="3" customWidth="1"/>
    <col min="4258" max="4258" width="9.6640625" style="3" customWidth="1"/>
    <col min="4259" max="4259" width="10.5546875" style="3" customWidth="1"/>
    <col min="4260" max="4260" width="9.44140625" style="3" customWidth="1"/>
    <col min="4261" max="4261" width="9.5546875" style="3" customWidth="1"/>
    <col min="4262" max="4262" width="11.5546875" style="3" customWidth="1"/>
    <col min="4263" max="4263" width="10.33203125" style="3" customWidth="1"/>
    <col min="4264" max="4264" width="9.5546875" style="3" customWidth="1"/>
    <col min="4265" max="4265" width="11.6640625" style="3" customWidth="1"/>
    <col min="4266" max="4266" width="10.88671875" style="3" customWidth="1"/>
    <col min="4267" max="4267" width="15.33203125" style="3" customWidth="1"/>
    <col min="4268" max="4268" width="10" style="3" customWidth="1"/>
    <col min="4269" max="4505" width="9.109375" style="3"/>
    <col min="4506" max="4506" width="27.109375" style="3" bestFit="1" customWidth="1"/>
    <col min="4507" max="4507" width="12" style="3" customWidth="1"/>
    <col min="4508" max="4508" width="11" style="3" customWidth="1"/>
    <col min="4509" max="4509" width="8" style="3" customWidth="1"/>
    <col min="4510" max="4510" width="8.5546875" style="3" customWidth="1"/>
    <col min="4511" max="4511" width="10.33203125" style="3" customWidth="1"/>
    <col min="4512" max="4512" width="9.33203125" style="3" customWidth="1"/>
    <col min="4513" max="4513" width="9" style="3" customWidth="1"/>
    <col min="4514" max="4514" width="9.6640625" style="3" customWidth="1"/>
    <col min="4515" max="4515" width="10.5546875" style="3" customWidth="1"/>
    <col min="4516" max="4516" width="9.44140625" style="3" customWidth="1"/>
    <col min="4517" max="4517" width="9.5546875" style="3" customWidth="1"/>
    <col min="4518" max="4518" width="11.5546875" style="3" customWidth="1"/>
    <col min="4519" max="4519" width="10.33203125" style="3" customWidth="1"/>
    <col min="4520" max="4520" width="9.5546875" style="3" customWidth="1"/>
    <col min="4521" max="4521" width="11.6640625" style="3" customWidth="1"/>
    <col min="4522" max="4522" width="10.88671875" style="3" customWidth="1"/>
    <col min="4523" max="4523" width="15.33203125" style="3" customWidth="1"/>
    <col min="4524" max="4524" width="10" style="3" customWidth="1"/>
    <col min="4525" max="4761" width="9.109375" style="3"/>
    <col min="4762" max="4762" width="27.109375" style="3" bestFit="1" customWidth="1"/>
    <col min="4763" max="4763" width="12" style="3" customWidth="1"/>
    <col min="4764" max="4764" width="11" style="3" customWidth="1"/>
    <col min="4765" max="4765" width="8" style="3" customWidth="1"/>
    <col min="4766" max="4766" width="8.5546875" style="3" customWidth="1"/>
    <col min="4767" max="4767" width="10.33203125" style="3" customWidth="1"/>
    <col min="4768" max="4768" width="9.33203125" style="3" customWidth="1"/>
    <col min="4769" max="4769" width="9" style="3" customWidth="1"/>
    <col min="4770" max="4770" width="9.6640625" style="3" customWidth="1"/>
    <col min="4771" max="4771" width="10.5546875" style="3" customWidth="1"/>
    <col min="4772" max="4772" width="9.44140625" style="3" customWidth="1"/>
    <col min="4773" max="4773" width="9.5546875" style="3" customWidth="1"/>
    <col min="4774" max="4774" width="11.5546875" style="3" customWidth="1"/>
    <col min="4775" max="4775" width="10.33203125" style="3" customWidth="1"/>
    <col min="4776" max="4776" width="9.5546875" style="3" customWidth="1"/>
    <col min="4777" max="4777" width="11.6640625" style="3" customWidth="1"/>
    <col min="4778" max="4778" width="10.88671875" style="3" customWidth="1"/>
    <col min="4779" max="4779" width="15.33203125" style="3" customWidth="1"/>
    <col min="4780" max="4780" width="10" style="3" customWidth="1"/>
    <col min="4781" max="5017" width="9.109375" style="3"/>
    <col min="5018" max="5018" width="27.109375" style="3" bestFit="1" customWidth="1"/>
    <col min="5019" max="5019" width="12" style="3" customWidth="1"/>
    <col min="5020" max="5020" width="11" style="3" customWidth="1"/>
    <col min="5021" max="5021" width="8" style="3" customWidth="1"/>
    <col min="5022" max="5022" width="8.5546875" style="3" customWidth="1"/>
    <col min="5023" max="5023" width="10.33203125" style="3" customWidth="1"/>
    <col min="5024" max="5024" width="9.33203125" style="3" customWidth="1"/>
    <col min="5025" max="5025" width="9" style="3" customWidth="1"/>
    <col min="5026" max="5026" width="9.6640625" style="3" customWidth="1"/>
    <col min="5027" max="5027" width="10.5546875" style="3" customWidth="1"/>
    <col min="5028" max="5028" width="9.44140625" style="3" customWidth="1"/>
    <col min="5029" max="5029" width="9.5546875" style="3" customWidth="1"/>
    <col min="5030" max="5030" width="11.5546875" style="3" customWidth="1"/>
    <col min="5031" max="5031" width="10.33203125" style="3" customWidth="1"/>
    <col min="5032" max="5032" width="9.5546875" style="3" customWidth="1"/>
    <col min="5033" max="5033" width="11.6640625" style="3" customWidth="1"/>
    <col min="5034" max="5034" width="10.88671875" style="3" customWidth="1"/>
    <col min="5035" max="5035" width="15.33203125" style="3" customWidth="1"/>
    <col min="5036" max="5036" width="10" style="3" customWidth="1"/>
    <col min="5037" max="5273" width="9.109375" style="3"/>
    <col min="5274" max="5274" width="27.109375" style="3" bestFit="1" customWidth="1"/>
    <col min="5275" max="5275" width="12" style="3" customWidth="1"/>
    <col min="5276" max="5276" width="11" style="3" customWidth="1"/>
    <col min="5277" max="5277" width="8" style="3" customWidth="1"/>
    <col min="5278" max="5278" width="8.5546875" style="3" customWidth="1"/>
    <col min="5279" max="5279" width="10.33203125" style="3" customWidth="1"/>
    <col min="5280" max="5280" width="9.33203125" style="3" customWidth="1"/>
    <col min="5281" max="5281" width="9" style="3" customWidth="1"/>
    <col min="5282" max="5282" width="9.6640625" style="3" customWidth="1"/>
    <col min="5283" max="5283" width="10.5546875" style="3" customWidth="1"/>
    <col min="5284" max="5284" width="9.44140625" style="3" customWidth="1"/>
    <col min="5285" max="5285" width="9.5546875" style="3" customWidth="1"/>
    <col min="5286" max="5286" width="11.5546875" style="3" customWidth="1"/>
    <col min="5287" max="5287" width="10.33203125" style="3" customWidth="1"/>
    <col min="5288" max="5288" width="9.5546875" style="3" customWidth="1"/>
    <col min="5289" max="5289" width="11.6640625" style="3" customWidth="1"/>
    <col min="5290" max="5290" width="10.88671875" style="3" customWidth="1"/>
    <col min="5291" max="5291" width="15.33203125" style="3" customWidth="1"/>
    <col min="5292" max="5292" width="10" style="3" customWidth="1"/>
    <col min="5293" max="5529" width="9.109375" style="3"/>
    <col min="5530" max="5530" width="27.109375" style="3" bestFit="1" customWidth="1"/>
    <col min="5531" max="5531" width="12" style="3" customWidth="1"/>
    <col min="5532" max="5532" width="11" style="3" customWidth="1"/>
    <col min="5533" max="5533" width="8" style="3" customWidth="1"/>
    <col min="5534" max="5534" width="8.5546875" style="3" customWidth="1"/>
    <col min="5535" max="5535" width="10.33203125" style="3" customWidth="1"/>
    <col min="5536" max="5536" width="9.33203125" style="3" customWidth="1"/>
    <col min="5537" max="5537" width="9" style="3" customWidth="1"/>
    <col min="5538" max="5538" width="9.6640625" style="3" customWidth="1"/>
    <col min="5539" max="5539" width="10.5546875" style="3" customWidth="1"/>
    <col min="5540" max="5540" width="9.44140625" style="3" customWidth="1"/>
    <col min="5541" max="5541" width="9.5546875" style="3" customWidth="1"/>
    <col min="5542" max="5542" width="11.5546875" style="3" customWidth="1"/>
    <col min="5543" max="5543" width="10.33203125" style="3" customWidth="1"/>
    <col min="5544" max="5544" width="9.5546875" style="3" customWidth="1"/>
    <col min="5545" max="5545" width="11.6640625" style="3" customWidth="1"/>
    <col min="5546" max="5546" width="10.88671875" style="3" customWidth="1"/>
    <col min="5547" max="5547" width="15.33203125" style="3" customWidth="1"/>
    <col min="5548" max="5548" width="10" style="3" customWidth="1"/>
    <col min="5549" max="5785" width="9.109375" style="3"/>
    <col min="5786" max="5786" width="27.109375" style="3" bestFit="1" customWidth="1"/>
    <col min="5787" max="5787" width="12" style="3" customWidth="1"/>
    <col min="5788" max="5788" width="11" style="3" customWidth="1"/>
    <col min="5789" max="5789" width="8" style="3" customWidth="1"/>
    <col min="5790" max="5790" width="8.5546875" style="3" customWidth="1"/>
    <col min="5791" max="5791" width="10.33203125" style="3" customWidth="1"/>
    <col min="5792" max="5792" width="9.33203125" style="3" customWidth="1"/>
    <col min="5793" max="5793" width="9" style="3" customWidth="1"/>
    <col min="5794" max="5794" width="9.6640625" style="3" customWidth="1"/>
    <col min="5795" max="5795" width="10.5546875" style="3" customWidth="1"/>
    <col min="5796" max="5796" width="9.44140625" style="3" customWidth="1"/>
    <col min="5797" max="5797" width="9.5546875" style="3" customWidth="1"/>
    <col min="5798" max="5798" width="11.5546875" style="3" customWidth="1"/>
    <col min="5799" max="5799" width="10.33203125" style="3" customWidth="1"/>
    <col min="5800" max="5800" width="9.5546875" style="3" customWidth="1"/>
    <col min="5801" max="5801" width="11.6640625" style="3" customWidth="1"/>
    <col min="5802" max="5802" width="10.88671875" style="3" customWidth="1"/>
    <col min="5803" max="5803" width="15.33203125" style="3" customWidth="1"/>
    <col min="5804" max="5804" width="10" style="3" customWidth="1"/>
    <col min="5805" max="6041" width="9.109375" style="3"/>
    <col min="6042" max="6042" width="27.109375" style="3" bestFit="1" customWidth="1"/>
    <col min="6043" max="6043" width="12" style="3" customWidth="1"/>
    <col min="6044" max="6044" width="11" style="3" customWidth="1"/>
    <col min="6045" max="6045" width="8" style="3" customWidth="1"/>
    <col min="6046" max="6046" width="8.5546875" style="3" customWidth="1"/>
    <col min="6047" max="6047" width="10.33203125" style="3" customWidth="1"/>
    <col min="6048" max="6048" width="9.33203125" style="3" customWidth="1"/>
    <col min="6049" max="6049" width="9" style="3" customWidth="1"/>
    <col min="6050" max="6050" width="9.6640625" style="3" customWidth="1"/>
    <col min="6051" max="6051" width="10.5546875" style="3" customWidth="1"/>
    <col min="6052" max="6052" width="9.44140625" style="3" customWidth="1"/>
    <col min="6053" max="6053" width="9.5546875" style="3" customWidth="1"/>
    <col min="6054" max="6054" width="11.5546875" style="3" customWidth="1"/>
    <col min="6055" max="6055" width="10.33203125" style="3" customWidth="1"/>
    <col min="6056" max="6056" width="9.5546875" style="3" customWidth="1"/>
    <col min="6057" max="6057" width="11.6640625" style="3" customWidth="1"/>
    <col min="6058" max="6058" width="10.88671875" style="3" customWidth="1"/>
    <col min="6059" max="6059" width="15.33203125" style="3" customWidth="1"/>
    <col min="6060" max="6060" width="10" style="3" customWidth="1"/>
    <col min="6061" max="6297" width="9.109375" style="3"/>
    <col min="6298" max="6298" width="27.109375" style="3" bestFit="1" customWidth="1"/>
    <col min="6299" max="6299" width="12" style="3" customWidth="1"/>
    <col min="6300" max="6300" width="11" style="3" customWidth="1"/>
    <col min="6301" max="6301" width="8" style="3" customWidth="1"/>
    <col min="6302" max="6302" width="8.5546875" style="3" customWidth="1"/>
    <col min="6303" max="6303" width="10.33203125" style="3" customWidth="1"/>
    <col min="6304" max="6304" width="9.33203125" style="3" customWidth="1"/>
    <col min="6305" max="6305" width="9" style="3" customWidth="1"/>
    <col min="6306" max="6306" width="9.6640625" style="3" customWidth="1"/>
    <col min="6307" max="6307" width="10.5546875" style="3" customWidth="1"/>
    <col min="6308" max="6308" width="9.44140625" style="3" customWidth="1"/>
    <col min="6309" max="6309" width="9.5546875" style="3" customWidth="1"/>
    <col min="6310" max="6310" width="11.5546875" style="3" customWidth="1"/>
    <col min="6311" max="6311" width="10.33203125" style="3" customWidth="1"/>
    <col min="6312" max="6312" width="9.5546875" style="3" customWidth="1"/>
    <col min="6313" max="6313" width="11.6640625" style="3" customWidth="1"/>
    <col min="6314" max="6314" width="10.88671875" style="3" customWidth="1"/>
    <col min="6315" max="6315" width="15.33203125" style="3" customWidth="1"/>
    <col min="6316" max="6316" width="10" style="3" customWidth="1"/>
    <col min="6317" max="6553" width="9.109375" style="3"/>
    <col min="6554" max="6554" width="27.109375" style="3" bestFit="1" customWidth="1"/>
    <col min="6555" max="6555" width="12" style="3" customWidth="1"/>
    <col min="6556" max="6556" width="11" style="3" customWidth="1"/>
    <col min="6557" max="6557" width="8" style="3" customWidth="1"/>
    <col min="6558" max="6558" width="8.5546875" style="3" customWidth="1"/>
    <col min="6559" max="6559" width="10.33203125" style="3" customWidth="1"/>
    <col min="6560" max="6560" width="9.33203125" style="3" customWidth="1"/>
    <col min="6561" max="6561" width="9" style="3" customWidth="1"/>
    <col min="6562" max="6562" width="9.6640625" style="3" customWidth="1"/>
    <col min="6563" max="6563" width="10.5546875" style="3" customWidth="1"/>
    <col min="6564" max="6564" width="9.44140625" style="3" customWidth="1"/>
    <col min="6565" max="6565" width="9.5546875" style="3" customWidth="1"/>
    <col min="6566" max="6566" width="11.5546875" style="3" customWidth="1"/>
    <col min="6567" max="6567" width="10.33203125" style="3" customWidth="1"/>
    <col min="6568" max="6568" width="9.5546875" style="3" customWidth="1"/>
    <col min="6569" max="6569" width="11.6640625" style="3" customWidth="1"/>
    <col min="6570" max="6570" width="10.88671875" style="3" customWidth="1"/>
    <col min="6571" max="6571" width="15.33203125" style="3" customWidth="1"/>
    <col min="6572" max="6572" width="10" style="3" customWidth="1"/>
    <col min="6573" max="6809" width="9.109375" style="3"/>
    <col min="6810" max="6810" width="27.109375" style="3" bestFit="1" customWidth="1"/>
    <col min="6811" max="6811" width="12" style="3" customWidth="1"/>
    <col min="6812" max="6812" width="11" style="3" customWidth="1"/>
    <col min="6813" max="6813" width="8" style="3" customWidth="1"/>
    <col min="6814" max="6814" width="8.5546875" style="3" customWidth="1"/>
    <col min="6815" max="6815" width="10.33203125" style="3" customWidth="1"/>
    <col min="6816" max="6816" width="9.33203125" style="3" customWidth="1"/>
    <col min="6817" max="6817" width="9" style="3" customWidth="1"/>
    <col min="6818" max="6818" width="9.6640625" style="3" customWidth="1"/>
    <col min="6819" max="6819" width="10.5546875" style="3" customWidth="1"/>
    <col min="6820" max="6820" width="9.44140625" style="3" customWidth="1"/>
    <col min="6821" max="6821" width="9.5546875" style="3" customWidth="1"/>
    <col min="6822" max="6822" width="11.5546875" style="3" customWidth="1"/>
    <col min="6823" max="6823" width="10.33203125" style="3" customWidth="1"/>
    <col min="6824" max="6824" width="9.5546875" style="3" customWidth="1"/>
    <col min="6825" max="6825" width="11.6640625" style="3" customWidth="1"/>
    <col min="6826" max="6826" width="10.88671875" style="3" customWidth="1"/>
    <col min="6827" max="6827" width="15.33203125" style="3" customWidth="1"/>
    <col min="6828" max="6828" width="10" style="3" customWidth="1"/>
    <col min="6829" max="7065" width="9.109375" style="3"/>
    <col min="7066" max="7066" width="27.109375" style="3" bestFit="1" customWidth="1"/>
    <col min="7067" max="7067" width="12" style="3" customWidth="1"/>
    <col min="7068" max="7068" width="11" style="3" customWidth="1"/>
    <col min="7069" max="7069" width="8" style="3" customWidth="1"/>
    <col min="7070" max="7070" width="8.5546875" style="3" customWidth="1"/>
    <col min="7071" max="7071" width="10.33203125" style="3" customWidth="1"/>
    <col min="7072" max="7072" width="9.33203125" style="3" customWidth="1"/>
    <col min="7073" max="7073" width="9" style="3" customWidth="1"/>
    <col min="7074" max="7074" width="9.6640625" style="3" customWidth="1"/>
    <col min="7075" max="7075" width="10.5546875" style="3" customWidth="1"/>
    <col min="7076" max="7076" width="9.44140625" style="3" customWidth="1"/>
    <col min="7077" max="7077" width="9.5546875" style="3" customWidth="1"/>
    <col min="7078" max="7078" width="11.5546875" style="3" customWidth="1"/>
    <col min="7079" max="7079" width="10.33203125" style="3" customWidth="1"/>
    <col min="7080" max="7080" width="9.5546875" style="3" customWidth="1"/>
    <col min="7081" max="7081" width="11.6640625" style="3" customWidth="1"/>
    <col min="7082" max="7082" width="10.88671875" style="3" customWidth="1"/>
    <col min="7083" max="7083" width="15.33203125" style="3" customWidth="1"/>
    <col min="7084" max="7084" width="10" style="3" customWidth="1"/>
    <col min="7085" max="7321" width="9.109375" style="3"/>
    <col min="7322" max="7322" width="27.109375" style="3" bestFit="1" customWidth="1"/>
    <col min="7323" max="7323" width="12" style="3" customWidth="1"/>
    <col min="7324" max="7324" width="11" style="3" customWidth="1"/>
    <col min="7325" max="7325" width="8" style="3" customWidth="1"/>
    <col min="7326" max="7326" width="8.5546875" style="3" customWidth="1"/>
    <col min="7327" max="7327" width="10.33203125" style="3" customWidth="1"/>
    <col min="7328" max="7328" width="9.33203125" style="3" customWidth="1"/>
    <col min="7329" max="7329" width="9" style="3" customWidth="1"/>
    <col min="7330" max="7330" width="9.6640625" style="3" customWidth="1"/>
    <col min="7331" max="7331" width="10.5546875" style="3" customWidth="1"/>
    <col min="7332" max="7332" width="9.44140625" style="3" customWidth="1"/>
    <col min="7333" max="7333" width="9.5546875" style="3" customWidth="1"/>
    <col min="7334" max="7334" width="11.5546875" style="3" customWidth="1"/>
    <col min="7335" max="7335" width="10.33203125" style="3" customWidth="1"/>
    <col min="7336" max="7336" width="9.5546875" style="3" customWidth="1"/>
    <col min="7337" max="7337" width="11.6640625" style="3" customWidth="1"/>
    <col min="7338" max="7338" width="10.88671875" style="3" customWidth="1"/>
    <col min="7339" max="7339" width="15.33203125" style="3" customWidth="1"/>
    <col min="7340" max="7340" width="10" style="3" customWidth="1"/>
    <col min="7341" max="7577" width="9.109375" style="3"/>
    <col min="7578" max="7578" width="27.109375" style="3" bestFit="1" customWidth="1"/>
    <col min="7579" max="7579" width="12" style="3" customWidth="1"/>
    <col min="7580" max="7580" width="11" style="3" customWidth="1"/>
    <col min="7581" max="7581" width="8" style="3" customWidth="1"/>
    <col min="7582" max="7582" width="8.5546875" style="3" customWidth="1"/>
    <col min="7583" max="7583" width="10.33203125" style="3" customWidth="1"/>
    <col min="7584" max="7584" width="9.33203125" style="3" customWidth="1"/>
    <col min="7585" max="7585" width="9" style="3" customWidth="1"/>
    <col min="7586" max="7586" width="9.6640625" style="3" customWidth="1"/>
    <col min="7587" max="7587" width="10.5546875" style="3" customWidth="1"/>
    <col min="7588" max="7588" width="9.44140625" style="3" customWidth="1"/>
    <col min="7589" max="7589" width="9.5546875" style="3" customWidth="1"/>
    <col min="7590" max="7590" width="11.5546875" style="3" customWidth="1"/>
    <col min="7591" max="7591" width="10.33203125" style="3" customWidth="1"/>
    <col min="7592" max="7592" width="9.5546875" style="3" customWidth="1"/>
    <col min="7593" max="7593" width="11.6640625" style="3" customWidth="1"/>
    <col min="7594" max="7594" width="10.88671875" style="3" customWidth="1"/>
    <col min="7595" max="7595" width="15.33203125" style="3" customWidth="1"/>
    <col min="7596" max="7596" width="10" style="3" customWidth="1"/>
    <col min="7597" max="7833" width="9.109375" style="3"/>
    <col min="7834" max="7834" width="27.109375" style="3" bestFit="1" customWidth="1"/>
    <col min="7835" max="7835" width="12" style="3" customWidth="1"/>
    <col min="7836" max="7836" width="11" style="3" customWidth="1"/>
    <col min="7837" max="7837" width="8" style="3" customWidth="1"/>
    <col min="7838" max="7838" width="8.5546875" style="3" customWidth="1"/>
    <col min="7839" max="7839" width="10.33203125" style="3" customWidth="1"/>
    <col min="7840" max="7840" width="9.33203125" style="3" customWidth="1"/>
    <col min="7841" max="7841" width="9" style="3" customWidth="1"/>
    <col min="7842" max="7842" width="9.6640625" style="3" customWidth="1"/>
    <col min="7843" max="7843" width="10.5546875" style="3" customWidth="1"/>
    <col min="7844" max="7844" width="9.44140625" style="3" customWidth="1"/>
    <col min="7845" max="7845" width="9.5546875" style="3" customWidth="1"/>
    <col min="7846" max="7846" width="11.5546875" style="3" customWidth="1"/>
    <col min="7847" max="7847" width="10.33203125" style="3" customWidth="1"/>
    <col min="7848" max="7848" width="9.5546875" style="3" customWidth="1"/>
    <col min="7849" max="7849" width="11.6640625" style="3" customWidth="1"/>
    <col min="7850" max="7850" width="10.88671875" style="3" customWidth="1"/>
    <col min="7851" max="7851" width="15.33203125" style="3" customWidth="1"/>
    <col min="7852" max="7852" width="10" style="3" customWidth="1"/>
    <col min="7853" max="8089" width="9.109375" style="3"/>
    <col min="8090" max="8090" width="27.109375" style="3" bestFit="1" customWidth="1"/>
    <col min="8091" max="8091" width="12" style="3" customWidth="1"/>
    <col min="8092" max="8092" width="11" style="3" customWidth="1"/>
    <col min="8093" max="8093" width="8" style="3" customWidth="1"/>
    <col min="8094" max="8094" width="8.5546875" style="3" customWidth="1"/>
    <col min="8095" max="8095" width="10.33203125" style="3" customWidth="1"/>
    <col min="8096" max="8096" width="9.33203125" style="3" customWidth="1"/>
    <col min="8097" max="8097" width="9" style="3" customWidth="1"/>
    <col min="8098" max="8098" width="9.6640625" style="3" customWidth="1"/>
    <col min="8099" max="8099" width="10.5546875" style="3" customWidth="1"/>
    <col min="8100" max="8100" width="9.44140625" style="3" customWidth="1"/>
    <col min="8101" max="8101" width="9.5546875" style="3" customWidth="1"/>
    <col min="8102" max="8102" width="11.5546875" style="3" customWidth="1"/>
    <col min="8103" max="8103" width="10.33203125" style="3" customWidth="1"/>
    <col min="8104" max="8104" width="9.5546875" style="3" customWidth="1"/>
    <col min="8105" max="8105" width="11.6640625" style="3" customWidth="1"/>
    <col min="8106" max="8106" width="10.88671875" style="3" customWidth="1"/>
    <col min="8107" max="8107" width="15.33203125" style="3" customWidth="1"/>
    <col min="8108" max="8108" width="10" style="3" customWidth="1"/>
    <col min="8109" max="8345" width="9.109375" style="3"/>
    <col min="8346" max="8346" width="27.109375" style="3" bestFit="1" customWidth="1"/>
    <col min="8347" max="8347" width="12" style="3" customWidth="1"/>
    <col min="8348" max="8348" width="11" style="3" customWidth="1"/>
    <col min="8349" max="8349" width="8" style="3" customWidth="1"/>
    <col min="8350" max="8350" width="8.5546875" style="3" customWidth="1"/>
    <col min="8351" max="8351" width="10.33203125" style="3" customWidth="1"/>
    <col min="8352" max="8352" width="9.33203125" style="3" customWidth="1"/>
    <col min="8353" max="8353" width="9" style="3" customWidth="1"/>
    <col min="8354" max="8354" width="9.6640625" style="3" customWidth="1"/>
    <col min="8355" max="8355" width="10.5546875" style="3" customWidth="1"/>
    <col min="8356" max="8356" width="9.44140625" style="3" customWidth="1"/>
    <col min="8357" max="8357" width="9.5546875" style="3" customWidth="1"/>
    <col min="8358" max="8358" width="11.5546875" style="3" customWidth="1"/>
    <col min="8359" max="8359" width="10.33203125" style="3" customWidth="1"/>
    <col min="8360" max="8360" width="9.5546875" style="3" customWidth="1"/>
    <col min="8361" max="8361" width="11.6640625" style="3" customWidth="1"/>
    <col min="8362" max="8362" width="10.88671875" style="3" customWidth="1"/>
    <col min="8363" max="8363" width="15.33203125" style="3" customWidth="1"/>
    <col min="8364" max="8364" width="10" style="3" customWidth="1"/>
    <col min="8365" max="8601" width="9.109375" style="3"/>
    <col min="8602" max="8602" width="27.109375" style="3" bestFit="1" customWidth="1"/>
    <col min="8603" max="8603" width="12" style="3" customWidth="1"/>
    <col min="8604" max="8604" width="11" style="3" customWidth="1"/>
    <col min="8605" max="8605" width="8" style="3" customWidth="1"/>
    <col min="8606" max="8606" width="8.5546875" style="3" customWidth="1"/>
    <col min="8607" max="8607" width="10.33203125" style="3" customWidth="1"/>
    <col min="8608" max="8608" width="9.33203125" style="3" customWidth="1"/>
    <col min="8609" max="8609" width="9" style="3" customWidth="1"/>
    <col min="8610" max="8610" width="9.6640625" style="3" customWidth="1"/>
    <col min="8611" max="8611" width="10.5546875" style="3" customWidth="1"/>
    <col min="8612" max="8612" width="9.44140625" style="3" customWidth="1"/>
    <col min="8613" max="8613" width="9.5546875" style="3" customWidth="1"/>
    <col min="8614" max="8614" width="11.5546875" style="3" customWidth="1"/>
    <col min="8615" max="8615" width="10.33203125" style="3" customWidth="1"/>
    <col min="8616" max="8616" width="9.5546875" style="3" customWidth="1"/>
    <col min="8617" max="8617" width="11.6640625" style="3" customWidth="1"/>
    <col min="8618" max="8618" width="10.88671875" style="3" customWidth="1"/>
    <col min="8619" max="8619" width="15.33203125" style="3" customWidth="1"/>
    <col min="8620" max="8620" width="10" style="3" customWidth="1"/>
    <col min="8621" max="8857" width="9.109375" style="3"/>
    <col min="8858" max="8858" width="27.109375" style="3" bestFit="1" customWidth="1"/>
    <col min="8859" max="8859" width="12" style="3" customWidth="1"/>
    <col min="8860" max="8860" width="11" style="3" customWidth="1"/>
    <col min="8861" max="8861" width="8" style="3" customWidth="1"/>
    <col min="8862" max="8862" width="8.5546875" style="3" customWidth="1"/>
    <col min="8863" max="8863" width="10.33203125" style="3" customWidth="1"/>
    <col min="8864" max="8864" width="9.33203125" style="3" customWidth="1"/>
    <col min="8865" max="8865" width="9" style="3" customWidth="1"/>
    <col min="8866" max="8866" width="9.6640625" style="3" customWidth="1"/>
    <col min="8867" max="8867" width="10.5546875" style="3" customWidth="1"/>
    <col min="8868" max="8868" width="9.44140625" style="3" customWidth="1"/>
    <col min="8869" max="8869" width="9.5546875" style="3" customWidth="1"/>
    <col min="8870" max="8870" width="11.5546875" style="3" customWidth="1"/>
    <col min="8871" max="8871" width="10.33203125" style="3" customWidth="1"/>
    <col min="8872" max="8872" width="9.5546875" style="3" customWidth="1"/>
    <col min="8873" max="8873" width="11.6640625" style="3" customWidth="1"/>
    <col min="8874" max="8874" width="10.88671875" style="3" customWidth="1"/>
    <col min="8875" max="8875" width="15.33203125" style="3" customWidth="1"/>
    <col min="8876" max="8876" width="10" style="3" customWidth="1"/>
    <col min="8877" max="9113" width="9.109375" style="3"/>
    <col min="9114" max="9114" width="27.109375" style="3" bestFit="1" customWidth="1"/>
    <col min="9115" max="9115" width="12" style="3" customWidth="1"/>
    <col min="9116" max="9116" width="11" style="3" customWidth="1"/>
    <col min="9117" max="9117" width="8" style="3" customWidth="1"/>
    <col min="9118" max="9118" width="8.5546875" style="3" customWidth="1"/>
    <col min="9119" max="9119" width="10.33203125" style="3" customWidth="1"/>
    <col min="9120" max="9120" width="9.33203125" style="3" customWidth="1"/>
    <col min="9121" max="9121" width="9" style="3" customWidth="1"/>
    <col min="9122" max="9122" width="9.6640625" style="3" customWidth="1"/>
    <col min="9123" max="9123" width="10.5546875" style="3" customWidth="1"/>
    <col min="9124" max="9124" width="9.44140625" style="3" customWidth="1"/>
    <col min="9125" max="9125" width="9.5546875" style="3" customWidth="1"/>
    <col min="9126" max="9126" width="11.5546875" style="3" customWidth="1"/>
    <col min="9127" max="9127" width="10.33203125" style="3" customWidth="1"/>
    <col min="9128" max="9128" width="9.5546875" style="3" customWidth="1"/>
    <col min="9129" max="9129" width="11.6640625" style="3" customWidth="1"/>
    <col min="9130" max="9130" width="10.88671875" style="3" customWidth="1"/>
    <col min="9131" max="9131" width="15.33203125" style="3" customWidth="1"/>
    <col min="9132" max="9132" width="10" style="3" customWidth="1"/>
    <col min="9133" max="9369" width="9.109375" style="3"/>
    <col min="9370" max="9370" width="27.109375" style="3" bestFit="1" customWidth="1"/>
    <col min="9371" max="9371" width="12" style="3" customWidth="1"/>
    <col min="9372" max="9372" width="11" style="3" customWidth="1"/>
    <col min="9373" max="9373" width="8" style="3" customWidth="1"/>
    <col min="9374" max="9374" width="8.5546875" style="3" customWidth="1"/>
    <col min="9375" max="9375" width="10.33203125" style="3" customWidth="1"/>
    <col min="9376" max="9376" width="9.33203125" style="3" customWidth="1"/>
    <col min="9377" max="9377" width="9" style="3" customWidth="1"/>
    <col min="9378" max="9378" width="9.6640625" style="3" customWidth="1"/>
    <col min="9379" max="9379" width="10.5546875" style="3" customWidth="1"/>
    <col min="9380" max="9380" width="9.44140625" style="3" customWidth="1"/>
    <col min="9381" max="9381" width="9.5546875" style="3" customWidth="1"/>
    <col min="9382" max="9382" width="11.5546875" style="3" customWidth="1"/>
    <col min="9383" max="9383" width="10.33203125" style="3" customWidth="1"/>
    <col min="9384" max="9384" width="9.5546875" style="3" customWidth="1"/>
    <col min="9385" max="9385" width="11.6640625" style="3" customWidth="1"/>
    <col min="9386" max="9386" width="10.88671875" style="3" customWidth="1"/>
    <col min="9387" max="9387" width="15.33203125" style="3" customWidth="1"/>
    <col min="9388" max="9388" width="10" style="3" customWidth="1"/>
    <col min="9389" max="9625" width="9.109375" style="3"/>
    <col min="9626" max="9626" width="27.109375" style="3" bestFit="1" customWidth="1"/>
    <col min="9627" max="9627" width="12" style="3" customWidth="1"/>
    <col min="9628" max="9628" width="11" style="3" customWidth="1"/>
    <col min="9629" max="9629" width="8" style="3" customWidth="1"/>
    <col min="9630" max="9630" width="8.5546875" style="3" customWidth="1"/>
    <col min="9631" max="9631" width="10.33203125" style="3" customWidth="1"/>
    <col min="9632" max="9632" width="9.33203125" style="3" customWidth="1"/>
    <col min="9633" max="9633" width="9" style="3" customWidth="1"/>
    <col min="9634" max="9634" width="9.6640625" style="3" customWidth="1"/>
    <col min="9635" max="9635" width="10.5546875" style="3" customWidth="1"/>
    <col min="9636" max="9636" width="9.44140625" style="3" customWidth="1"/>
    <col min="9637" max="9637" width="9.5546875" style="3" customWidth="1"/>
    <col min="9638" max="9638" width="11.5546875" style="3" customWidth="1"/>
    <col min="9639" max="9639" width="10.33203125" style="3" customWidth="1"/>
    <col min="9640" max="9640" width="9.5546875" style="3" customWidth="1"/>
    <col min="9641" max="9641" width="11.6640625" style="3" customWidth="1"/>
    <col min="9642" max="9642" width="10.88671875" style="3" customWidth="1"/>
    <col min="9643" max="9643" width="15.33203125" style="3" customWidth="1"/>
    <col min="9644" max="9644" width="10" style="3" customWidth="1"/>
    <col min="9645" max="9881" width="9.109375" style="3"/>
    <col min="9882" max="9882" width="27.109375" style="3" bestFit="1" customWidth="1"/>
    <col min="9883" max="9883" width="12" style="3" customWidth="1"/>
    <col min="9884" max="9884" width="11" style="3" customWidth="1"/>
    <col min="9885" max="9885" width="8" style="3" customWidth="1"/>
    <col min="9886" max="9886" width="8.5546875" style="3" customWidth="1"/>
    <col min="9887" max="9887" width="10.33203125" style="3" customWidth="1"/>
    <col min="9888" max="9888" width="9.33203125" style="3" customWidth="1"/>
    <col min="9889" max="9889" width="9" style="3" customWidth="1"/>
    <col min="9890" max="9890" width="9.6640625" style="3" customWidth="1"/>
    <col min="9891" max="9891" width="10.5546875" style="3" customWidth="1"/>
    <col min="9892" max="9892" width="9.44140625" style="3" customWidth="1"/>
    <col min="9893" max="9893" width="9.5546875" style="3" customWidth="1"/>
    <col min="9894" max="9894" width="11.5546875" style="3" customWidth="1"/>
    <col min="9895" max="9895" width="10.33203125" style="3" customWidth="1"/>
    <col min="9896" max="9896" width="9.5546875" style="3" customWidth="1"/>
    <col min="9897" max="9897" width="11.6640625" style="3" customWidth="1"/>
    <col min="9898" max="9898" width="10.88671875" style="3" customWidth="1"/>
    <col min="9899" max="9899" width="15.33203125" style="3" customWidth="1"/>
    <col min="9900" max="9900" width="10" style="3" customWidth="1"/>
    <col min="9901" max="10137" width="9.109375" style="3"/>
    <col min="10138" max="10138" width="27.109375" style="3" bestFit="1" customWidth="1"/>
    <col min="10139" max="10139" width="12" style="3" customWidth="1"/>
    <col min="10140" max="10140" width="11" style="3" customWidth="1"/>
    <col min="10141" max="10141" width="8" style="3" customWidth="1"/>
    <col min="10142" max="10142" width="8.5546875" style="3" customWidth="1"/>
    <col min="10143" max="10143" width="10.33203125" style="3" customWidth="1"/>
    <col min="10144" max="10144" width="9.33203125" style="3" customWidth="1"/>
    <col min="10145" max="10145" width="9" style="3" customWidth="1"/>
    <col min="10146" max="10146" width="9.6640625" style="3" customWidth="1"/>
    <col min="10147" max="10147" width="10.5546875" style="3" customWidth="1"/>
    <col min="10148" max="10148" width="9.44140625" style="3" customWidth="1"/>
    <col min="10149" max="10149" width="9.5546875" style="3" customWidth="1"/>
    <col min="10150" max="10150" width="11.5546875" style="3" customWidth="1"/>
    <col min="10151" max="10151" width="10.33203125" style="3" customWidth="1"/>
    <col min="10152" max="10152" width="9.5546875" style="3" customWidth="1"/>
    <col min="10153" max="10153" width="11.6640625" style="3" customWidth="1"/>
    <col min="10154" max="10154" width="10.88671875" style="3" customWidth="1"/>
    <col min="10155" max="10155" width="15.33203125" style="3" customWidth="1"/>
    <col min="10156" max="10156" width="10" style="3" customWidth="1"/>
    <col min="10157" max="10393" width="9.109375" style="3"/>
    <col min="10394" max="10394" width="27.109375" style="3" bestFit="1" customWidth="1"/>
    <col min="10395" max="10395" width="12" style="3" customWidth="1"/>
    <col min="10396" max="10396" width="11" style="3" customWidth="1"/>
    <col min="10397" max="10397" width="8" style="3" customWidth="1"/>
    <col min="10398" max="10398" width="8.5546875" style="3" customWidth="1"/>
    <col min="10399" max="10399" width="10.33203125" style="3" customWidth="1"/>
    <col min="10400" max="10400" width="9.33203125" style="3" customWidth="1"/>
    <col min="10401" max="10401" width="9" style="3" customWidth="1"/>
    <col min="10402" max="10402" width="9.6640625" style="3" customWidth="1"/>
    <col min="10403" max="10403" width="10.5546875" style="3" customWidth="1"/>
    <col min="10404" max="10404" width="9.44140625" style="3" customWidth="1"/>
    <col min="10405" max="10405" width="9.5546875" style="3" customWidth="1"/>
    <col min="10406" max="10406" width="11.5546875" style="3" customWidth="1"/>
    <col min="10407" max="10407" width="10.33203125" style="3" customWidth="1"/>
    <col min="10408" max="10408" width="9.5546875" style="3" customWidth="1"/>
    <col min="10409" max="10409" width="11.6640625" style="3" customWidth="1"/>
    <col min="10410" max="10410" width="10.88671875" style="3" customWidth="1"/>
    <col min="10411" max="10411" width="15.33203125" style="3" customWidth="1"/>
    <col min="10412" max="10412" width="10" style="3" customWidth="1"/>
    <col min="10413" max="10649" width="9.109375" style="3"/>
    <col min="10650" max="10650" width="27.109375" style="3" bestFit="1" customWidth="1"/>
    <col min="10651" max="10651" width="12" style="3" customWidth="1"/>
    <col min="10652" max="10652" width="11" style="3" customWidth="1"/>
    <col min="10653" max="10653" width="8" style="3" customWidth="1"/>
    <col min="10654" max="10654" width="8.5546875" style="3" customWidth="1"/>
    <col min="10655" max="10655" width="10.33203125" style="3" customWidth="1"/>
    <col min="10656" max="10656" width="9.33203125" style="3" customWidth="1"/>
    <col min="10657" max="10657" width="9" style="3" customWidth="1"/>
    <col min="10658" max="10658" width="9.6640625" style="3" customWidth="1"/>
    <col min="10659" max="10659" width="10.5546875" style="3" customWidth="1"/>
    <col min="10660" max="10660" width="9.44140625" style="3" customWidth="1"/>
    <col min="10661" max="10661" width="9.5546875" style="3" customWidth="1"/>
    <col min="10662" max="10662" width="11.5546875" style="3" customWidth="1"/>
    <col min="10663" max="10663" width="10.33203125" style="3" customWidth="1"/>
    <col min="10664" max="10664" width="9.5546875" style="3" customWidth="1"/>
    <col min="10665" max="10665" width="11.6640625" style="3" customWidth="1"/>
    <col min="10666" max="10666" width="10.88671875" style="3" customWidth="1"/>
    <col min="10667" max="10667" width="15.33203125" style="3" customWidth="1"/>
    <col min="10668" max="10668" width="10" style="3" customWidth="1"/>
    <col min="10669" max="10905" width="9.109375" style="3"/>
    <col min="10906" max="10906" width="27.109375" style="3" bestFit="1" customWidth="1"/>
    <col min="10907" max="10907" width="12" style="3" customWidth="1"/>
    <col min="10908" max="10908" width="11" style="3" customWidth="1"/>
    <col min="10909" max="10909" width="8" style="3" customWidth="1"/>
    <col min="10910" max="10910" width="8.5546875" style="3" customWidth="1"/>
    <col min="10911" max="10911" width="10.33203125" style="3" customWidth="1"/>
    <col min="10912" max="10912" width="9.33203125" style="3" customWidth="1"/>
    <col min="10913" max="10913" width="9" style="3" customWidth="1"/>
    <col min="10914" max="10914" width="9.6640625" style="3" customWidth="1"/>
    <col min="10915" max="10915" width="10.5546875" style="3" customWidth="1"/>
    <col min="10916" max="10916" width="9.44140625" style="3" customWidth="1"/>
    <col min="10917" max="10917" width="9.5546875" style="3" customWidth="1"/>
    <col min="10918" max="10918" width="11.5546875" style="3" customWidth="1"/>
    <col min="10919" max="10919" width="10.33203125" style="3" customWidth="1"/>
    <col min="10920" max="10920" width="9.5546875" style="3" customWidth="1"/>
    <col min="10921" max="10921" width="11.6640625" style="3" customWidth="1"/>
    <col min="10922" max="10922" width="10.88671875" style="3" customWidth="1"/>
    <col min="10923" max="10923" width="15.33203125" style="3" customWidth="1"/>
    <col min="10924" max="10924" width="10" style="3" customWidth="1"/>
    <col min="10925" max="11161" width="9.109375" style="3"/>
    <col min="11162" max="11162" width="27.109375" style="3" bestFit="1" customWidth="1"/>
    <col min="11163" max="11163" width="12" style="3" customWidth="1"/>
    <col min="11164" max="11164" width="11" style="3" customWidth="1"/>
    <col min="11165" max="11165" width="8" style="3" customWidth="1"/>
    <col min="11166" max="11166" width="8.5546875" style="3" customWidth="1"/>
    <col min="11167" max="11167" width="10.33203125" style="3" customWidth="1"/>
    <col min="11168" max="11168" width="9.33203125" style="3" customWidth="1"/>
    <col min="11169" max="11169" width="9" style="3" customWidth="1"/>
    <col min="11170" max="11170" width="9.6640625" style="3" customWidth="1"/>
    <col min="11171" max="11171" width="10.5546875" style="3" customWidth="1"/>
    <col min="11172" max="11172" width="9.44140625" style="3" customWidth="1"/>
    <col min="11173" max="11173" width="9.5546875" style="3" customWidth="1"/>
    <col min="11174" max="11174" width="11.5546875" style="3" customWidth="1"/>
    <col min="11175" max="11175" width="10.33203125" style="3" customWidth="1"/>
    <col min="11176" max="11176" width="9.5546875" style="3" customWidth="1"/>
    <col min="11177" max="11177" width="11.6640625" style="3" customWidth="1"/>
    <col min="11178" max="11178" width="10.88671875" style="3" customWidth="1"/>
    <col min="11179" max="11179" width="15.33203125" style="3" customWidth="1"/>
    <col min="11180" max="11180" width="10" style="3" customWidth="1"/>
    <col min="11181" max="11417" width="9.109375" style="3"/>
    <col min="11418" max="11418" width="27.109375" style="3" bestFit="1" customWidth="1"/>
    <col min="11419" max="11419" width="12" style="3" customWidth="1"/>
    <col min="11420" max="11420" width="11" style="3" customWidth="1"/>
    <col min="11421" max="11421" width="8" style="3" customWidth="1"/>
    <col min="11422" max="11422" width="8.5546875" style="3" customWidth="1"/>
    <col min="11423" max="11423" width="10.33203125" style="3" customWidth="1"/>
    <col min="11424" max="11424" width="9.33203125" style="3" customWidth="1"/>
    <col min="11425" max="11425" width="9" style="3" customWidth="1"/>
    <col min="11426" max="11426" width="9.6640625" style="3" customWidth="1"/>
    <col min="11427" max="11427" width="10.5546875" style="3" customWidth="1"/>
    <col min="11428" max="11428" width="9.44140625" style="3" customWidth="1"/>
    <col min="11429" max="11429" width="9.5546875" style="3" customWidth="1"/>
    <col min="11430" max="11430" width="11.5546875" style="3" customWidth="1"/>
    <col min="11431" max="11431" width="10.33203125" style="3" customWidth="1"/>
    <col min="11432" max="11432" width="9.5546875" style="3" customWidth="1"/>
    <col min="11433" max="11433" width="11.6640625" style="3" customWidth="1"/>
    <col min="11434" max="11434" width="10.88671875" style="3" customWidth="1"/>
    <col min="11435" max="11435" width="15.33203125" style="3" customWidth="1"/>
    <col min="11436" max="11436" width="10" style="3" customWidth="1"/>
    <col min="11437" max="11673" width="9.109375" style="3"/>
    <col min="11674" max="11674" width="27.109375" style="3" bestFit="1" customWidth="1"/>
    <col min="11675" max="11675" width="12" style="3" customWidth="1"/>
    <col min="11676" max="11676" width="11" style="3" customWidth="1"/>
    <col min="11677" max="11677" width="8" style="3" customWidth="1"/>
    <col min="11678" max="11678" width="8.5546875" style="3" customWidth="1"/>
    <col min="11679" max="11679" width="10.33203125" style="3" customWidth="1"/>
    <col min="11680" max="11680" width="9.33203125" style="3" customWidth="1"/>
    <col min="11681" max="11681" width="9" style="3" customWidth="1"/>
    <col min="11682" max="11682" width="9.6640625" style="3" customWidth="1"/>
    <col min="11683" max="11683" width="10.5546875" style="3" customWidth="1"/>
    <col min="11684" max="11684" width="9.44140625" style="3" customWidth="1"/>
    <col min="11685" max="11685" width="9.5546875" style="3" customWidth="1"/>
    <col min="11686" max="11686" width="11.5546875" style="3" customWidth="1"/>
    <col min="11687" max="11687" width="10.33203125" style="3" customWidth="1"/>
    <col min="11688" max="11688" width="9.5546875" style="3" customWidth="1"/>
    <col min="11689" max="11689" width="11.6640625" style="3" customWidth="1"/>
    <col min="11690" max="11690" width="10.88671875" style="3" customWidth="1"/>
    <col min="11691" max="11691" width="15.33203125" style="3" customWidth="1"/>
    <col min="11692" max="11692" width="10" style="3" customWidth="1"/>
    <col min="11693" max="11929" width="9.109375" style="3"/>
    <col min="11930" max="11930" width="27.109375" style="3" bestFit="1" customWidth="1"/>
    <col min="11931" max="11931" width="12" style="3" customWidth="1"/>
    <col min="11932" max="11932" width="11" style="3" customWidth="1"/>
    <col min="11933" max="11933" width="8" style="3" customWidth="1"/>
    <col min="11934" max="11934" width="8.5546875" style="3" customWidth="1"/>
    <col min="11935" max="11935" width="10.33203125" style="3" customWidth="1"/>
    <col min="11936" max="11936" width="9.33203125" style="3" customWidth="1"/>
    <col min="11937" max="11937" width="9" style="3" customWidth="1"/>
    <col min="11938" max="11938" width="9.6640625" style="3" customWidth="1"/>
    <col min="11939" max="11939" width="10.5546875" style="3" customWidth="1"/>
    <col min="11940" max="11940" width="9.44140625" style="3" customWidth="1"/>
    <col min="11941" max="11941" width="9.5546875" style="3" customWidth="1"/>
    <col min="11942" max="11942" width="11.5546875" style="3" customWidth="1"/>
    <col min="11943" max="11943" width="10.33203125" style="3" customWidth="1"/>
    <col min="11944" max="11944" width="9.5546875" style="3" customWidth="1"/>
    <col min="11945" max="11945" width="11.6640625" style="3" customWidth="1"/>
    <col min="11946" max="11946" width="10.88671875" style="3" customWidth="1"/>
    <col min="11947" max="11947" width="15.33203125" style="3" customWidth="1"/>
    <col min="11948" max="11948" width="10" style="3" customWidth="1"/>
    <col min="11949" max="12185" width="9.109375" style="3"/>
    <col min="12186" max="12186" width="27.109375" style="3" bestFit="1" customWidth="1"/>
    <col min="12187" max="12187" width="12" style="3" customWidth="1"/>
    <col min="12188" max="12188" width="11" style="3" customWidth="1"/>
    <col min="12189" max="12189" width="8" style="3" customWidth="1"/>
    <col min="12190" max="12190" width="8.5546875" style="3" customWidth="1"/>
    <col min="12191" max="12191" width="10.33203125" style="3" customWidth="1"/>
    <col min="12192" max="12192" width="9.33203125" style="3" customWidth="1"/>
    <col min="12193" max="12193" width="9" style="3" customWidth="1"/>
    <col min="12194" max="12194" width="9.6640625" style="3" customWidth="1"/>
    <col min="12195" max="12195" width="10.5546875" style="3" customWidth="1"/>
    <col min="12196" max="12196" width="9.44140625" style="3" customWidth="1"/>
    <col min="12197" max="12197" width="9.5546875" style="3" customWidth="1"/>
    <col min="12198" max="12198" width="11.5546875" style="3" customWidth="1"/>
    <col min="12199" max="12199" width="10.33203125" style="3" customWidth="1"/>
    <col min="12200" max="12200" width="9.5546875" style="3" customWidth="1"/>
    <col min="12201" max="12201" width="11.6640625" style="3" customWidth="1"/>
    <col min="12202" max="12202" width="10.88671875" style="3" customWidth="1"/>
    <col min="12203" max="12203" width="15.33203125" style="3" customWidth="1"/>
    <col min="12204" max="12204" width="10" style="3" customWidth="1"/>
    <col min="12205" max="12441" width="9.109375" style="3"/>
    <col min="12442" max="12442" width="27.109375" style="3" bestFit="1" customWidth="1"/>
    <col min="12443" max="12443" width="12" style="3" customWidth="1"/>
    <col min="12444" max="12444" width="11" style="3" customWidth="1"/>
    <col min="12445" max="12445" width="8" style="3" customWidth="1"/>
    <col min="12446" max="12446" width="8.5546875" style="3" customWidth="1"/>
    <col min="12447" max="12447" width="10.33203125" style="3" customWidth="1"/>
    <col min="12448" max="12448" width="9.33203125" style="3" customWidth="1"/>
    <col min="12449" max="12449" width="9" style="3" customWidth="1"/>
    <col min="12450" max="12450" width="9.6640625" style="3" customWidth="1"/>
    <col min="12451" max="12451" width="10.5546875" style="3" customWidth="1"/>
    <col min="12452" max="12452" width="9.44140625" style="3" customWidth="1"/>
    <col min="12453" max="12453" width="9.5546875" style="3" customWidth="1"/>
    <col min="12454" max="12454" width="11.5546875" style="3" customWidth="1"/>
    <col min="12455" max="12455" width="10.33203125" style="3" customWidth="1"/>
    <col min="12456" max="12456" width="9.5546875" style="3" customWidth="1"/>
    <col min="12457" max="12457" width="11.6640625" style="3" customWidth="1"/>
    <col min="12458" max="12458" width="10.88671875" style="3" customWidth="1"/>
    <col min="12459" max="12459" width="15.33203125" style="3" customWidth="1"/>
    <col min="12460" max="12460" width="10" style="3" customWidth="1"/>
    <col min="12461" max="12697" width="9.109375" style="3"/>
    <col min="12698" max="12698" width="27.109375" style="3" bestFit="1" customWidth="1"/>
    <col min="12699" max="12699" width="12" style="3" customWidth="1"/>
    <col min="12700" max="12700" width="11" style="3" customWidth="1"/>
    <col min="12701" max="12701" width="8" style="3" customWidth="1"/>
    <col min="12702" max="12702" width="8.5546875" style="3" customWidth="1"/>
    <col min="12703" max="12703" width="10.33203125" style="3" customWidth="1"/>
    <col min="12704" max="12704" width="9.33203125" style="3" customWidth="1"/>
    <col min="12705" max="12705" width="9" style="3" customWidth="1"/>
    <col min="12706" max="12706" width="9.6640625" style="3" customWidth="1"/>
    <col min="12707" max="12707" width="10.5546875" style="3" customWidth="1"/>
    <col min="12708" max="12708" width="9.44140625" style="3" customWidth="1"/>
    <col min="12709" max="12709" width="9.5546875" style="3" customWidth="1"/>
    <col min="12710" max="12710" width="11.5546875" style="3" customWidth="1"/>
    <col min="12711" max="12711" width="10.33203125" style="3" customWidth="1"/>
    <col min="12712" max="12712" width="9.5546875" style="3" customWidth="1"/>
    <col min="12713" max="12713" width="11.6640625" style="3" customWidth="1"/>
    <col min="12714" max="12714" width="10.88671875" style="3" customWidth="1"/>
    <col min="12715" max="12715" width="15.33203125" style="3" customWidth="1"/>
    <col min="12716" max="12716" width="10" style="3" customWidth="1"/>
    <col min="12717" max="12953" width="9.109375" style="3"/>
    <col min="12954" max="12954" width="27.109375" style="3" bestFit="1" customWidth="1"/>
    <col min="12955" max="12955" width="12" style="3" customWidth="1"/>
    <col min="12956" max="12956" width="11" style="3" customWidth="1"/>
    <col min="12957" max="12957" width="8" style="3" customWidth="1"/>
    <col min="12958" max="12958" width="8.5546875" style="3" customWidth="1"/>
    <col min="12959" max="12959" width="10.33203125" style="3" customWidth="1"/>
    <col min="12960" max="12960" width="9.33203125" style="3" customWidth="1"/>
    <col min="12961" max="12961" width="9" style="3" customWidth="1"/>
    <col min="12962" max="12962" width="9.6640625" style="3" customWidth="1"/>
    <col min="12963" max="12963" width="10.5546875" style="3" customWidth="1"/>
    <col min="12964" max="12964" width="9.44140625" style="3" customWidth="1"/>
    <col min="12965" max="12965" width="9.5546875" style="3" customWidth="1"/>
    <col min="12966" max="12966" width="11.5546875" style="3" customWidth="1"/>
    <col min="12967" max="12967" width="10.33203125" style="3" customWidth="1"/>
    <col min="12968" max="12968" width="9.5546875" style="3" customWidth="1"/>
    <col min="12969" max="12969" width="11.6640625" style="3" customWidth="1"/>
    <col min="12970" max="12970" width="10.88671875" style="3" customWidth="1"/>
    <col min="12971" max="12971" width="15.33203125" style="3" customWidth="1"/>
    <col min="12972" max="12972" width="10" style="3" customWidth="1"/>
    <col min="12973" max="13209" width="9.109375" style="3"/>
    <col min="13210" max="13210" width="27.109375" style="3" bestFit="1" customWidth="1"/>
    <col min="13211" max="13211" width="12" style="3" customWidth="1"/>
    <col min="13212" max="13212" width="11" style="3" customWidth="1"/>
    <col min="13213" max="13213" width="8" style="3" customWidth="1"/>
    <col min="13214" max="13214" width="8.5546875" style="3" customWidth="1"/>
    <col min="13215" max="13215" width="10.33203125" style="3" customWidth="1"/>
    <col min="13216" max="13216" width="9.33203125" style="3" customWidth="1"/>
    <col min="13217" max="13217" width="9" style="3" customWidth="1"/>
    <col min="13218" max="13218" width="9.6640625" style="3" customWidth="1"/>
    <col min="13219" max="13219" width="10.5546875" style="3" customWidth="1"/>
    <col min="13220" max="13220" width="9.44140625" style="3" customWidth="1"/>
    <col min="13221" max="13221" width="9.5546875" style="3" customWidth="1"/>
    <col min="13222" max="13222" width="11.5546875" style="3" customWidth="1"/>
    <col min="13223" max="13223" width="10.33203125" style="3" customWidth="1"/>
    <col min="13224" max="13224" width="9.5546875" style="3" customWidth="1"/>
    <col min="13225" max="13225" width="11.6640625" style="3" customWidth="1"/>
    <col min="13226" max="13226" width="10.88671875" style="3" customWidth="1"/>
    <col min="13227" max="13227" width="15.33203125" style="3" customWidth="1"/>
    <col min="13228" max="13228" width="10" style="3" customWidth="1"/>
    <col min="13229" max="13465" width="9.109375" style="3"/>
    <col min="13466" max="13466" width="27.109375" style="3" bestFit="1" customWidth="1"/>
    <col min="13467" max="13467" width="12" style="3" customWidth="1"/>
    <col min="13468" max="13468" width="11" style="3" customWidth="1"/>
    <col min="13469" max="13469" width="8" style="3" customWidth="1"/>
    <col min="13470" max="13470" width="8.5546875" style="3" customWidth="1"/>
    <col min="13471" max="13471" width="10.33203125" style="3" customWidth="1"/>
    <col min="13472" max="13472" width="9.33203125" style="3" customWidth="1"/>
    <col min="13473" max="13473" width="9" style="3" customWidth="1"/>
    <col min="13474" max="13474" width="9.6640625" style="3" customWidth="1"/>
    <col min="13475" max="13475" width="10.5546875" style="3" customWidth="1"/>
    <col min="13476" max="13476" width="9.44140625" style="3" customWidth="1"/>
    <col min="13477" max="13477" width="9.5546875" style="3" customWidth="1"/>
    <col min="13478" max="13478" width="11.5546875" style="3" customWidth="1"/>
    <col min="13479" max="13479" width="10.33203125" style="3" customWidth="1"/>
    <col min="13480" max="13480" width="9.5546875" style="3" customWidth="1"/>
    <col min="13481" max="13481" width="11.6640625" style="3" customWidth="1"/>
    <col min="13482" max="13482" width="10.88671875" style="3" customWidth="1"/>
    <col min="13483" max="13483" width="15.33203125" style="3" customWidth="1"/>
    <col min="13484" max="13484" width="10" style="3" customWidth="1"/>
    <col min="13485" max="13721" width="9.109375" style="3"/>
    <col min="13722" max="13722" width="27.109375" style="3" bestFit="1" customWidth="1"/>
    <col min="13723" max="13723" width="12" style="3" customWidth="1"/>
    <col min="13724" max="13724" width="11" style="3" customWidth="1"/>
    <col min="13725" max="13725" width="8" style="3" customWidth="1"/>
    <col min="13726" max="13726" width="8.5546875" style="3" customWidth="1"/>
    <col min="13727" max="13727" width="10.33203125" style="3" customWidth="1"/>
    <col min="13728" max="13728" width="9.33203125" style="3" customWidth="1"/>
    <col min="13729" max="13729" width="9" style="3" customWidth="1"/>
    <col min="13730" max="13730" width="9.6640625" style="3" customWidth="1"/>
    <col min="13731" max="13731" width="10.5546875" style="3" customWidth="1"/>
    <col min="13732" max="13732" width="9.44140625" style="3" customWidth="1"/>
    <col min="13733" max="13733" width="9.5546875" style="3" customWidth="1"/>
    <col min="13734" max="13734" width="11.5546875" style="3" customWidth="1"/>
    <col min="13735" max="13735" width="10.33203125" style="3" customWidth="1"/>
    <col min="13736" max="13736" width="9.5546875" style="3" customWidth="1"/>
    <col min="13737" max="13737" width="11.6640625" style="3" customWidth="1"/>
    <col min="13738" max="13738" width="10.88671875" style="3" customWidth="1"/>
    <col min="13739" max="13739" width="15.33203125" style="3" customWidth="1"/>
    <col min="13740" max="13740" width="10" style="3" customWidth="1"/>
    <col min="13741" max="13977" width="9.109375" style="3"/>
    <col min="13978" max="13978" width="27.109375" style="3" bestFit="1" customWidth="1"/>
    <col min="13979" max="13979" width="12" style="3" customWidth="1"/>
    <col min="13980" max="13980" width="11" style="3" customWidth="1"/>
    <col min="13981" max="13981" width="8" style="3" customWidth="1"/>
    <col min="13982" max="13982" width="8.5546875" style="3" customWidth="1"/>
    <col min="13983" max="13983" width="10.33203125" style="3" customWidth="1"/>
    <col min="13984" max="13984" width="9.33203125" style="3" customWidth="1"/>
    <col min="13985" max="13985" width="9" style="3" customWidth="1"/>
    <col min="13986" max="13986" width="9.6640625" style="3" customWidth="1"/>
    <col min="13987" max="13987" width="10.5546875" style="3" customWidth="1"/>
    <col min="13988" max="13988" width="9.44140625" style="3" customWidth="1"/>
    <col min="13989" max="13989" width="9.5546875" style="3" customWidth="1"/>
    <col min="13990" max="13990" width="11.5546875" style="3" customWidth="1"/>
    <col min="13991" max="13991" width="10.33203125" style="3" customWidth="1"/>
    <col min="13992" max="13992" width="9.5546875" style="3" customWidth="1"/>
    <col min="13993" max="13993" width="11.6640625" style="3" customWidth="1"/>
    <col min="13994" max="13994" width="10.88671875" style="3" customWidth="1"/>
    <col min="13995" max="13995" width="15.33203125" style="3" customWidth="1"/>
    <col min="13996" max="13996" width="10" style="3" customWidth="1"/>
    <col min="13997" max="14233" width="9.109375" style="3"/>
    <col min="14234" max="14234" width="27.109375" style="3" bestFit="1" customWidth="1"/>
    <col min="14235" max="14235" width="12" style="3" customWidth="1"/>
    <col min="14236" max="14236" width="11" style="3" customWidth="1"/>
    <col min="14237" max="14237" width="8" style="3" customWidth="1"/>
    <col min="14238" max="14238" width="8.5546875" style="3" customWidth="1"/>
    <col min="14239" max="14239" width="10.33203125" style="3" customWidth="1"/>
    <col min="14240" max="14240" width="9.33203125" style="3" customWidth="1"/>
    <col min="14241" max="14241" width="9" style="3" customWidth="1"/>
    <col min="14242" max="14242" width="9.6640625" style="3" customWidth="1"/>
    <col min="14243" max="14243" width="10.5546875" style="3" customWidth="1"/>
    <col min="14244" max="14244" width="9.44140625" style="3" customWidth="1"/>
    <col min="14245" max="14245" width="9.5546875" style="3" customWidth="1"/>
    <col min="14246" max="14246" width="11.5546875" style="3" customWidth="1"/>
    <col min="14247" max="14247" width="10.33203125" style="3" customWidth="1"/>
    <col min="14248" max="14248" width="9.5546875" style="3" customWidth="1"/>
    <col min="14249" max="14249" width="11.6640625" style="3" customWidth="1"/>
    <col min="14250" max="14250" width="10.88671875" style="3" customWidth="1"/>
    <col min="14251" max="14251" width="15.33203125" style="3" customWidth="1"/>
    <col min="14252" max="14252" width="10" style="3" customWidth="1"/>
    <col min="14253" max="14489" width="9.109375" style="3"/>
    <col min="14490" max="14490" width="27.109375" style="3" bestFit="1" customWidth="1"/>
    <col min="14491" max="14491" width="12" style="3" customWidth="1"/>
    <col min="14492" max="14492" width="11" style="3" customWidth="1"/>
    <col min="14493" max="14493" width="8" style="3" customWidth="1"/>
    <col min="14494" max="14494" width="8.5546875" style="3" customWidth="1"/>
    <col min="14495" max="14495" width="10.33203125" style="3" customWidth="1"/>
    <col min="14496" max="14496" width="9.33203125" style="3" customWidth="1"/>
    <col min="14497" max="14497" width="9" style="3" customWidth="1"/>
    <col min="14498" max="14498" width="9.6640625" style="3" customWidth="1"/>
    <col min="14499" max="14499" width="10.5546875" style="3" customWidth="1"/>
    <col min="14500" max="14500" width="9.44140625" style="3" customWidth="1"/>
    <col min="14501" max="14501" width="9.5546875" style="3" customWidth="1"/>
    <col min="14502" max="14502" width="11.5546875" style="3" customWidth="1"/>
    <col min="14503" max="14503" width="10.33203125" style="3" customWidth="1"/>
    <col min="14504" max="14504" width="9.5546875" style="3" customWidth="1"/>
    <col min="14505" max="14505" width="11.6640625" style="3" customWidth="1"/>
    <col min="14506" max="14506" width="10.88671875" style="3" customWidth="1"/>
    <col min="14507" max="14507" width="15.33203125" style="3" customWidth="1"/>
    <col min="14508" max="14508" width="10" style="3" customWidth="1"/>
    <col min="14509" max="14745" width="9.109375" style="3"/>
    <col min="14746" max="14746" width="27.109375" style="3" bestFit="1" customWidth="1"/>
    <col min="14747" max="14747" width="12" style="3" customWidth="1"/>
    <col min="14748" max="14748" width="11" style="3" customWidth="1"/>
    <col min="14749" max="14749" width="8" style="3" customWidth="1"/>
    <col min="14750" max="14750" width="8.5546875" style="3" customWidth="1"/>
    <col min="14751" max="14751" width="10.33203125" style="3" customWidth="1"/>
    <col min="14752" max="14752" width="9.33203125" style="3" customWidth="1"/>
    <col min="14753" max="14753" width="9" style="3" customWidth="1"/>
    <col min="14754" max="14754" width="9.6640625" style="3" customWidth="1"/>
    <col min="14755" max="14755" width="10.5546875" style="3" customWidth="1"/>
    <col min="14756" max="14756" width="9.44140625" style="3" customWidth="1"/>
    <col min="14757" max="14757" width="9.5546875" style="3" customWidth="1"/>
    <col min="14758" max="14758" width="11.5546875" style="3" customWidth="1"/>
    <col min="14759" max="14759" width="10.33203125" style="3" customWidth="1"/>
    <col min="14760" max="14760" width="9.5546875" style="3" customWidth="1"/>
    <col min="14761" max="14761" width="11.6640625" style="3" customWidth="1"/>
    <col min="14762" max="14762" width="10.88671875" style="3" customWidth="1"/>
    <col min="14763" max="14763" width="15.33203125" style="3" customWidth="1"/>
    <col min="14764" max="14764" width="10" style="3" customWidth="1"/>
    <col min="14765" max="15001" width="9.109375" style="3"/>
    <col min="15002" max="15002" width="27.109375" style="3" bestFit="1" customWidth="1"/>
    <col min="15003" max="15003" width="12" style="3" customWidth="1"/>
    <col min="15004" max="15004" width="11" style="3" customWidth="1"/>
    <col min="15005" max="15005" width="8" style="3" customWidth="1"/>
    <col min="15006" max="15006" width="8.5546875" style="3" customWidth="1"/>
    <col min="15007" max="15007" width="10.33203125" style="3" customWidth="1"/>
    <col min="15008" max="15008" width="9.33203125" style="3" customWidth="1"/>
    <col min="15009" max="15009" width="9" style="3" customWidth="1"/>
    <col min="15010" max="15010" width="9.6640625" style="3" customWidth="1"/>
    <col min="15011" max="15011" width="10.5546875" style="3" customWidth="1"/>
    <col min="15012" max="15012" width="9.44140625" style="3" customWidth="1"/>
    <col min="15013" max="15013" width="9.5546875" style="3" customWidth="1"/>
    <col min="15014" max="15014" width="11.5546875" style="3" customWidth="1"/>
    <col min="15015" max="15015" width="10.33203125" style="3" customWidth="1"/>
    <col min="15016" max="15016" width="9.5546875" style="3" customWidth="1"/>
    <col min="15017" max="15017" width="11.6640625" style="3" customWidth="1"/>
    <col min="15018" max="15018" width="10.88671875" style="3" customWidth="1"/>
    <col min="15019" max="15019" width="15.33203125" style="3" customWidth="1"/>
    <col min="15020" max="15020" width="10" style="3" customWidth="1"/>
    <col min="15021" max="15257" width="9.109375" style="3"/>
    <col min="15258" max="15258" width="27.109375" style="3" bestFit="1" customWidth="1"/>
    <col min="15259" max="15259" width="12" style="3" customWidth="1"/>
    <col min="15260" max="15260" width="11" style="3" customWidth="1"/>
    <col min="15261" max="15261" width="8" style="3" customWidth="1"/>
    <col min="15262" max="15262" width="8.5546875" style="3" customWidth="1"/>
    <col min="15263" max="15263" width="10.33203125" style="3" customWidth="1"/>
    <col min="15264" max="15264" width="9.33203125" style="3" customWidth="1"/>
    <col min="15265" max="15265" width="9" style="3" customWidth="1"/>
    <col min="15266" max="15266" width="9.6640625" style="3" customWidth="1"/>
    <col min="15267" max="15267" width="10.5546875" style="3" customWidth="1"/>
    <col min="15268" max="15268" width="9.44140625" style="3" customWidth="1"/>
    <col min="15269" max="15269" width="9.5546875" style="3" customWidth="1"/>
    <col min="15270" max="15270" width="11.5546875" style="3" customWidth="1"/>
    <col min="15271" max="15271" width="10.33203125" style="3" customWidth="1"/>
    <col min="15272" max="15272" width="9.5546875" style="3" customWidth="1"/>
    <col min="15273" max="15273" width="11.6640625" style="3" customWidth="1"/>
    <col min="15274" max="15274" width="10.88671875" style="3" customWidth="1"/>
    <col min="15275" max="15275" width="15.33203125" style="3" customWidth="1"/>
    <col min="15276" max="15276" width="10" style="3" customWidth="1"/>
    <col min="15277" max="15513" width="9.109375" style="3"/>
    <col min="15514" max="15514" width="27.109375" style="3" bestFit="1" customWidth="1"/>
    <col min="15515" max="15515" width="12" style="3" customWidth="1"/>
    <col min="15516" max="15516" width="11" style="3" customWidth="1"/>
    <col min="15517" max="15517" width="8" style="3" customWidth="1"/>
    <col min="15518" max="15518" width="8.5546875" style="3" customWidth="1"/>
    <col min="15519" max="15519" width="10.33203125" style="3" customWidth="1"/>
    <col min="15520" max="15520" width="9.33203125" style="3" customWidth="1"/>
    <col min="15521" max="15521" width="9" style="3" customWidth="1"/>
    <col min="15522" max="15522" width="9.6640625" style="3" customWidth="1"/>
    <col min="15523" max="15523" width="10.5546875" style="3" customWidth="1"/>
    <col min="15524" max="15524" width="9.44140625" style="3" customWidth="1"/>
    <col min="15525" max="15525" width="9.5546875" style="3" customWidth="1"/>
    <col min="15526" max="15526" width="11.5546875" style="3" customWidth="1"/>
    <col min="15527" max="15527" width="10.33203125" style="3" customWidth="1"/>
    <col min="15528" max="15528" width="9.5546875" style="3" customWidth="1"/>
    <col min="15529" max="15529" width="11.6640625" style="3" customWidth="1"/>
    <col min="15530" max="15530" width="10.88671875" style="3" customWidth="1"/>
    <col min="15531" max="15531" width="15.33203125" style="3" customWidth="1"/>
    <col min="15532" max="15532" width="10" style="3" customWidth="1"/>
    <col min="15533" max="15769" width="9.109375" style="3"/>
    <col min="15770" max="15770" width="27.109375" style="3" bestFit="1" customWidth="1"/>
    <col min="15771" max="15771" width="12" style="3" customWidth="1"/>
    <col min="15772" max="15772" width="11" style="3" customWidth="1"/>
    <col min="15773" max="15773" width="8" style="3" customWidth="1"/>
    <col min="15774" max="15774" width="8.5546875" style="3" customWidth="1"/>
    <col min="15775" max="15775" width="10.33203125" style="3" customWidth="1"/>
    <col min="15776" max="15776" width="9.33203125" style="3" customWidth="1"/>
    <col min="15777" max="15777" width="9" style="3" customWidth="1"/>
    <col min="15778" max="15778" width="9.6640625" style="3" customWidth="1"/>
    <col min="15779" max="15779" width="10.5546875" style="3" customWidth="1"/>
    <col min="15780" max="15780" width="9.44140625" style="3" customWidth="1"/>
    <col min="15781" max="15781" width="9.5546875" style="3" customWidth="1"/>
    <col min="15782" max="15782" width="11.5546875" style="3" customWidth="1"/>
    <col min="15783" max="15783" width="10.33203125" style="3" customWidth="1"/>
    <col min="15784" max="15784" width="9.5546875" style="3" customWidth="1"/>
    <col min="15785" max="15785" width="11.6640625" style="3" customWidth="1"/>
    <col min="15786" max="15786" width="10.88671875" style="3" customWidth="1"/>
    <col min="15787" max="15787" width="15.33203125" style="3" customWidth="1"/>
    <col min="15788" max="15788" width="10" style="3" customWidth="1"/>
    <col min="15789" max="16025" width="9.109375" style="3"/>
    <col min="16026" max="16026" width="27.109375" style="3" bestFit="1" customWidth="1"/>
    <col min="16027" max="16027" width="12" style="3" customWidth="1"/>
    <col min="16028" max="16028" width="11" style="3" customWidth="1"/>
    <col min="16029" max="16029" width="8" style="3" customWidth="1"/>
    <col min="16030" max="16030" width="8.5546875" style="3" customWidth="1"/>
    <col min="16031" max="16031" width="10.33203125" style="3" customWidth="1"/>
    <col min="16032" max="16032" width="9.33203125" style="3" customWidth="1"/>
    <col min="16033" max="16033" width="9" style="3" customWidth="1"/>
    <col min="16034" max="16034" width="9.6640625" style="3" customWidth="1"/>
    <col min="16035" max="16035" width="10.5546875" style="3" customWidth="1"/>
    <col min="16036" max="16036" width="9.44140625" style="3" customWidth="1"/>
    <col min="16037" max="16037" width="9.5546875" style="3" customWidth="1"/>
    <col min="16038" max="16038" width="11.5546875" style="3" customWidth="1"/>
    <col min="16039" max="16039" width="10.33203125" style="3" customWidth="1"/>
    <col min="16040" max="16040" width="9.5546875" style="3" customWidth="1"/>
    <col min="16041" max="16041" width="11.6640625" style="3" customWidth="1"/>
    <col min="16042" max="16042" width="10.88671875" style="3" customWidth="1"/>
    <col min="16043" max="16043" width="15.33203125" style="3" customWidth="1"/>
    <col min="16044" max="16044" width="10" style="3" customWidth="1"/>
    <col min="16045" max="16384" width="9.109375" style="3"/>
  </cols>
  <sheetData>
    <row r="1" spans="1:17" x14ac:dyDescent="0.25">
      <c r="M1" s="102" t="s">
        <v>118</v>
      </c>
      <c r="N1" s="102"/>
    </row>
    <row r="2" spans="1:17" ht="21.75" customHeight="1" x14ac:dyDescent="0.25">
      <c r="A2" s="103" t="s">
        <v>119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7" ht="69.75" customHeight="1" x14ac:dyDescent="0.25">
      <c r="A3" s="104" t="s">
        <v>163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7" x14ac:dyDescent="0.25">
      <c r="B4" s="103" t="s">
        <v>120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7" ht="34.5" customHeight="1" x14ac:dyDescent="0.25">
      <c r="A5" s="100" t="s">
        <v>121</v>
      </c>
      <c r="B5" s="106" t="s">
        <v>122</v>
      </c>
      <c r="C5" s="107"/>
      <c r="D5" s="107"/>
      <c r="E5" s="106" t="s">
        <v>123</v>
      </c>
      <c r="F5" s="107"/>
      <c r="G5" s="107"/>
      <c r="H5" s="106" t="s">
        <v>124</v>
      </c>
      <c r="I5" s="107"/>
      <c r="J5" s="107"/>
      <c r="K5" s="108" t="s">
        <v>125</v>
      </c>
      <c r="L5" s="109"/>
      <c r="M5" s="109"/>
      <c r="N5" s="110" t="s">
        <v>126</v>
      </c>
      <c r="O5" s="99" t="s">
        <v>126</v>
      </c>
      <c r="P5" s="99"/>
      <c r="Q5" s="99"/>
    </row>
    <row r="6" spans="1:17" ht="61.5" customHeight="1" x14ac:dyDescent="0.25">
      <c r="A6" s="105"/>
      <c r="B6" s="100" t="s">
        <v>127</v>
      </c>
      <c r="C6" s="100" t="s">
        <v>29</v>
      </c>
      <c r="D6" s="100" t="s">
        <v>40</v>
      </c>
      <c r="E6" s="100" t="s">
        <v>127</v>
      </c>
      <c r="F6" s="100" t="s">
        <v>29</v>
      </c>
      <c r="G6" s="100" t="s">
        <v>40</v>
      </c>
      <c r="H6" s="100" t="s">
        <v>127</v>
      </c>
      <c r="I6" s="100" t="s">
        <v>29</v>
      </c>
      <c r="J6" s="100" t="s">
        <v>40</v>
      </c>
      <c r="K6" s="100" t="s">
        <v>127</v>
      </c>
      <c r="L6" s="100" t="s">
        <v>29</v>
      </c>
      <c r="M6" s="100" t="s">
        <v>40</v>
      </c>
      <c r="N6" s="111"/>
      <c r="O6" s="99"/>
      <c r="P6" s="99"/>
      <c r="Q6" s="99"/>
    </row>
    <row r="7" spans="1:17" ht="81.75" customHeight="1" x14ac:dyDescent="0.25">
      <c r="A7" s="105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12"/>
      <c r="O7" s="17" t="s">
        <v>128</v>
      </c>
      <c r="P7" s="17" t="s">
        <v>129</v>
      </c>
      <c r="Q7" s="17" t="s">
        <v>130</v>
      </c>
    </row>
    <row r="8" spans="1:17" s="5" customFormat="1" ht="18.75" customHeight="1" x14ac:dyDescent="0.3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18"/>
      <c r="P8" s="18"/>
      <c r="Q8" s="18"/>
    </row>
    <row r="9" spans="1:17" s="7" customFormat="1" ht="27.6" x14ac:dyDescent="0.25">
      <c r="A9" s="6" t="s">
        <v>131</v>
      </c>
      <c r="B9" s="50">
        <f>B10+B11</f>
        <v>3220.93</v>
      </c>
      <c r="C9" s="50">
        <f t="shared" ref="C9:M9" si="0">C10+C11</f>
        <v>12234.757</v>
      </c>
      <c r="D9" s="50">
        <f t="shared" si="0"/>
        <v>591.23699999999997</v>
      </c>
      <c r="E9" s="50">
        <f t="shared" si="0"/>
        <v>3193.165</v>
      </c>
      <c r="F9" s="50">
        <f t="shared" si="0"/>
        <v>12596.806</v>
      </c>
      <c r="G9" s="50">
        <f t="shared" si="0"/>
        <v>1033.501</v>
      </c>
      <c r="H9" s="50">
        <f t="shared" si="0"/>
        <v>3220.93</v>
      </c>
      <c r="I9" s="50">
        <f>I10+I11</f>
        <v>16355.066000000001</v>
      </c>
      <c r="J9" s="50">
        <f t="shared" si="0"/>
        <v>844.08699999999999</v>
      </c>
      <c r="K9" s="50">
        <f t="shared" si="0"/>
        <v>3159.9780000000001</v>
      </c>
      <c r="L9" s="50">
        <f>L10+L11</f>
        <v>13725</v>
      </c>
      <c r="M9" s="50">
        <f t="shared" si="0"/>
        <v>898.62</v>
      </c>
      <c r="N9" s="50">
        <f>SUM(B9:M9)</f>
        <v>71074.077000000005</v>
      </c>
      <c r="O9" s="50">
        <f t="shared" ref="O9:Q17" si="1">B9+E9+H9+K9</f>
        <v>12795.003000000001</v>
      </c>
      <c r="P9" s="50">
        <f>C9+F9+I9+L9</f>
        <v>54911.629000000001</v>
      </c>
      <c r="Q9" s="50">
        <f>D9+G9+J9+M9</f>
        <v>3367.4450000000002</v>
      </c>
    </row>
    <row r="10" spans="1:17" x14ac:dyDescent="0.25">
      <c r="A10" s="62" t="s">
        <v>132</v>
      </c>
      <c r="B10" s="51">
        <f>2592.272+50</f>
        <v>2642.2719999999999</v>
      </c>
      <c r="C10" s="51">
        <v>10028.489</v>
      </c>
      <c r="D10" s="51">
        <f>227.947+257.071</f>
        <v>485.01799999999997</v>
      </c>
      <c r="E10" s="51">
        <f>2592.272+27.215</f>
        <v>2619.4870000000001</v>
      </c>
      <c r="F10" s="51">
        <v>10325.251</v>
      </c>
      <c r="G10" s="51">
        <v>847.827</v>
      </c>
      <c r="H10" s="51">
        <f>2592.272+50</f>
        <v>2642.2719999999999</v>
      </c>
      <c r="I10" s="74">
        <f>11502.623+1900</f>
        <v>13402.623</v>
      </c>
      <c r="J10" s="51">
        <f>456.515+514.844-280</f>
        <v>691.35900000000004</v>
      </c>
      <c r="K10" s="51">
        <v>2592.2710000000002</v>
      </c>
      <c r="L10" s="74">
        <f>250+11000</f>
        <v>11250</v>
      </c>
      <c r="M10" s="51">
        <f>346.455+390.723</f>
        <v>737.178</v>
      </c>
      <c r="N10" s="51">
        <f>SUM(B10:M10)</f>
        <v>58264.046999999999</v>
      </c>
      <c r="O10" s="52">
        <f>B10+E10+H10+K10</f>
        <v>10496.302</v>
      </c>
      <c r="P10" s="52">
        <f t="shared" si="1"/>
        <v>45006.362999999998</v>
      </c>
      <c r="Q10" s="52">
        <f>D10+G10+J10+M10</f>
        <v>2761.3820000000001</v>
      </c>
    </row>
    <row r="11" spans="1:17" x14ac:dyDescent="0.25">
      <c r="A11" s="62" t="s">
        <v>147</v>
      </c>
      <c r="B11" s="51">
        <f>B10*21.9%</f>
        <v>578.65800000000002</v>
      </c>
      <c r="C11" s="51">
        <f>C10*22%</f>
        <v>2206.268</v>
      </c>
      <c r="D11" s="51">
        <f t="shared" ref="D11:M11" si="2">D10*21.9%</f>
        <v>106.21899999999999</v>
      </c>
      <c r="E11" s="51">
        <f>E10*21.9%+0.01</f>
        <v>573.678</v>
      </c>
      <c r="F11" s="51">
        <f>F10*21.9%+10.325</f>
        <v>2271.5549999999998</v>
      </c>
      <c r="G11" s="51">
        <f>G10*21.9%</f>
        <v>185.67400000000001</v>
      </c>
      <c r="H11" s="51">
        <f t="shared" si="2"/>
        <v>578.65800000000002</v>
      </c>
      <c r="I11" s="74">
        <f>I10*22%+3.866</f>
        <v>2952.4430000000002</v>
      </c>
      <c r="J11" s="51">
        <f>J10*21.9%+1.32</f>
        <v>152.72800000000001</v>
      </c>
      <c r="K11" s="51">
        <f t="shared" si="2"/>
        <v>567.70699999999999</v>
      </c>
      <c r="L11" s="74">
        <f>L10*22%</f>
        <v>2475</v>
      </c>
      <c r="M11" s="51">
        <f t="shared" si="2"/>
        <v>161.44200000000001</v>
      </c>
      <c r="N11" s="51">
        <f>SUM(B11:M11)</f>
        <v>12810.03</v>
      </c>
      <c r="O11" s="51">
        <f>B11+E11+H11+K11</f>
        <v>2298.701</v>
      </c>
      <c r="P11" s="51">
        <f t="shared" si="1"/>
        <v>9905.2659999999996</v>
      </c>
      <c r="Q11" s="51">
        <f>D11+G11+J11+M11</f>
        <v>606.06299999999999</v>
      </c>
    </row>
    <row r="12" spans="1:17" s="7" customFormat="1" x14ac:dyDescent="0.25">
      <c r="A12" s="6" t="s">
        <v>61</v>
      </c>
      <c r="B12" s="50">
        <f>B13+B14+B15+B16+B17</f>
        <v>2903.0770000000002</v>
      </c>
      <c r="C12" s="50">
        <f>C13+C14+C15+C16+C17</f>
        <v>2675.866</v>
      </c>
      <c r="D12" s="50">
        <f>D13+D14+D15+D16+D17</f>
        <v>1234.087</v>
      </c>
      <c r="E12" s="50">
        <f>E13+E14+E15+E16+E17</f>
        <v>3528.5729999999999</v>
      </c>
      <c r="F12" s="50">
        <f t="shared" ref="F12:L12" si="3">F13+F14+F15+F16+F17</f>
        <v>3029.6619999999998</v>
      </c>
      <c r="G12" s="50">
        <f t="shared" si="3"/>
        <v>1007.333</v>
      </c>
      <c r="H12" s="50">
        <f t="shared" si="3"/>
        <v>2977.1550000000002</v>
      </c>
      <c r="I12" s="50">
        <f t="shared" si="3"/>
        <v>3502.924</v>
      </c>
      <c r="J12" s="50">
        <f t="shared" si="3"/>
        <v>1287.405</v>
      </c>
      <c r="K12" s="50">
        <f t="shared" si="3"/>
        <v>2516.444</v>
      </c>
      <c r="L12" s="50">
        <f t="shared" si="3"/>
        <v>2403.7620000000002</v>
      </c>
      <c r="M12" s="50">
        <f>M13+M14+M15+M16+M17</f>
        <v>728.46799999999996</v>
      </c>
      <c r="N12" s="50">
        <f t="shared" ref="N12:N23" si="4">SUM(B12:M12)</f>
        <v>27794.756000000001</v>
      </c>
      <c r="O12" s="53">
        <f>B12+E12+H12+K12</f>
        <v>11925.249</v>
      </c>
      <c r="P12" s="53">
        <f t="shared" si="1"/>
        <v>11612.214</v>
      </c>
      <c r="Q12" s="53">
        <f t="shared" si="1"/>
        <v>4257.2929999999997</v>
      </c>
    </row>
    <row r="13" spans="1:17" ht="36.75" customHeight="1" x14ac:dyDescent="0.25">
      <c r="A13" s="62" t="s">
        <v>146</v>
      </c>
      <c r="B13" s="51">
        <v>300.00099999999998</v>
      </c>
      <c r="C13" s="51">
        <v>475.25799999999998</v>
      </c>
      <c r="D13" s="51">
        <v>105</v>
      </c>
      <c r="E13" s="51">
        <f>250+43.741</f>
        <v>293.74099999999999</v>
      </c>
      <c r="F13" s="51">
        <v>515.62599999999998</v>
      </c>
      <c r="G13" s="51">
        <v>53.65</v>
      </c>
      <c r="H13" s="51">
        <f>400.418-150</f>
        <v>250.41800000000001</v>
      </c>
      <c r="I13" s="74">
        <f>522.303+500+500+116.32</f>
        <v>1638.623</v>
      </c>
      <c r="J13" s="74">
        <v>80</v>
      </c>
      <c r="K13" s="51">
        <v>200</v>
      </c>
      <c r="L13" s="51">
        <v>465.77</v>
      </c>
      <c r="M13" s="51">
        <v>83.971999999999994</v>
      </c>
      <c r="N13" s="51">
        <f>SUM(B13:M13)</f>
        <v>4462.0590000000002</v>
      </c>
      <c r="O13" s="51">
        <f>B13+E13+H13+K13</f>
        <v>1044.1600000000001</v>
      </c>
      <c r="P13" s="51">
        <f>C13+F13+I13+L13</f>
        <v>3095.277</v>
      </c>
      <c r="Q13" s="51">
        <f t="shared" si="1"/>
        <v>322.62200000000001</v>
      </c>
    </row>
    <row r="14" spans="1:17" ht="27.6" x14ac:dyDescent="0.25">
      <c r="A14" s="62" t="s">
        <v>145</v>
      </c>
      <c r="B14" s="51">
        <v>150</v>
      </c>
      <c r="C14" s="51">
        <f>2151.559-500-250</f>
        <v>1401.559</v>
      </c>
      <c r="D14" s="51">
        <f>11.517+1100.94-257.071-56.299</f>
        <v>799.08699999999999</v>
      </c>
      <c r="E14" s="51">
        <v>634.83199999999999</v>
      </c>
      <c r="F14" s="51">
        <v>1813.133</v>
      </c>
      <c r="G14" s="51">
        <v>512.21900000000005</v>
      </c>
      <c r="H14" s="51">
        <f>225-75</f>
        <v>150</v>
      </c>
      <c r="I14" s="74">
        <f>2484.136-1000-500-220</f>
        <v>764.13599999999997</v>
      </c>
      <c r="J14" s="74">
        <f>1060-514.844-112.751-400-110</f>
        <v>-77.594999999999999</v>
      </c>
      <c r="K14" s="51">
        <v>116.45399999999999</v>
      </c>
      <c r="L14" s="51">
        <f>2437.992-1000</f>
        <v>1437.992</v>
      </c>
      <c r="M14" s="51">
        <f>1360-390.723-85.568-700</f>
        <v>183.709</v>
      </c>
      <c r="N14" s="51">
        <f t="shared" ref="N14:N17" si="5">SUM(B14:M14)</f>
        <v>7885.5259999999998</v>
      </c>
      <c r="O14" s="51">
        <f>B14+E14+H14+K14</f>
        <v>1051.2860000000001</v>
      </c>
      <c r="P14" s="51">
        <f t="shared" ref="P14:P16" si="6">C14+F14+I14+L14</f>
        <v>5416.82</v>
      </c>
      <c r="Q14" s="51">
        <f t="shared" si="1"/>
        <v>1417.42</v>
      </c>
    </row>
    <row r="15" spans="1:17" ht="20.25" customHeight="1" x14ac:dyDescent="0.25">
      <c r="A15" s="62" t="s">
        <v>133</v>
      </c>
      <c r="B15" s="51">
        <v>753.07600000000002</v>
      </c>
      <c r="C15" s="51"/>
      <c r="D15" s="51">
        <v>130</v>
      </c>
      <c r="E15" s="51">
        <v>800</v>
      </c>
      <c r="F15" s="51"/>
      <c r="G15" s="51">
        <v>120.464</v>
      </c>
      <c r="H15" s="51">
        <f>1362.515-454.855</f>
        <v>907.66</v>
      </c>
      <c r="I15" s="74"/>
      <c r="J15" s="74">
        <v>120</v>
      </c>
      <c r="K15" s="51">
        <v>500</v>
      </c>
      <c r="L15" s="51"/>
      <c r="M15" s="51">
        <v>130</v>
      </c>
      <c r="N15" s="51">
        <f t="shared" si="5"/>
        <v>3461.2</v>
      </c>
      <c r="O15" s="51">
        <f t="shared" ref="O15:O17" si="7">B15+E15+H15+K15</f>
        <v>2960.7359999999999</v>
      </c>
      <c r="P15" s="51">
        <f t="shared" si="6"/>
        <v>0</v>
      </c>
      <c r="Q15" s="51">
        <f t="shared" si="1"/>
        <v>500.464</v>
      </c>
    </row>
    <row r="16" spans="1:17" ht="34.950000000000003" customHeight="1" x14ac:dyDescent="0.25">
      <c r="A16" s="62" t="s">
        <v>148</v>
      </c>
      <c r="B16" s="51"/>
      <c r="C16" s="51">
        <v>799.04899999999998</v>
      </c>
      <c r="D16" s="51">
        <v>100</v>
      </c>
      <c r="E16" s="51"/>
      <c r="F16" s="51">
        <v>700.90300000000002</v>
      </c>
      <c r="G16" s="51">
        <v>221</v>
      </c>
      <c r="H16" s="51"/>
      <c r="I16" s="74">
        <f>400.165+500+200</f>
        <v>1100.165</v>
      </c>
      <c r="J16" s="74">
        <f>215+400+100+350</f>
        <v>1065</v>
      </c>
      <c r="K16" s="51"/>
      <c r="L16" s="51">
        <v>500</v>
      </c>
      <c r="M16" s="51">
        <v>230.78700000000001</v>
      </c>
      <c r="N16" s="51">
        <f t="shared" si="5"/>
        <v>4716.9040000000005</v>
      </c>
      <c r="O16" s="51">
        <f t="shared" si="7"/>
        <v>0</v>
      </c>
      <c r="P16" s="51">
        <f t="shared" si="6"/>
        <v>3100.1170000000002</v>
      </c>
      <c r="Q16" s="54">
        <f t="shared" si="1"/>
        <v>1616.787</v>
      </c>
    </row>
    <row r="17" spans="1:17" s="31" customFormat="1" ht="30.6" customHeight="1" x14ac:dyDescent="0.25">
      <c r="A17" s="62" t="s">
        <v>144</v>
      </c>
      <c r="B17" s="51">
        <v>1700</v>
      </c>
      <c r="C17" s="51"/>
      <c r="D17" s="51">
        <v>100</v>
      </c>
      <c r="E17" s="51">
        <v>1800</v>
      </c>
      <c r="F17" s="51"/>
      <c r="G17" s="51">
        <v>100</v>
      </c>
      <c r="H17" s="51">
        <f>1932.112-263.035</f>
        <v>1669.077</v>
      </c>
      <c r="I17" s="74"/>
      <c r="J17" s="74">
        <v>100</v>
      </c>
      <c r="K17" s="51">
        <v>1699.99</v>
      </c>
      <c r="L17" s="51"/>
      <c r="M17" s="51">
        <v>100</v>
      </c>
      <c r="N17" s="51">
        <f t="shared" si="5"/>
        <v>7269.067</v>
      </c>
      <c r="O17" s="51">
        <f t="shared" si="7"/>
        <v>6869.067</v>
      </c>
      <c r="P17" s="51">
        <f>C17+F17+I17+L17</f>
        <v>0</v>
      </c>
      <c r="Q17" s="51">
        <f t="shared" si="1"/>
        <v>400</v>
      </c>
    </row>
    <row r="18" spans="1:17" s="33" customFormat="1" ht="41.4" x14ac:dyDescent="0.25">
      <c r="A18" s="6" t="s">
        <v>134</v>
      </c>
      <c r="B18" s="50">
        <f>B20+B19+B23</f>
        <v>68</v>
      </c>
      <c r="C18" s="50">
        <f>C20+C19</f>
        <v>43.722000000000001</v>
      </c>
      <c r="D18" s="50">
        <f>D20+D19+D21</f>
        <v>5</v>
      </c>
      <c r="E18" s="50">
        <f>E20+E19+E23</f>
        <v>69.045000000000002</v>
      </c>
      <c r="F18" s="50">
        <f>F20+F19+F23</f>
        <v>43.701999999999998</v>
      </c>
      <c r="G18" s="50">
        <f>G21</f>
        <v>5</v>
      </c>
      <c r="H18" s="50">
        <f>H20+H19</f>
        <v>70</v>
      </c>
      <c r="I18" s="50">
        <f>I20+I19</f>
        <v>43.722000000000001</v>
      </c>
      <c r="J18" s="50">
        <f>J21</f>
        <v>5</v>
      </c>
      <c r="K18" s="50">
        <f>K20+K19</f>
        <v>68</v>
      </c>
      <c r="L18" s="50">
        <f>L20+L19</f>
        <v>43.722000000000001</v>
      </c>
      <c r="M18" s="50">
        <f>M21</f>
        <v>5</v>
      </c>
      <c r="N18" s="50">
        <f>SUM(B18:M18)</f>
        <v>469.91300000000001</v>
      </c>
      <c r="O18" s="50">
        <f>B18+E18+H18+K18</f>
        <v>275.04500000000002</v>
      </c>
      <c r="P18" s="50">
        <f>C18+F18+I18+L18</f>
        <v>174.86799999999999</v>
      </c>
      <c r="Q18" s="50">
        <f>D18+G18+J18+M18</f>
        <v>20</v>
      </c>
    </row>
    <row r="19" spans="1:17" s="32" customFormat="1" ht="15" hidden="1" customHeight="1" x14ac:dyDescent="0.25">
      <c r="A19" s="63" t="s">
        <v>135</v>
      </c>
      <c r="B19" s="55">
        <v>0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>
        <f t="shared" si="4"/>
        <v>0</v>
      </c>
      <c r="O19" s="56">
        <f t="shared" ref="O19:Q26" si="8">B19+E19+H19+K19</f>
        <v>0</v>
      </c>
      <c r="P19" s="57">
        <f t="shared" si="8"/>
        <v>0</v>
      </c>
      <c r="Q19" s="51">
        <f t="shared" si="8"/>
        <v>0</v>
      </c>
    </row>
    <row r="20" spans="1:17" s="30" customFormat="1" ht="23.25" customHeight="1" x14ac:dyDescent="0.25">
      <c r="A20" s="8" t="s">
        <v>136</v>
      </c>
      <c r="B20" s="58">
        <v>68</v>
      </c>
      <c r="C20" s="58">
        <v>43.722000000000001</v>
      </c>
      <c r="D20" s="58">
        <v>0</v>
      </c>
      <c r="E20" s="58">
        <v>69.045000000000002</v>
      </c>
      <c r="F20" s="58">
        <v>43.701999999999998</v>
      </c>
      <c r="G20" s="58">
        <v>0</v>
      </c>
      <c r="H20" s="58">
        <f>H21+H22</f>
        <v>70</v>
      </c>
      <c r="I20" s="58">
        <v>43.722000000000001</v>
      </c>
      <c r="J20" s="58">
        <v>0</v>
      </c>
      <c r="K20" s="58">
        <v>68</v>
      </c>
      <c r="L20" s="58">
        <v>43.722000000000001</v>
      </c>
      <c r="M20" s="58">
        <v>0</v>
      </c>
      <c r="N20" s="58">
        <f>SUM(B20:M20)</f>
        <v>449.91300000000001</v>
      </c>
      <c r="O20" s="51">
        <f>B20+E20+H20+K20</f>
        <v>275.04500000000002</v>
      </c>
      <c r="P20" s="50">
        <f t="shared" si="8"/>
        <v>174.86799999999999</v>
      </c>
      <c r="Q20" s="50">
        <f>D20+G20+J20+M20</f>
        <v>0</v>
      </c>
    </row>
    <row r="21" spans="1:17" s="30" customFormat="1" ht="20.25" customHeight="1" x14ac:dyDescent="0.25">
      <c r="A21" s="8" t="s">
        <v>155</v>
      </c>
      <c r="B21" s="58"/>
      <c r="C21" s="58"/>
      <c r="D21" s="58">
        <v>5</v>
      </c>
      <c r="E21" s="58"/>
      <c r="F21" s="58"/>
      <c r="G21" s="58">
        <v>5</v>
      </c>
      <c r="H21" s="58"/>
      <c r="I21" s="58"/>
      <c r="J21" s="58">
        <v>5</v>
      </c>
      <c r="K21" s="58"/>
      <c r="L21" s="58"/>
      <c r="M21" s="58">
        <v>5</v>
      </c>
      <c r="N21" s="58">
        <f t="shared" ref="N21:N22" si="9">SUM(B21:M21)</f>
        <v>20</v>
      </c>
      <c r="O21" s="51"/>
      <c r="P21" s="50"/>
      <c r="Q21" s="51">
        <f t="shared" si="8"/>
        <v>20</v>
      </c>
    </row>
    <row r="22" spans="1:17" s="31" customFormat="1" ht="47.25" customHeight="1" x14ac:dyDescent="0.25">
      <c r="A22" s="62" t="s">
        <v>156</v>
      </c>
      <c r="B22" s="51">
        <v>68</v>
      </c>
      <c r="C22" s="51">
        <v>43.722000000000001</v>
      </c>
      <c r="D22" s="51"/>
      <c r="E22" s="51">
        <v>69.045000000000002</v>
      </c>
      <c r="F22" s="51">
        <v>43.701999999999998</v>
      </c>
      <c r="G22" s="51"/>
      <c r="H22" s="51">
        <f>127.1-57.1</f>
        <v>70</v>
      </c>
      <c r="I22" s="51">
        <v>43.722000000000001</v>
      </c>
      <c r="J22" s="51"/>
      <c r="K22" s="51">
        <v>68</v>
      </c>
      <c r="L22" s="51">
        <v>43.722000000000001</v>
      </c>
      <c r="M22" s="51"/>
      <c r="N22" s="58">
        <f t="shared" si="9"/>
        <v>449.91300000000001</v>
      </c>
      <c r="O22" s="51">
        <f>B22+E22+H22+K22</f>
        <v>275.04500000000002</v>
      </c>
      <c r="P22" s="50">
        <f t="shared" si="8"/>
        <v>174.86799999999999</v>
      </c>
      <c r="Q22" s="51">
        <f t="shared" si="8"/>
        <v>0</v>
      </c>
    </row>
    <row r="23" spans="1:17" ht="19.5" customHeight="1" x14ac:dyDescent="0.25">
      <c r="A23" s="6" t="s">
        <v>137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>
        <f t="shared" si="4"/>
        <v>0</v>
      </c>
      <c r="O23" s="51">
        <f t="shared" si="8"/>
        <v>0</v>
      </c>
      <c r="P23" s="50">
        <f t="shared" si="8"/>
        <v>0</v>
      </c>
      <c r="Q23" s="51">
        <f t="shared" si="8"/>
        <v>0</v>
      </c>
    </row>
    <row r="24" spans="1:17" s="9" customFormat="1" ht="33" customHeight="1" x14ac:dyDescent="0.25">
      <c r="A24" s="6" t="s">
        <v>138</v>
      </c>
      <c r="B24" s="50">
        <f>B26+B25</f>
        <v>0</v>
      </c>
      <c r="C24" s="50">
        <f>C25</f>
        <v>0</v>
      </c>
      <c r="D24" s="50">
        <f t="shared" ref="D24:G24" si="10">D25</f>
        <v>0</v>
      </c>
      <c r="E24" s="50">
        <f>E25+E26</f>
        <v>2974.8389999999999</v>
      </c>
      <c r="F24" s="50">
        <f t="shared" si="10"/>
        <v>0</v>
      </c>
      <c r="G24" s="50">
        <f t="shared" si="10"/>
        <v>0</v>
      </c>
      <c r="H24" s="50">
        <f>H25</f>
        <v>0</v>
      </c>
      <c r="I24" s="50">
        <f t="shared" ref="I24:M24" si="11">I25</f>
        <v>3103.68</v>
      </c>
      <c r="J24" s="50">
        <f t="shared" si="11"/>
        <v>746.35</v>
      </c>
      <c r="K24" s="50">
        <f t="shared" si="11"/>
        <v>0</v>
      </c>
      <c r="L24" s="50">
        <f t="shared" si="11"/>
        <v>1000</v>
      </c>
      <c r="M24" s="50">
        <f t="shared" si="11"/>
        <v>2200</v>
      </c>
      <c r="N24" s="50">
        <f>N25+N26</f>
        <v>10024.869000000001</v>
      </c>
      <c r="O24" s="51">
        <f>B24+E24+H24+K24</f>
        <v>2974.8389999999999</v>
      </c>
      <c r="P24" s="50">
        <f>P25</f>
        <v>4103.68</v>
      </c>
      <c r="Q24" s="50">
        <f>D24+G24+J24+M24</f>
        <v>2946.35</v>
      </c>
    </row>
    <row r="25" spans="1:17" s="9" customFormat="1" ht="50.25" customHeight="1" x14ac:dyDescent="0.25">
      <c r="A25" s="8" t="s">
        <v>139</v>
      </c>
      <c r="B25" s="51">
        <v>0</v>
      </c>
      <c r="C25" s="74">
        <v>0</v>
      </c>
      <c r="D25" s="75"/>
      <c r="E25" s="75">
        <v>954.73299999999995</v>
      </c>
      <c r="F25" s="75"/>
      <c r="G25" s="75">
        <v>0</v>
      </c>
      <c r="H25" s="75"/>
      <c r="I25" s="75">
        <f>3000+103.68</f>
        <v>3103.68</v>
      </c>
      <c r="J25" s="75">
        <f>46.35+600+100</f>
        <v>746.35</v>
      </c>
      <c r="K25" s="58">
        <v>0</v>
      </c>
      <c r="L25" s="58">
        <v>1000</v>
      </c>
      <c r="M25" s="58">
        <v>2200</v>
      </c>
      <c r="N25" s="50">
        <f>SUM(B25:M25)</f>
        <v>8004.7629999999999</v>
      </c>
      <c r="O25" s="51">
        <f t="shared" si="8"/>
        <v>954.73299999999995</v>
      </c>
      <c r="P25" s="50">
        <f>C25+F25+I25+L25</f>
        <v>4103.68</v>
      </c>
      <c r="Q25" s="60">
        <f>D25+G25+J25+M25</f>
        <v>2946.35</v>
      </c>
    </row>
    <row r="26" spans="1:17" s="9" customFormat="1" ht="25.5" customHeight="1" x14ac:dyDescent="0.25">
      <c r="A26" s="8" t="s">
        <v>140</v>
      </c>
      <c r="B26" s="14"/>
      <c r="C26" s="58"/>
      <c r="D26" s="58"/>
      <c r="E26" s="58">
        <v>2020.106</v>
      </c>
      <c r="F26" s="58"/>
      <c r="G26" s="58"/>
      <c r="H26" s="58"/>
      <c r="I26" s="58"/>
      <c r="J26" s="58"/>
      <c r="K26" s="58"/>
      <c r="L26" s="58"/>
      <c r="M26" s="58"/>
      <c r="N26" s="61">
        <f>SUM(B26:M26)</f>
        <v>2020.106</v>
      </c>
      <c r="O26" s="51">
        <f>E26+B26+H26+K26</f>
        <v>2020.106</v>
      </c>
      <c r="P26" s="50">
        <f t="shared" si="8"/>
        <v>0</v>
      </c>
      <c r="Q26" s="59"/>
    </row>
    <row r="27" spans="1:17" ht="33" customHeight="1" x14ac:dyDescent="0.25">
      <c r="A27" s="6" t="s">
        <v>141</v>
      </c>
      <c r="B27" s="50">
        <f>B9+B12+B18+B24</f>
        <v>6192.0069999999996</v>
      </c>
      <c r="C27" s="50">
        <f t="shared" ref="C27:M27" si="12">C9+C12+C18+C24</f>
        <v>14954.344999999999</v>
      </c>
      <c r="D27" s="50">
        <f t="shared" si="12"/>
        <v>1830.3240000000001</v>
      </c>
      <c r="E27" s="50">
        <f>E9+E12+E18+E24</f>
        <v>9765.6219999999994</v>
      </c>
      <c r="F27" s="50">
        <f t="shared" si="12"/>
        <v>15670.17</v>
      </c>
      <c r="G27" s="50">
        <f>G9+G12+G18+G24</f>
        <v>2045.8340000000001</v>
      </c>
      <c r="H27" s="50">
        <f t="shared" si="12"/>
        <v>6268.085</v>
      </c>
      <c r="I27" s="50">
        <f>I9+I12+I18+I232+I24</f>
        <v>23005.392</v>
      </c>
      <c r="J27" s="50">
        <f>J9+J12+J18+J24</f>
        <v>2882.8420000000001</v>
      </c>
      <c r="K27" s="50">
        <f>K9+K12+K18+K24</f>
        <v>5744.4219999999996</v>
      </c>
      <c r="L27" s="50">
        <f t="shared" si="12"/>
        <v>17172.484</v>
      </c>
      <c r="M27" s="50">
        <f t="shared" si="12"/>
        <v>3832.0880000000002</v>
      </c>
      <c r="N27" s="50">
        <f>N9+N12+N18+N24</f>
        <v>109363.61500000001</v>
      </c>
      <c r="O27" s="65">
        <f>O10+O11+O12+O22+O24</f>
        <v>27970.135999999999</v>
      </c>
      <c r="P27" s="65">
        <f>P10+P11+P12+P22+P24</f>
        <v>70802.391000000003</v>
      </c>
      <c r="Q27" s="50">
        <f>Q10+Q11+Q12+Q22+Q21+Q24</f>
        <v>10591.088</v>
      </c>
    </row>
    <row r="28" spans="1:17" ht="36.75" customHeight="1" x14ac:dyDescent="0.25">
      <c r="B28" s="11"/>
      <c r="C28" s="11"/>
      <c r="D28" s="11"/>
      <c r="E28" s="73"/>
      <c r="F28" s="11"/>
      <c r="G28" s="11"/>
      <c r="H28" s="11"/>
      <c r="I28" s="73"/>
      <c r="J28" s="73"/>
      <c r="K28" s="11"/>
      <c r="L28" s="11"/>
      <c r="M28" s="11"/>
      <c r="N28" s="19"/>
      <c r="O28" s="10"/>
      <c r="P28" s="10"/>
      <c r="Q28" s="10"/>
    </row>
    <row r="29" spans="1:17" ht="31.5" customHeight="1" x14ac:dyDescent="0.3">
      <c r="A29" s="98" t="s">
        <v>149</v>
      </c>
      <c r="B29" s="98"/>
      <c r="C29" s="12" t="s">
        <v>142</v>
      </c>
      <c r="D29" s="12"/>
      <c r="E29" s="13" t="s">
        <v>150</v>
      </c>
      <c r="H29" s="14"/>
      <c r="O29" s="10"/>
    </row>
    <row r="30" spans="1:17" x14ac:dyDescent="0.25">
      <c r="E30" s="14"/>
      <c r="F30" s="14"/>
      <c r="G30" s="14"/>
    </row>
    <row r="31" spans="1:17" x14ac:dyDescent="0.25">
      <c r="B31" s="15"/>
      <c r="E31" s="14"/>
      <c r="H31" s="14"/>
      <c r="K31" s="14"/>
    </row>
    <row r="32" spans="1:17" x14ac:dyDescent="0.25">
      <c r="F32" s="14"/>
      <c r="H32" s="16"/>
      <c r="K32" s="16"/>
      <c r="P32" s="10"/>
      <c r="Q32" s="10"/>
    </row>
  </sheetData>
  <mergeCells count="24">
    <mergeCell ref="M1:N1"/>
    <mergeCell ref="A2:N2"/>
    <mergeCell ref="A3:N3"/>
    <mergeCell ref="B4:N4"/>
    <mergeCell ref="A5:A7"/>
    <mergeCell ref="B5:D5"/>
    <mergeCell ref="E5:G5"/>
    <mergeCell ref="H5:J5"/>
    <mergeCell ref="K5:M5"/>
    <mergeCell ref="N5:N7"/>
    <mergeCell ref="K6:K7"/>
    <mergeCell ref="L6:L7"/>
    <mergeCell ref="M6:M7"/>
    <mergeCell ref="A29:B29"/>
    <mergeCell ref="O5:Q6"/>
    <mergeCell ref="B6:B7"/>
    <mergeCell ref="C6:C7"/>
    <mergeCell ref="D6:D7"/>
    <mergeCell ref="E6:E7"/>
    <mergeCell ref="F6:F7"/>
    <mergeCell ref="G6:G7"/>
    <mergeCell ref="H6:H7"/>
    <mergeCell ref="I6:I7"/>
    <mergeCell ref="J6:J7"/>
  </mergeCells>
  <pageMargins left="0.70866141732283472" right="0.70866141732283472" top="0.19685039370078741" bottom="0.19685039370078741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фин.план 1</vt:lpstr>
      <vt:lpstr>обсяги витрат 1</vt:lpstr>
      <vt:lpstr>'обсяги витрат 1'!Область_друку</vt:lpstr>
      <vt:lpstr>'фин.план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polzovatel</dc:creator>
  <cp:lastModifiedBy>User</cp:lastModifiedBy>
  <cp:lastPrinted>2026-09-28T12:59:25Z</cp:lastPrinted>
  <dcterms:created xsi:type="dcterms:W3CDTF">2015-06-05T18:19:34Z</dcterms:created>
  <dcterms:modified xsi:type="dcterms:W3CDTF">2026-10-01T08:45:09Z</dcterms:modified>
</cp:coreProperties>
</file>