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BD2EC369-0002-4AE5-BF1B-EF8F19C6903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новий финплан" sheetId="3" r:id="rId1"/>
    <sheet name="звіт до фінплану" sheetId="9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E86" i="9" l="1"/>
  <c r="D86" i="9"/>
  <c r="D85" i="9"/>
  <c r="F65" i="9"/>
  <c r="F64" i="9"/>
  <c r="F58" i="9"/>
  <c r="F57" i="9"/>
  <c r="F115" i="9"/>
  <c r="F114" i="9"/>
  <c r="F113" i="9"/>
  <c r="F112" i="9"/>
  <c r="F100" i="9"/>
  <c r="F98" i="9"/>
  <c r="F97" i="9"/>
  <c r="F95" i="9"/>
  <c r="F94" i="9"/>
  <c r="F91" i="9"/>
  <c r="F89" i="9"/>
  <c r="F88" i="9"/>
  <c r="F87" i="9"/>
  <c r="F86" i="9"/>
  <c r="F82" i="9"/>
  <c r="F81" i="9"/>
  <c r="F78" i="9"/>
  <c r="F76" i="9"/>
  <c r="F75" i="9"/>
  <c r="F74" i="9"/>
  <c r="F71" i="9"/>
  <c r="D87" i="9"/>
  <c r="H87" i="9" s="1"/>
  <c r="E87" i="9"/>
  <c r="H65" i="9"/>
  <c r="F42" i="9"/>
  <c r="F41" i="9"/>
  <c r="F38" i="9"/>
  <c r="F29" i="9"/>
  <c r="D118" i="9"/>
  <c r="H115" i="9"/>
  <c r="H114" i="9"/>
  <c r="H113" i="9"/>
  <c r="H112" i="9"/>
  <c r="H100" i="9"/>
  <c r="H98" i="9"/>
  <c r="H97" i="9"/>
  <c r="H95" i="9"/>
  <c r="H94" i="9"/>
  <c r="H91" i="9"/>
  <c r="H89" i="9"/>
  <c r="H88" i="9"/>
  <c r="H82" i="9"/>
  <c r="H81" i="9"/>
  <c r="H78" i="9"/>
  <c r="H76" i="9"/>
  <c r="H75" i="9"/>
  <c r="H74" i="9"/>
  <c r="H71" i="9"/>
  <c r="H67" i="9"/>
  <c r="H66" i="9"/>
  <c r="H64" i="9"/>
  <c r="H58" i="9"/>
  <c r="H57" i="9"/>
  <c r="H42" i="9"/>
  <c r="H41" i="9"/>
  <c r="H38" i="9"/>
  <c r="H29" i="9"/>
  <c r="D69" i="9"/>
  <c r="E58" i="9"/>
  <c r="E57" i="9"/>
  <c r="E66" i="9"/>
  <c r="E65" i="9"/>
  <c r="E64" i="9"/>
  <c r="E47" i="9"/>
  <c r="H47" i="9" s="1"/>
  <c r="F47" i="9" l="1"/>
  <c r="E85" i="9"/>
  <c r="F85" i="9" s="1"/>
  <c r="E81" i="3"/>
  <c r="E83" i="3"/>
  <c r="E84" i="3"/>
  <c r="E82" i="3"/>
  <c r="H81" i="3"/>
  <c r="I81" i="3"/>
  <c r="G81" i="3"/>
  <c r="H86" i="9" l="1"/>
  <c r="D83" i="9"/>
  <c r="E46" i="9"/>
  <c r="E83" i="9"/>
  <c r="E38" i="3"/>
  <c r="G41" i="3"/>
  <c r="H41" i="3"/>
  <c r="I41" i="3"/>
  <c r="F41" i="3"/>
  <c r="E31" i="3"/>
  <c r="E32" i="3"/>
  <c r="E33" i="3"/>
  <c r="E34" i="3"/>
  <c r="E35" i="3"/>
  <c r="E36" i="3"/>
  <c r="E37" i="3"/>
  <c r="E29" i="3"/>
  <c r="G57" i="3"/>
  <c r="H57" i="3"/>
  <c r="I57" i="3"/>
  <c r="F57" i="3"/>
  <c r="G64" i="3"/>
  <c r="H64" i="3"/>
  <c r="I64" i="3"/>
  <c r="G65" i="3"/>
  <c r="H65" i="3"/>
  <c r="I65" i="3"/>
  <c r="F65" i="3"/>
  <c r="E58" i="3"/>
  <c r="E61" i="3"/>
  <c r="E66" i="3"/>
  <c r="E67" i="3"/>
  <c r="E48" i="3"/>
  <c r="E49" i="3"/>
  <c r="E50" i="3"/>
  <c r="E51" i="3"/>
  <c r="E52" i="3"/>
  <c r="E53" i="3"/>
  <c r="E54" i="3"/>
  <c r="E55" i="3"/>
  <c r="E56" i="3"/>
  <c r="F74" i="3"/>
  <c r="G74" i="3"/>
  <c r="F81" i="3"/>
  <c r="F83" i="9" l="1"/>
  <c r="F117" i="9" s="1"/>
  <c r="H85" i="9"/>
  <c r="H83" i="9"/>
  <c r="E45" i="9"/>
  <c r="E117" i="9"/>
  <c r="H117" i="9" s="1"/>
  <c r="F46" i="9"/>
  <c r="H46" i="9"/>
  <c r="E65" i="3"/>
  <c r="E41" i="3"/>
  <c r="E57" i="3"/>
  <c r="E75" i="3"/>
  <c r="E76" i="3"/>
  <c r="E77" i="3"/>
  <c r="G78" i="3"/>
  <c r="H74" i="3"/>
  <c r="H78" i="3" s="1"/>
  <c r="I74" i="3"/>
  <c r="I78" i="3" s="1"/>
  <c r="F114" i="3"/>
  <c r="F64" i="3" s="1"/>
  <c r="E64" i="3" s="1"/>
  <c r="H45" i="9" l="1"/>
  <c r="E69" i="9"/>
  <c r="F45" i="9"/>
  <c r="E78" i="3"/>
  <c r="E74" i="3"/>
  <c r="E103" i="3"/>
  <c r="E104" i="3"/>
  <c r="E105" i="3"/>
  <c r="E106" i="3"/>
  <c r="E107" i="3"/>
  <c r="E108" i="3"/>
  <c r="E109" i="3"/>
  <c r="E110" i="3"/>
  <c r="E111" i="3"/>
  <c r="E112" i="3"/>
  <c r="E113" i="3"/>
  <c r="E115" i="3"/>
  <c r="E114" i="3" s="1"/>
  <c r="E116" i="3"/>
  <c r="E117" i="3"/>
  <c r="E118" i="3"/>
  <c r="E102" i="3"/>
  <c r="E96" i="3"/>
  <c r="H69" i="9" l="1"/>
  <c r="E118" i="9"/>
  <c r="H118" i="9" s="1"/>
  <c r="H89" i="3"/>
  <c r="H88" i="3" s="1"/>
  <c r="G89" i="3"/>
  <c r="G88" i="3" s="1"/>
  <c r="H47" i="3" l="1"/>
  <c r="H46" i="3" s="1"/>
  <c r="H45" i="3" s="1"/>
  <c r="H87" i="3"/>
  <c r="H85" i="3" s="1"/>
  <c r="H71" i="3" s="1"/>
  <c r="G87" i="3"/>
  <c r="G85" i="3" s="1"/>
  <c r="G71" i="3" s="1"/>
  <c r="G47" i="3"/>
  <c r="G46" i="3" s="1"/>
  <c r="G45" i="3" s="1"/>
  <c r="G69" i="3" s="1"/>
  <c r="E92" i="3"/>
  <c r="E90" i="3"/>
  <c r="E91" i="3"/>
  <c r="E93" i="3"/>
  <c r="I89" i="3"/>
  <c r="F89" i="3"/>
  <c r="F88" i="3" s="1"/>
  <c r="F87" i="3" l="1"/>
  <c r="F85" i="3" s="1"/>
  <c r="F71" i="3" s="1"/>
  <c r="F47" i="3"/>
  <c r="E88" i="3"/>
  <c r="E87" i="3" s="1"/>
  <c r="E85" i="3" s="1"/>
  <c r="E89" i="3"/>
  <c r="I88" i="3"/>
  <c r="K144" i="9"/>
  <c r="K142" i="9"/>
  <c r="K141" i="9"/>
  <c r="K121" i="9"/>
  <c r="K120" i="9"/>
  <c r="K119" i="9"/>
  <c r="K118" i="9"/>
  <c r="L117" i="9"/>
  <c r="K116" i="9"/>
  <c r="K111" i="9"/>
  <c r="K106" i="9"/>
  <c r="K105" i="9"/>
  <c r="K104" i="9"/>
  <c r="K103" i="9"/>
  <c r="K97" i="9"/>
  <c r="K96" i="9"/>
  <c r="K95" i="9"/>
  <c r="M94" i="9"/>
  <c r="K94" i="9"/>
  <c r="K93" i="9"/>
  <c r="L93" i="9" s="1"/>
  <c r="K92" i="9"/>
  <c r="K91" i="9"/>
  <c r="M90" i="9"/>
  <c r="K90" i="9"/>
  <c r="M89" i="9"/>
  <c r="K89" i="9"/>
  <c r="M88" i="9"/>
  <c r="N46" i="9" s="1"/>
  <c r="L88" i="9"/>
  <c r="K88" i="9"/>
  <c r="M87" i="9"/>
  <c r="K87" i="9"/>
  <c r="N85" i="9"/>
  <c r="M85" i="9"/>
  <c r="L85" i="9"/>
  <c r="K85" i="9"/>
  <c r="N84" i="9"/>
  <c r="N82" i="9" s="1"/>
  <c r="M84" i="9"/>
  <c r="K84" i="9"/>
  <c r="M82" i="9"/>
  <c r="K82" i="9"/>
  <c r="J82" i="9"/>
  <c r="J81" i="9"/>
  <c r="K80" i="9"/>
  <c r="L80" i="9" s="1"/>
  <c r="M80" i="9" s="1"/>
  <c r="L78" i="9"/>
  <c r="K78" i="9"/>
  <c r="L76" i="9"/>
  <c r="K76" i="9"/>
  <c r="K74" i="9"/>
  <c r="J74" i="9"/>
  <c r="K73" i="9"/>
  <c r="J73" i="9"/>
  <c r="O72" i="9"/>
  <c r="L72" i="9"/>
  <c r="M72" i="9" s="1"/>
  <c r="K72" i="9"/>
  <c r="J72" i="9"/>
  <c r="O71" i="9"/>
  <c r="K71" i="9"/>
  <c r="J71" i="9"/>
  <c r="F69" i="9"/>
  <c r="F118" i="9" s="1"/>
  <c r="K68" i="9"/>
  <c r="K63" i="9"/>
  <c r="M46" i="9"/>
  <c r="L46" i="9"/>
  <c r="K46" i="9"/>
  <c r="K43" i="9"/>
  <c r="K42" i="9" s="1"/>
  <c r="J42" i="9"/>
  <c r="K36" i="9"/>
  <c r="J36" i="9"/>
  <c r="L29" i="9"/>
  <c r="K29" i="9"/>
  <c r="J29" i="9"/>
  <c r="M17" i="9"/>
  <c r="F119" i="3"/>
  <c r="G119" i="3"/>
  <c r="G120" i="3" s="1"/>
  <c r="G126" i="3" s="1"/>
  <c r="H119" i="3"/>
  <c r="H69" i="3"/>
  <c r="F46" i="3" l="1"/>
  <c r="I47" i="3"/>
  <c r="I46" i="3" s="1"/>
  <c r="I45" i="3" s="1"/>
  <c r="I87" i="3"/>
  <c r="I85" i="3" s="1"/>
  <c r="I71" i="3" s="1"/>
  <c r="I119" i="3" s="1"/>
  <c r="H120" i="3"/>
  <c r="H126" i="3" s="1"/>
  <c r="G128" i="3"/>
  <c r="G129" i="3" s="1"/>
  <c r="K117" i="9"/>
  <c r="O85" i="9"/>
  <c r="J32" i="9"/>
  <c r="K86" i="9"/>
  <c r="M86" i="9" s="1"/>
  <c r="M91" i="9" s="1"/>
  <c r="K44" i="9" s="1"/>
  <c r="K47" i="9" s="1"/>
  <c r="K45" i="9"/>
  <c r="J118" i="9"/>
  <c r="L92" i="9"/>
  <c r="L73" i="9"/>
  <c r="M73" i="9"/>
  <c r="K81" i="9"/>
  <c r="L81" i="9" s="1"/>
  <c r="N81" i="9" s="1"/>
  <c r="M43" i="9"/>
  <c r="E71" i="3" l="1"/>
  <c r="E119" i="3" s="1"/>
  <c r="E47" i="3"/>
  <c r="E46" i="3"/>
  <c r="F45" i="3"/>
  <c r="H128" i="3"/>
  <c r="H129" i="3" s="1"/>
  <c r="G134" i="3"/>
  <c r="G135" i="3"/>
  <c r="K69" i="9"/>
  <c r="M137" i="9"/>
  <c r="M136" i="9"/>
  <c r="N73" i="9"/>
  <c r="L136" i="9"/>
  <c r="K136" i="9"/>
  <c r="E45" i="3" l="1"/>
  <c r="E69" i="3" s="1"/>
  <c r="E120" i="3" s="1"/>
  <c r="E126" i="3" s="1"/>
  <c r="E128" i="3" s="1"/>
  <c r="E129" i="3" s="1"/>
  <c r="F69" i="3"/>
  <c r="F120" i="3" s="1"/>
  <c r="F126" i="3" s="1"/>
  <c r="F128" i="3" s="1"/>
  <c r="F129" i="3" s="1"/>
  <c r="H135" i="3"/>
  <c r="H134" i="3"/>
  <c r="M138" i="9"/>
  <c r="M144" i="9"/>
  <c r="N144" i="9"/>
  <c r="N137" i="9"/>
  <c r="N136" i="9"/>
  <c r="L144" i="9"/>
  <c r="L137" i="9"/>
  <c r="L138" i="9" s="1"/>
  <c r="O137" i="9"/>
  <c r="O136" i="9"/>
  <c r="F135" i="3" l="1"/>
  <c r="F134" i="3"/>
  <c r="E134" i="3"/>
  <c r="E135" i="3"/>
  <c r="N138" i="9"/>
  <c r="O144" i="9"/>
  <c r="O138" i="9"/>
  <c r="K137" i="9"/>
  <c r="K138" i="9" s="1"/>
  <c r="K92" i="3" l="1"/>
  <c r="M92" i="3"/>
  <c r="O146" i="3"/>
  <c r="N146" i="3"/>
  <c r="M146" i="3"/>
  <c r="K146" i="3"/>
  <c r="K144" i="3"/>
  <c r="K143" i="3"/>
  <c r="N138" i="3"/>
  <c r="M138" i="3"/>
  <c r="L138" i="3"/>
  <c r="H130" i="3"/>
  <c r="N139" i="3" s="1"/>
  <c r="G130" i="3"/>
  <c r="M139" i="3" s="1"/>
  <c r="F130" i="3"/>
  <c r="L139" i="3" s="1"/>
  <c r="K138" i="3"/>
  <c r="K123" i="3"/>
  <c r="K122" i="3"/>
  <c r="K121" i="3"/>
  <c r="K120" i="3"/>
  <c r="K118" i="3"/>
  <c r="K113" i="3"/>
  <c r="K108" i="3"/>
  <c r="K107" i="3"/>
  <c r="K106" i="3"/>
  <c r="K105" i="3"/>
  <c r="E100" i="3"/>
  <c r="K99" i="3"/>
  <c r="K98" i="3"/>
  <c r="E98" i="3"/>
  <c r="K97" i="3"/>
  <c r="M96" i="3"/>
  <c r="K96" i="3"/>
  <c r="K95" i="3"/>
  <c r="E95" i="3"/>
  <c r="K94" i="3"/>
  <c r="E94" i="3"/>
  <c r="K93" i="3"/>
  <c r="M91" i="3"/>
  <c r="K91" i="3"/>
  <c r="M90" i="3"/>
  <c r="N46" i="3" s="1"/>
  <c r="L90" i="3"/>
  <c r="K90" i="3"/>
  <c r="M89" i="3"/>
  <c r="M46" i="3" s="1"/>
  <c r="K89" i="3"/>
  <c r="N87" i="3"/>
  <c r="M87" i="3"/>
  <c r="L87" i="3"/>
  <c r="K87" i="3"/>
  <c r="N86" i="3"/>
  <c r="M86" i="3"/>
  <c r="K86" i="3"/>
  <c r="M84" i="3"/>
  <c r="K84" i="3"/>
  <c r="J84" i="3"/>
  <c r="J81" i="3"/>
  <c r="K80" i="3"/>
  <c r="L80" i="3" s="1"/>
  <c r="M80" i="3" s="1"/>
  <c r="L78" i="3"/>
  <c r="K78" i="3"/>
  <c r="L76" i="3"/>
  <c r="K76" i="3"/>
  <c r="K74" i="3"/>
  <c r="J74" i="3"/>
  <c r="L73" i="3"/>
  <c r="K73" i="3"/>
  <c r="J73" i="3"/>
  <c r="O72" i="3"/>
  <c r="L72" i="3"/>
  <c r="K72" i="3"/>
  <c r="J72" i="3"/>
  <c r="O71" i="3"/>
  <c r="J71" i="3"/>
  <c r="K68" i="3"/>
  <c r="I63" i="3"/>
  <c r="H63" i="3"/>
  <c r="E63" i="3" s="1"/>
  <c r="G62" i="3"/>
  <c r="E62" i="3" s="1"/>
  <c r="I60" i="3"/>
  <c r="E60" i="3" s="1"/>
  <c r="I59" i="3"/>
  <c r="E59" i="3" s="1"/>
  <c r="L46" i="3"/>
  <c r="K46" i="3"/>
  <c r="K43" i="3"/>
  <c r="K42" i="3" s="1"/>
  <c r="J42" i="3"/>
  <c r="K36" i="3"/>
  <c r="J36" i="3"/>
  <c r="L29" i="3"/>
  <c r="K29" i="3"/>
  <c r="J29" i="3"/>
  <c r="M17" i="3"/>
  <c r="M72" i="3" l="1"/>
  <c r="K88" i="3"/>
  <c r="M88" i="3" s="1"/>
  <c r="M93" i="3" s="1"/>
  <c r="K44" i="3" s="1"/>
  <c r="K47" i="3" s="1"/>
  <c r="L140" i="3"/>
  <c r="L94" i="3"/>
  <c r="L95" i="3"/>
  <c r="K119" i="3"/>
  <c r="N84" i="3"/>
  <c r="K71" i="3"/>
  <c r="J32" i="3"/>
  <c r="O87" i="3"/>
  <c r="M140" i="3"/>
  <c r="N140" i="3"/>
  <c r="M43" i="3"/>
  <c r="K81" i="3"/>
  <c r="L81" i="3" s="1"/>
  <c r="N81" i="3" s="1"/>
  <c r="K69" i="3" l="1"/>
  <c r="L119" i="3"/>
  <c r="K63" i="3" l="1"/>
  <c r="I69" i="3"/>
  <c r="I120" i="3" l="1"/>
  <c r="K45" i="3" l="1"/>
  <c r="J120" i="3"/>
  <c r="I126" i="3"/>
  <c r="M73" i="3"/>
  <c r="N73" i="3" s="1"/>
  <c r="I128" i="3" l="1"/>
  <c r="L146" i="3" s="1"/>
  <c r="I129" i="3" l="1"/>
  <c r="I135" i="3" s="1"/>
  <c r="I130" i="3" l="1"/>
  <c r="O139" i="3" s="1"/>
  <c r="O138" i="3"/>
  <c r="I134" i="3"/>
  <c r="O140" i="3" l="1"/>
  <c r="E130" i="3"/>
  <c r="K139" i="3" s="1"/>
  <c r="K140" i="3" s="1"/>
</calcChain>
</file>

<file path=xl/sharedStrings.xml><?xml version="1.0" encoding="utf-8"?>
<sst xmlns="http://schemas.openxmlformats.org/spreadsheetml/2006/main" count="381" uniqueCount="183">
  <si>
    <t>Додаток 1</t>
  </si>
  <si>
    <t>до проекту рішення</t>
  </si>
  <si>
    <t>виконавчого комітету</t>
  </si>
  <si>
    <t>Южненської міської ради</t>
  </si>
  <si>
    <t>коди</t>
  </si>
  <si>
    <r>
      <t xml:space="preserve">Підприємство                              </t>
    </r>
    <r>
      <rPr>
        <b/>
        <sz val="10"/>
        <color indexed="8"/>
        <rFont val="Times New Roman"/>
        <family val="1"/>
        <charset val="204"/>
      </rPr>
      <t>КОМУНАЛЬНЕ НЕКОМЕРЦІЙНЕ ПІДПРИЄМСТВО</t>
    </r>
  </si>
  <si>
    <t>"СПОРТИВНО-ОЗДОРОВЧИЙ КОМПЛЕКС "ОЛІМП"</t>
  </si>
  <si>
    <t xml:space="preserve">                                                                              ЮЖНЕНСЬКОЇ МІСЬКОЇ РАДИ                                 </t>
  </si>
  <si>
    <t xml:space="preserve"> за ЄДРПОУ </t>
  </si>
  <si>
    <t>Організаційно-правова форма                              комунальне підприємство</t>
  </si>
  <si>
    <t>Територія                                                                м. Южне</t>
  </si>
  <si>
    <r>
      <rPr>
        <sz val="10"/>
        <color indexed="8"/>
        <rFont val="Times New Roman"/>
        <family val="1"/>
        <charset val="204"/>
      </rPr>
      <t>Орган управління</t>
    </r>
    <r>
      <rPr>
        <b/>
        <sz val="10"/>
        <color indexed="8"/>
        <rFont val="Times New Roman"/>
        <family val="1"/>
        <charset val="204"/>
      </rPr>
      <t xml:space="preserve">    УПРАВЛІННЯ КУЛЬТУРИ, СПОРТУ ТА МОЛОДІЖНОЇ ПОЛІТИКИ  ЮЖНЕНСЬКОЇ МІСЬКОЇ РАДИ</t>
    </r>
  </si>
  <si>
    <r>
      <t xml:space="preserve">Галузь  </t>
    </r>
    <r>
      <rPr>
        <b/>
        <sz val="11"/>
        <color indexed="8"/>
        <rFont val="Times New Roman"/>
        <family val="1"/>
        <charset val="204"/>
      </rPr>
      <t>Фізична культура і спорт</t>
    </r>
  </si>
  <si>
    <r>
      <t xml:space="preserve">Вид економічної діяльності  </t>
    </r>
    <r>
      <rPr>
        <b/>
        <sz val="11"/>
        <color indexed="8"/>
        <rFont val="Times New Roman"/>
        <family val="1"/>
        <charset val="204"/>
      </rPr>
      <t xml:space="preserve">       Функціювання спортивних споруд  </t>
    </r>
    <r>
      <rPr>
        <sz val="11"/>
        <color indexed="8"/>
        <rFont val="Times New Roman"/>
        <family val="1"/>
        <charset val="204"/>
      </rPr>
      <t xml:space="preserve">            </t>
    </r>
    <r>
      <rPr>
        <b/>
        <sz val="11"/>
        <color indexed="8"/>
        <rFont val="Times New Roman"/>
        <family val="1"/>
        <charset val="204"/>
      </rPr>
      <t xml:space="preserve"> за  КВЕД</t>
    </r>
  </si>
  <si>
    <t>93.11</t>
  </si>
  <si>
    <t>Одиниця виміру:           тис. грн.</t>
  </si>
  <si>
    <r>
      <t xml:space="preserve">Форма власності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Комунальна</t>
    </r>
  </si>
  <si>
    <r>
      <t xml:space="preserve">Чисельність працівників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  105,5</t>
    </r>
  </si>
  <si>
    <r>
      <t xml:space="preserve">Місцезнаходження      </t>
    </r>
    <r>
      <rPr>
        <b/>
        <sz val="11"/>
        <color indexed="8"/>
        <rFont val="Times New Roman"/>
        <family val="1"/>
        <charset val="204"/>
      </rPr>
      <t xml:space="preserve">  65481, Одеська обл., місто Южне, пл.Перемоги ,буд 2</t>
    </r>
  </si>
  <si>
    <r>
      <t xml:space="preserve">Прізвище та ініціали керівника                      </t>
    </r>
    <r>
      <rPr>
        <b/>
        <sz val="11"/>
        <color indexed="8"/>
        <rFont val="Times New Roman"/>
        <family val="1"/>
        <charset val="204"/>
      </rPr>
      <t xml:space="preserve">  Володимир ТАТАРОВ </t>
    </r>
  </si>
  <si>
    <t>Основні фінансові показники підприємства</t>
  </si>
  <si>
    <t>І. Формування прибутку підприємства</t>
  </si>
  <si>
    <t>Код ряд-ка</t>
  </si>
  <si>
    <t>Довід-ка:</t>
  </si>
  <si>
    <t>Плано-</t>
  </si>
  <si>
    <t>У тому числі по кварталам</t>
  </si>
  <si>
    <t>вий рік</t>
  </si>
  <si>
    <t>факт мину-лого року</t>
  </si>
  <si>
    <t>фінансовий план поточ-ного року</t>
  </si>
  <si>
    <t>усього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</si>
  <si>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</si>
  <si>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</si>
  <si>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</si>
  <si>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</si>
  <si>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</si>
  <si>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</si>
  <si>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</si>
  <si>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 (платні послуги)</t>
  </si>
  <si>
    <t xml:space="preserve">Релакс центр </t>
  </si>
  <si>
    <t>Тренажерний зал</t>
  </si>
  <si>
    <t>Масаж</t>
  </si>
  <si>
    <t xml:space="preserve">Кінезітерапія </t>
  </si>
  <si>
    <t>Пральня</t>
  </si>
  <si>
    <t>податок на додану вартість</t>
  </si>
  <si>
    <t>002</t>
  </si>
  <si>
    <t>інші непрямі податки</t>
  </si>
  <si>
    <t>003</t>
  </si>
  <si>
    <r>
      <rPr>
        <sz val="10"/>
        <color indexed="8"/>
        <rFont val="Times New Roman"/>
        <family val="1"/>
        <charset val="204"/>
      </rP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</si>
  <si>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</si>
  <si>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(платні послуги)</t>
    </r>
  </si>
  <si>
    <t>005</t>
  </si>
  <si>
    <t>006</t>
  </si>
  <si>
    <t>Інші фінансові доходи</t>
  </si>
  <si>
    <t>007</t>
  </si>
  <si>
    <t>Дохід із місцевого бюджету за цільовими програмами,</t>
  </si>
  <si>
    <t>007/1</t>
  </si>
  <si>
    <t>І. Програма розвитку фізичної культури і спорту в  Южненської міської територіальної громади на 2021-2023 роки:</t>
  </si>
  <si>
    <t>- загальний фонд</t>
  </si>
  <si>
    <t>Витрати на оплату праці, з них:</t>
  </si>
  <si>
    <t>- адміністративні</t>
  </si>
  <si>
    <t>- загальновиробничі</t>
  </si>
  <si>
    <t>Витрати на соціальні заходи</t>
  </si>
  <si>
    <r>
      <rPr>
        <sz val="10"/>
        <color indexed="8"/>
        <rFont val="Times New Roman"/>
        <family val="1"/>
        <charset val="204"/>
      </rPr>
      <t xml:space="preserve">Інші доходи </t>
    </r>
    <r>
      <rPr>
        <i/>
        <sz val="10"/>
        <color indexed="8"/>
        <rFont val="Times New Roman"/>
        <family val="1"/>
        <charset val="204"/>
      </rPr>
      <t>(Премети,матеріали,обладнання та інветрарю )</t>
    </r>
  </si>
  <si>
    <t>оплата послуг крім комунальних;</t>
  </si>
  <si>
    <t>Оплата комунальних послуг та енергоносіїв</t>
  </si>
  <si>
    <t>Окремі заходи по реалізації державних програм, не віднесені до заходів розвитку</t>
  </si>
  <si>
    <t>Придбання обладнання і предметів довгострокового користування</t>
  </si>
  <si>
    <r>
      <rPr>
        <sz val="10"/>
        <color indexed="8"/>
        <rFont val="Times New Roman"/>
        <family val="1"/>
        <charset val="204"/>
      </rP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</si>
  <si>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1 Предмети (однолітні насадження та придбання контейнерів, в т.ч. інформаційні щити.)</t>
  </si>
  <si>
    <t>2 Придбання багаторічні насадження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</si>
  <si>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</si>
  <si>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rPr>
        <sz val="10"/>
        <color indexed="8"/>
        <rFont val="Times New Roman"/>
        <family val="1"/>
        <charset val="204"/>
      </rP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</si>
  <si>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 xml:space="preserve">Інші доходи </t>
  </si>
  <si>
    <t>008</t>
  </si>
  <si>
    <t>Усього доходів</t>
  </si>
  <si>
    <t>009</t>
  </si>
  <si>
    <r>
      <rPr>
        <b/>
        <sz val="10"/>
        <color indexed="8"/>
        <rFont val="Times New Roman"/>
        <family val="1"/>
        <charset val="204"/>
      </rP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</si>
  <si>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rPr>
        <sz val="10"/>
        <color indexed="8"/>
        <rFont val="Times New Roman"/>
        <family val="1"/>
        <charset val="204"/>
      </rP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</si>
  <si>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</si>
  <si>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rPr>
        <i/>
        <sz val="10"/>
        <color indexed="8"/>
        <rFont val="Times New Roman"/>
        <family val="1"/>
        <charset val="204"/>
      </rP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</si>
  <si>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</si>
  <si>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</si>
  <si>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</si>
  <si>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013</t>
  </si>
  <si>
    <t>-адміністративні (4 чол)</t>
  </si>
  <si>
    <t>матеріальна допомога на оздоровлення</t>
  </si>
  <si>
    <t>014</t>
  </si>
  <si>
    <t>Амортизація</t>
  </si>
  <si>
    <t>015</t>
  </si>
  <si>
    <r>
      <rPr>
        <sz val="10"/>
        <color indexed="8"/>
        <rFont val="Times New Roman"/>
        <family val="1"/>
        <charset val="204"/>
      </rP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</si>
  <si>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016</t>
  </si>
  <si>
    <t> -</t>
  </si>
  <si>
    <t>Інші операційні витрати, в тому числі:</t>
  </si>
  <si>
    <t>017</t>
  </si>
  <si>
    <t>матеріальні витрати</t>
  </si>
  <si>
    <r>
      <rPr>
        <sz val="10"/>
        <color indexed="8"/>
        <rFont val="Times New Roman"/>
        <family val="1"/>
        <charset val="204"/>
      </rP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</si>
  <si>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</si>
  <si>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</si>
  <si>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</si>
  <si>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</si>
  <si>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Витрати на соціальні заходи:</t>
  </si>
  <si>
    <r>
      <rPr>
        <sz val="10"/>
        <color indexed="8"/>
        <rFont val="Times New Roman"/>
        <family val="1"/>
        <charset val="204"/>
      </rPr>
      <t xml:space="preserve">Інші витрати </t>
    </r>
    <r>
      <rPr>
        <i/>
        <sz val="10"/>
        <color indexed="8"/>
        <rFont val="Times New Roman"/>
        <family val="1"/>
        <charset val="204"/>
      </rPr>
      <t>( навчання працівників)</t>
    </r>
  </si>
  <si>
    <r>
      <rPr>
        <b/>
        <sz val="10"/>
        <color indexed="8"/>
        <rFont val="Times New Roman"/>
        <family val="1"/>
        <charset val="204"/>
      </rP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</si>
  <si>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</si>
  <si>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r>
      <rPr>
        <sz val="10"/>
        <color indexed="8"/>
        <rFont val="Times New Roman"/>
        <family val="1"/>
        <charset val="204"/>
      </rP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</si>
  <si>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t>-заробітна плата</t>
  </si>
  <si>
    <t>-нарахування на зарплату</t>
  </si>
  <si>
    <t>-матеріали</t>
  </si>
  <si>
    <t xml:space="preserve">Інші витрати </t>
  </si>
  <si>
    <t>019</t>
  </si>
  <si>
    <t>Усього витрати</t>
  </si>
  <si>
    <t>020</t>
  </si>
  <si>
    <t>Фінансові результати діяльності:</t>
  </si>
  <si>
    <t>021</t>
  </si>
  <si>
    <t>Валовий прибуток (збиток)</t>
  </si>
  <si>
    <t>022</t>
  </si>
  <si>
    <t>Фінансовий результат від операційної діяльності:</t>
  </si>
  <si>
    <t>023</t>
  </si>
  <si>
    <t>прибуток</t>
  </si>
  <si>
    <t>збиток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</si>
  <si>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</si>
  <si>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</si>
  <si>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</si>
  <si>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</si>
  <si>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>Чистий  прибуток</t>
  </si>
  <si>
    <t>026</t>
  </si>
  <si>
    <t>026/1</t>
  </si>
  <si>
    <t>026/2</t>
  </si>
  <si>
    <t>ІІ.   Розподіл чистого прибутку</t>
  </si>
  <si>
    <r>
      <rPr>
        <sz val="10"/>
        <color indexed="8"/>
        <rFont val="Times New Roman"/>
        <family val="1"/>
        <charset val="204"/>
      </rP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</si>
  <si>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</si>
  <si>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</si>
  <si>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</si>
  <si>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</si>
  <si>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</si>
  <si>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Залишок нерозподіленого прибутку (непокритого збитку) на початок звітного періоду</t>
  </si>
  <si>
    <t>030</t>
  </si>
  <si>
    <t>ІІІ Обов’язкові платежі підприємства</t>
  </si>
  <si>
    <t>Резервний фонд</t>
  </si>
  <si>
    <t>031</t>
  </si>
  <si>
    <r>
      <rPr>
        <b/>
        <sz val="10"/>
        <color indexed="8"/>
        <rFont val="Times New Roman"/>
        <family val="1"/>
        <charset val="204"/>
      </rP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</si>
  <si>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</si>
  <si>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</si>
  <si>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</si>
  <si>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</si>
  <si>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</si>
  <si>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rPr>
        <sz val="10"/>
        <color indexed="8"/>
        <rFont val="Times New Roman"/>
        <family val="1"/>
        <charset val="204"/>
      </rP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</si>
  <si>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</si>
  <si>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 xml:space="preserve">      (підпис)</t>
  </si>
  <si>
    <t>Керівник підприємства</t>
  </si>
  <si>
    <t>Володимир ТАТАРОВ</t>
  </si>
  <si>
    <t>(підпис)</t>
  </si>
  <si>
    <t>Економіст</t>
  </si>
  <si>
    <t>Анна КОСТЕНКО</t>
  </si>
  <si>
    <t>Оплата послуг (крім комунальних)</t>
  </si>
  <si>
    <t>Головний бухгалтер</t>
  </si>
  <si>
    <t>Комунальні послуги та енергоносії</t>
  </si>
  <si>
    <t>Директор КНП"ОЛІМП"</t>
  </si>
  <si>
    <t xml:space="preserve">Інші операційні доходи (оренда) </t>
  </si>
  <si>
    <t>ІІ. Програма розвитку цивільного захисту, техногенної та пожежної безпеки на території Южненської міської територіальної громади на 2022-2026 роки</t>
  </si>
  <si>
    <t>________________________</t>
  </si>
  <si>
    <t>Ольга ПЕТРОВА</t>
  </si>
  <si>
    <t>ЗМІНИ ДО ФІНАНСОВОГО ПЛАНУ КОМУНАЛЬНОГО НЕКОМЕРЦІЙНОГО ПІДПРИЄМСТВА  "СПОРТИВНО-ОЗДОРОВЧИЙ КОМПЛЕКС "ОЛІМП" ЮЖНЕНСЬКОЇ МІСЬКОЇ РАДИ</t>
  </si>
  <si>
    <t>№____ від «___»___________2023 р.</t>
  </si>
  <si>
    <t>НА 2023 рік</t>
  </si>
  <si>
    <t>- загальновиробничі(44 чол)</t>
  </si>
  <si>
    <t>Факт за попер. Період</t>
  </si>
  <si>
    <t>План на відпов. Період</t>
  </si>
  <si>
    <t>Факт на відповід. Період</t>
  </si>
  <si>
    <t>Відхилення (+,-)</t>
  </si>
  <si>
    <t>Виконання (%)</t>
  </si>
  <si>
    <t>-адміністративні</t>
  </si>
  <si>
    <t xml:space="preserve">-загальновиробничі </t>
  </si>
  <si>
    <t>оплата послуг (крім комунальних)</t>
  </si>
  <si>
    <t>Навчання працівників</t>
  </si>
  <si>
    <t>-загальновиробничі</t>
  </si>
  <si>
    <r>
      <t xml:space="preserve">Прізвище та ініціали керівника                      </t>
    </r>
    <r>
      <rPr>
        <b/>
        <sz val="11"/>
        <color indexed="8"/>
        <rFont val="Times New Roman"/>
        <family val="1"/>
        <charset val="204"/>
      </rPr>
      <t xml:space="preserve">  Олександр АНУФРІЄВ</t>
    </r>
  </si>
  <si>
    <t>ЗА 2022 рік</t>
  </si>
  <si>
    <t>ЗВІТ                                                                                                                                                                                                                              ПРО ФІНАНСОВО - ГОСПОДАРСЬКУ ДІЯЛЬНІСТЬ                                                                                                                           КОМУНАЛЬНОГО НЕКОМЕРЦІЙНОГО ПІДПРИЄМСТВА  "СПОРТИВНО-ОЗДОРОВЧИЙ КОМПЛЕКС "ОЛІМП" ЮЖНЕНСЬКОЇ МІСЬКОЇ РАДИ</t>
  </si>
  <si>
    <t>Керуючий справами виконавчого комітету                                                                  Владислав ТЕРЕЩЕНКО</t>
  </si>
  <si>
    <t xml:space="preserve">Додаток </t>
  </si>
  <si>
    <t>до  рішення виконавчого комітету</t>
  </si>
  <si>
    <t>від 27.04.2023 № 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</si>
</sst>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0.000"/>
    <numFmt numFmtId="166" formatCode="#,##0.000000"/>
    <numFmt numFmtId="167" formatCode="#,##0.000"/>
    <numFmt numFmtId="168" formatCode="0.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indexed="2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64"/>
      </bottom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 style="thin">
        <color indexed="58"/>
      </right>
      <top style="thin">
        <color indexed="58"/>
      </top>
      <bottom/>
      <diagonal/>
    </border>
    <border>
      <left/>
      <right style="thin">
        <color indexed="58"/>
      </right>
      <top/>
      <bottom/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thin">
        <color indexed="8"/>
      </bottom>
      <diagonal/>
    </border>
    <border>
      <left/>
      <right style="thin">
        <color indexed="58"/>
      </right>
      <top style="thin">
        <color indexed="58"/>
      </top>
      <bottom style="thin">
        <color indexed="8"/>
      </bottom>
      <diagonal/>
    </border>
  </borders>
  <cellStyleXfs count="3">
    <xf numFmtId="0" fontId="0" fillId="0" borderId="0"/>
    <xf numFmtId="0" fontId="26" fillId="0" borderId="0"/>
    <xf numFmtId="0" fontId="27" fillId="11" borderId="0" applyNumberFormat="0" applyBorder="0" applyAlignment="0" applyProtection="0"/>
  </cellStyleXfs>
  <cellXfs count="334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64" fontId="0" fillId="0" borderId="0" xfId="0" applyNumberFormat="1"/>
    <xf numFmtId="2" fontId="1" fillId="0" borderId="0" xfId="0" applyNumberFormat="1" applyFont="1" applyAlignment="1">
      <alignment horizontal="right" vertical="center"/>
    </xf>
    <xf numFmtId="2" fontId="1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3" fillId="4" borderId="7" xfId="0" applyNumberFormat="1" applyFont="1" applyFill="1" applyBorder="1" applyAlignment="1">
      <alignment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165" fontId="9" fillId="0" borderId="8" xfId="0" applyNumberFormat="1" applyFont="1" applyBorder="1" applyAlignment="1">
      <alignment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0" fillId="0" borderId="6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5" fontId="10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5" fontId="4" fillId="4" borderId="5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3" fillId="4" borderId="8" xfId="0" applyNumberFormat="1" applyFont="1" applyFill="1" applyBorder="1" applyAlignment="1">
      <alignment vertical="center" wrapText="1"/>
    </xf>
    <xf numFmtId="4" fontId="11" fillId="0" borderId="0" xfId="0" applyNumberFormat="1" applyFont="1" applyAlignment="1">
      <alignment horizontal="center" vertical="center" wrapText="1"/>
    </xf>
    <xf numFmtId="4" fontId="0" fillId="0" borderId="0" xfId="0" applyNumberFormat="1"/>
    <xf numFmtId="165" fontId="3" fillId="4" borderId="6" xfId="0" applyNumberFormat="1" applyFont="1" applyFill="1" applyBorder="1" applyAlignment="1">
      <alignment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vertical="center" wrapText="1"/>
    </xf>
    <xf numFmtId="165" fontId="7" fillId="6" borderId="9" xfId="0" applyNumberFormat="1" applyFont="1" applyFill="1" applyBorder="1" applyAlignment="1">
      <alignment horizontal="center" vertical="center" wrapText="1"/>
    </xf>
    <xf numFmtId="165" fontId="4" fillId="6" borderId="9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9" fillId="6" borderId="1" xfId="0" applyNumberFormat="1" applyFont="1" applyFill="1" applyBorder="1" applyAlignment="1">
      <alignment vertical="center" wrapText="1"/>
    </xf>
    <xf numFmtId="165" fontId="4" fillId="7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65" fontId="9" fillId="8" borderId="1" xfId="0" applyNumberFormat="1" applyFont="1" applyFill="1" applyBorder="1" applyAlignment="1">
      <alignment vertical="center" wrapText="1"/>
    </xf>
    <xf numFmtId="165" fontId="7" fillId="8" borderId="9" xfId="0" applyNumberFormat="1" applyFont="1" applyFill="1" applyBorder="1" applyAlignment="1">
      <alignment horizontal="center" vertical="center" wrapText="1"/>
    </xf>
    <xf numFmtId="165" fontId="3" fillId="8" borderId="9" xfId="0" applyNumberFormat="1" applyFont="1" applyFill="1" applyBorder="1" applyAlignment="1">
      <alignment horizontal="center" vertical="center" wrapText="1"/>
    </xf>
    <xf numFmtId="165" fontId="3" fillId="6" borderId="6" xfId="0" applyNumberFormat="1" applyFont="1" applyFill="1" applyBorder="1" applyAlignment="1">
      <alignment vertical="center" wrapText="1"/>
    </xf>
    <xf numFmtId="165" fontId="8" fillId="6" borderId="9" xfId="0" applyNumberFormat="1" applyFont="1" applyFill="1" applyBorder="1" applyAlignment="1">
      <alignment horizontal="center" vertical="center" wrapText="1"/>
    </xf>
    <xf numFmtId="165" fontId="3" fillId="8" borderId="6" xfId="0" applyNumberFormat="1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165" fontId="7" fillId="6" borderId="10" xfId="0" applyNumberFormat="1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5" fontId="7" fillId="6" borderId="5" xfId="0" applyNumberFormat="1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 wrapText="1"/>
    </xf>
    <xf numFmtId="165" fontId="9" fillId="6" borderId="6" xfId="0" applyNumberFormat="1" applyFont="1" applyFill="1" applyBorder="1" applyAlignment="1">
      <alignment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4" fillId="9" borderId="1" xfId="0" applyNumberFormat="1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  <xf numFmtId="165" fontId="4" fillId="9" borderId="0" xfId="0" applyNumberFormat="1" applyFont="1" applyFill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5" fontId="3" fillId="4" borderId="1" xfId="0" applyNumberFormat="1" applyFont="1" applyFill="1" applyBorder="1" applyAlignment="1">
      <alignment vertical="center" wrapText="1"/>
    </xf>
    <xf numFmtId="166" fontId="11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7" fontId="0" fillId="0" borderId="0" xfId="0" applyNumberFormat="1"/>
    <xf numFmtId="165" fontId="1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7" fontId="17" fillId="0" borderId="0" xfId="0" applyNumberFormat="1" applyFont="1"/>
    <xf numFmtId="4" fontId="17" fillId="10" borderId="0" xfId="0" applyNumberFormat="1" applyFont="1" applyFill="1"/>
    <xf numFmtId="165" fontId="7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9" fillId="0" borderId="6" xfId="0" applyNumberFormat="1" applyFont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center" wrapText="1"/>
    </xf>
    <xf numFmtId="165" fontId="4" fillId="9" borderId="6" xfId="0" applyNumberFormat="1" applyFont="1" applyFill="1" applyBorder="1" applyAlignment="1">
      <alignment horizontal="center" vertical="center" wrapText="1"/>
    </xf>
    <xf numFmtId="165" fontId="19" fillId="9" borderId="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8" fontId="0" fillId="0" borderId="0" xfId="0" applyNumberFormat="1"/>
    <xf numFmtId="165" fontId="3" fillId="0" borderId="10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vertical="center" wrapText="1"/>
    </xf>
    <xf numFmtId="165" fontId="20" fillId="0" borderId="1" xfId="0" applyNumberFormat="1" applyFont="1" applyBorder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5" fontId="4" fillId="3" borderId="0" xfId="0" applyNumberFormat="1" applyFont="1" applyFill="1" applyAlignment="1">
      <alignment horizontal="center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2" fontId="2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/>
    <xf numFmtId="165" fontId="25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25" fillId="6" borderId="9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165" fontId="16" fillId="6" borderId="1" xfId="0" applyNumberFormat="1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5" fontId="8" fillId="8" borderId="9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 wrapText="1"/>
    </xf>
    <xf numFmtId="165" fontId="32" fillId="6" borderId="9" xfId="0" applyNumberFormat="1" applyFont="1" applyFill="1" applyBorder="1" applyAlignment="1">
      <alignment horizontal="center" vertical="center" wrapText="1"/>
    </xf>
    <xf numFmtId="165" fontId="16" fillId="6" borderId="6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165" fontId="29" fillId="2" borderId="1" xfId="0" applyNumberFormat="1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0" fillId="4" borderId="1" xfId="0" applyNumberFormat="1" applyFont="1" applyFill="1" applyBorder="1" applyAlignment="1">
      <alignment horizontal="center" vertical="center" wrapText="1"/>
    </xf>
    <xf numFmtId="165" fontId="30" fillId="0" borderId="8" xfId="0" applyNumberFormat="1" applyFont="1" applyBorder="1" applyAlignment="1">
      <alignment horizontal="center" vertical="center" wrapText="1"/>
    </xf>
    <xf numFmtId="165" fontId="30" fillId="0" borderId="6" xfId="0" applyNumberFormat="1" applyFont="1" applyBorder="1" applyAlignment="1">
      <alignment horizontal="center" vertical="center" wrapText="1"/>
    </xf>
    <xf numFmtId="165" fontId="29" fillId="0" borderId="6" xfId="0" applyNumberFormat="1" applyFont="1" applyBorder="1" applyAlignment="1">
      <alignment horizontal="center" vertical="center" wrapText="1"/>
    </xf>
    <xf numFmtId="165" fontId="30" fillId="4" borderId="5" xfId="0" applyNumberFormat="1" applyFont="1" applyFill="1" applyBorder="1" applyAlignment="1">
      <alignment horizontal="center" vertical="center" wrapText="1"/>
    </xf>
    <xf numFmtId="165" fontId="31" fillId="8" borderId="9" xfId="0" applyNumberFormat="1" applyFont="1" applyFill="1" applyBorder="1" applyAlignment="1">
      <alignment horizontal="center" vertical="center" wrapText="1"/>
    </xf>
    <xf numFmtId="165" fontId="29" fillId="6" borderId="6" xfId="0" applyNumberFormat="1" applyFont="1" applyFill="1" applyBorder="1" applyAlignment="1">
      <alignment horizontal="center" vertical="center" wrapText="1"/>
    </xf>
    <xf numFmtId="165" fontId="29" fillId="6" borderId="1" xfId="0" applyNumberFormat="1" applyFont="1" applyFill="1" applyBorder="1" applyAlignment="1">
      <alignment horizontal="center" vertical="center" wrapText="1"/>
    </xf>
    <xf numFmtId="165" fontId="30" fillId="6" borderId="1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25" fillId="8" borderId="9" xfId="0" applyNumberFormat="1" applyFont="1" applyFill="1" applyBorder="1" applyAlignment="1">
      <alignment horizontal="center" vertical="center" wrapText="1"/>
    </xf>
    <xf numFmtId="165" fontId="25" fillId="6" borderId="9" xfId="0" applyNumberFormat="1" applyFont="1" applyFill="1" applyBorder="1" applyAlignment="1">
      <alignment vertical="center" wrapText="1"/>
    </xf>
    <xf numFmtId="165" fontId="25" fillId="6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32" fillId="6" borderId="9" xfId="0" applyNumberFormat="1" applyFont="1" applyFill="1" applyBorder="1" applyAlignment="1">
      <alignment horizontal="center" vertical="center" wrapText="1"/>
    </xf>
    <xf numFmtId="10" fontId="32" fillId="6" borderId="9" xfId="0" applyNumberFormat="1" applyFont="1" applyFill="1" applyBorder="1" applyAlignment="1">
      <alignment vertical="center" wrapText="1"/>
    </xf>
    <xf numFmtId="10" fontId="16" fillId="6" borderId="6" xfId="0" applyNumberFormat="1" applyFont="1" applyFill="1" applyBorder="1" applyAlignment="1">
      <alignment horizontal="center" vertical="center" wrapText="1"/>
    </xf>
    <xf numFmtId="10" fontId="16" fillId="6" borderId="1" xfId="0" applyNumberFormat="1" applyFont="1" applyFill="1" applyBorder="1" applyAlignment="1">
      <alignment horizontal="center" vertical="center" wrapText="1"/>
    </xf>
    <xf numFmtId="10" fontId="12" fillId="6" borderId="1" xfId="0" applyNumberFormat="1" applyFont="1" applyFill="1" applyBorder="1" applyAlignment="1">
      <alignment horizontal="center" vertical="center" wrapText="1"/>
    </xf>
    <xf numFmtId="165" fontId="9" fillId="8" borderId="9" xfId="0" applyNumberFormat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2" fontId="21" fillId="0" borderId="14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left"/>
    </xf>
    <xf numFmtId="165" fontId="3" fillId="6" borderId="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0" fontId="7" fillId="2" borderId="2" xfId="0" applyNumberFormat="1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10" fontId="4" fillId="0" borderId="22" xfId="0" applyNumberFormat="1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10" fontId="4" fillId="0" borderId="23" xfId="0" applyNumberFormat="1" applyFont="1" applyBorder="1" applyAlignment="1">
      <alignment horizontal="center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10" fontId="4" fillId="0" borderId="24" xfId="0" applyNumberFormat="1" applyFont="1" applyBorder="1" applyAlignment="1">
      <alignment horizontal="center" vertical="center" wrapText="1"/>
    </xf>
    <xf numFmtId="165" fontId="19" fillId="9" borderId="2" xfId="0" applyNumberFormat="1" applyFont="1" applyFill="1" applyBorder="1" applyAlignment="1">
      <alignment horizontal="center" vertical="center" wrapText="1"/>
    </xf>
    <xf numFmtId="165" fontId="19" fillId="9" borderId="4" xfId="0" applyNumberFormat="1" applyFont="1" applyFill="1" applyBorder="1" applyAlignment="1">
      <alignment horizontal="center" vertical="center" wrapText="1"/>
    </xf>
    <xf numFmtId="10" fontId="19" fillId="9" borderId="2" xfId="0" applyNumberFormat="1" applyFont="1" applyFill="1" applyBorder="1" applyAlignment="1">
      <alignment horizontal="center" vertical="center" wrapText="1"/>
    </xf>
    <xf numFmtId="10" fontId="19" fillId="9" borderId="4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5" fontId="12" fillId="4" borderId="2" xfId="0" applyNumberFormat="1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horizontal="center" vertical="center" wrapText="1"/>
    </xf>
    <xf numFmtId="165" fontId="8" fillId="9" borderId="2" xfId="0" applyNumberFormat="1" applyFont="1" applyFill="1" applyBorder="1" applyAlignment="1">
      <alignment horizontal="center" vertical="center" wrapText="1"/>
    </xf>
    <xf numFmtId="165" fontId="8" fillId="9" borderId="4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10" fontId="8" fillId="9" borderId="4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10" fontId="8" fillId="4" borderId="4" xfId="0" applyNumberFormat="1" applyFont="1" applyFill="1" applyBorder="1" applyAlignment="1">
      <alignment horizontal="center" vertical="center" wrapText="1"/>
    </xf>
    <xf numFmtId="165" fontId="16" fillId="6" borderId="2" xfId="0" applyNumberFormat="1" applyFont="1" applyFill="1" applyBorder="1" applyAlignment="1">
      <alignment horizontal="center" vertical="center" wrapText="1"/>
    </xf>
    <xf numFmtId="165" fontId="16" fillId="6" borderId="4" xfId="0" applyNumberFormat="1" applyFont="1" applyFill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center" vertical="center" wrapText="1"/>
    </xf>
    <xf numFmtId="10" fontId="16" fillId="6" borderId="4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165" fontId="32" fillId="8" borderId="16" xfId="0" applyNumberFormat="1" applyFont="1" applyFill="1" applyBorder="1" applyAlignment="1">
      <alignment horizontal="center" vertical="center" wrapText="1"/>
    </xf>
    <xf numFmtId="165" fontId="32" fillId="8" borderId="17" xfId="0" applyNumberFormat="1" applyFont="1" applyFill="1" applyBorder="1" applyAlignment="1">
      <alignment horizontal="center" vertical="center" wrapText="1"/>
    </xf>
    <xf numFmtId="10" fontId="32" fillId="8" borderId="16" xfId="0" applyNumberFormat="1" applyFont="1" applyFill="1" applyBorder="1" applyAlignment="1">
      <alignment horizontal="center" vertical="center" wrapText="1"/>
    </xf>
    <xf numFmtId="10" fontId="32" fillId="8" borderId="17" xfId="0" applyNumberFormat="1" applyFont="1" applyFill="1" applyBorder="1" applyAlignment="1">
      <alignment horizontal="center" vertical="center" wrapText="1"/>
    </xf>
    <xf numFmtId="165" fontId="12" fillId="6" borderId="16" xfId="0" applyNumberFormat="1" applyFont="1" applyFill="1" applyBorder="1" applyAlignment="1">
      <alignment horizontal="center" vertical="center" wrapText="1"/>
    </xf>
    <xf numFmtId="165" fontId="12" fillId="6" borderId="17" xfId="0" applyNumberFormat="1" applyFont="1" applyFill="1" applyBorder="1" applyAlignment="1">
      <alignment horizontal="center" vertical="center" wrapText="1"/>
    </xf>
    <xf numFmtId="10" fontId="12" fillId="6" borderId="16" xfId="0" applyNumberFormat="1" applyFont="1" applyFill="1" applyBorder="1" applyAlignment="1">
      <alignment horizontal="center" vertical="center" wrapText="1"/>
    </xf>
    <xf numFmtId="10" fontId="12" fillId="6" borderId="17" xfId="0" applyNumberFormat="1" applyFont="1" applyFill="1" applyBorder="1" applyAlignment="1">
      <alignment horizontal="center" vertical="center" wrapText="1"/>
    </xf>
    <xf numFmtId="165" fontId="12" fillId="6" borderId="2" xfId="0" applyNumberFormat="1" applyFont="1" applyFill="1" applyBorder="1" applyAlignment="1">
      <alignment horizontal="center" vertical="center" wrapText="1"/>
    </xf>
    <xf numFmtId="165" fontId="12" fillId="6" borderId="4" xfId="0" applyNumberFormat="1" applyFont="1" applyFill="1" applyBorder="1" applyAlignment="1">
      <alignment horizontal="center" vertical="center" wrapText="1"/>
    </xf>
    <xf numFmtId="10" fontId="12" fillId="6" borderId="2" xfId="0" applyNumberFormat="1" applyFont="1" applyFill="1" applyBorder="1" applyAlignment="1">
      <alignment horizontal="center" vertical="center" wrapText="1"/>
    </xf>
    <xf numFmtId="10" fontId="12" fillId="6" borderId="4" xfId="0" applyNumberFormat="1" applyFont="1" applyFill="1" applyBorder="1" applyAlignment="1">
      <alignment horizontal="center" vertical="center" wrapText="1"/>
    </xf>
    <xf numFmtId="10" fontId="12" fillId="4" borderId="28" xfId="0" applyNumberFormat="1" applyFont="1" applyFill="1" applyBorder="1" applyAlignment="1">
      <alignment horizontal="center" vertical="center" wrapText="1"/>
    </xf>
    <xf numFmtId="10" fontId="12" fillId="4" borderId="29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0" fontId="12" fillId="4" borderId="2" xfId="0" applyNumberFormat="1" applyFont="1" applyFill="1" applyBorder="1" applyAlignment="1">
      <alignment horizontal="center" vertical="center" wrapText="1"/>
    </xf>
    <xf numFmtId="10" fontId="12" fillId="4" borderId="4" xfId="0" applyNumberFormat="1" applyFont="1" applyFill="1" applyBorder="1" applyAlignment="1">
      <alignment horizontal="center" vertical="center" wrapText="1"/>
    </xf>
    <xf numFmtId="165" fontId="12" fillId="4" borderId="28" xfId="0" applyNumberFormat="1" applyFont="1" applyFill="1" applyBorder="1" applyAlignment="1">
      <alignment horizontal="center" vertical="center" wrapText="1"/>
    </xf>
    <xf numFmtId="165" fontId="12" fillId="4" borderId="29" xfId="0" applyNumberFormat="1" applyFont="1" applyFill="1" applyBorder="1" applyAlignment="1">
      <alignment horizontal="center" vertical="center" wrapText="1"/>
    </xf>
    <xf numFmtId="165" fontId="12" fillId="4" borderId="21" xfId="0" applyNumberFormat="1" applyFont="1" applyFill="1" applyBorder="1" applyAlignment="1">
      <alignment horizontal="center" vertical="center" wrapText="1"/>
    </xf>
    <xf numFmtId="165" fontId="12" fillId="4" borderId="22" xfId="0" applyNumberFormat="1" applyFont="1" applyFill="1" applyBorder="1" applyAlignment="1">
      <alignment horizontal="center" vertical="center" wrapText="1"/>
    </xf>
    <xf numFmtId="165" fontId="12" fillId="4" borderId="20" xfId="0" applyNumberFormat="1" applyFont="1" applyFill="1" applyBorder="1" applyAlignment="1">
      <alignment horizontal="center" vertical="center" wrapText="1"/>
    </xf>
    <xf numFmtId="165" fontId="12" fillId="4" borderId="24" xfId="0" applyNumberFormat="1" applyFont="1" applyFill="1" applyBorder="1" applyAlignment="1">
      <alignment horizontal="center" vertical="center" wrapText="1"/>
    </xf>
    <xf numFmtId="10" fontId="12" fillId="4" borderId="21" xfId="0" applyNumberFormat="1" applyFont="1" applyFill="1" applyBorder="1" applyAlignment="1">
      <alignment horizontal="center" vertical="center" wrapText="1"/>
    </xf>
    <xf numFmtId="10" fontId="12" fillId="4" borderId="22" xfId="0" applyNumberFormat="1" applyFont="1" applyFill="1" applyBorder="1" applyAlignment="1">
      <alignment horizontal="center" vertical="center" wrapText="1"/>
    </xf>
    <xf numFmtId="10" fontId="12" fillId="4" borderId="20" xfId="0" applyNumberFormat="1" applyFont="1" applyFill="1" applyBorder="1" applyAlignment="1">
      <alignment horizontal="center" vertical="center" wrapText="1"/>
    </xf>
    <xf numFmtId="10" fontId="12" fillId="4" borderId="24" xfId="0" applyNumberFormat="1" applyFont="1" applyFill="1" applyBorder="1" applyAlignment="1">
      <alignment horizontal="center" vertical="center" wrapText="1"/>
    </xf>
    <xf numFmtId="165" fontId="8" fillId="4" borderId="19" xfId="0" applyNumberFormat="1" applyFont="1" applyFill="1" applyBorder="1" applyAlignment="1">
      <alignment horizontal="center" vertical="center" wrapText="1"/>
    </xf>
    <xf numFmtId="165" fontId="8" fillId="4" borderId="25" xfId="0" applyNumberFormat="1" applyFont="1" applyFill="1" applyBorder="1" applyAlignment="1">
      <alignment horizontal="center" vertical="center" wrapText="1"/>
    </xf>
    <xf numFmtId="165" fontId="8" fillId="4" borderId="26" xfId="0" applyNumberFormat="1" applyFont="1" applyFill="1" applyBorder="1" applyAlignment="1">
      <alignment horizontal="center" vertical="center" wrapText="1"/>
    </xf>
    <xf numFmtId="165" fontId="8" fillId="4" borderId="27" xfId="0" applyNumberFormat="1" applyFont="1" applyFill="1" applyBorder="1" applyAlignment="1">
      <alignment horizontal="center" vertical="center" wrapText="1"/>
    </xf>
    <xf numFmtId="10" fontId="8" fillId="4" borderId="19" xfId="0" applyNumberFormat="1" applyFont="1" applyFill="1" applyBorder="1" applyAlignment="1">
      <alignment horizontal="center" vertical="center" wrapText="1"/>
    </xf>
    <xf numFmtId="10" fontId="8" fillId="4" borderId="25" xfId="0" applyNumberFormat="1" applyFont="1" applyFill="1" applyBorder="1" applyAlignment="1">
      <alignment horizontal="center" vertical="center" wrapText="1"/>
    </xf>
    <xf numFmtId="10" fontId="8" fillId="4" borderId="26" xfId="0" applyNumberFormat="1" applyFont="1" applyFill="1" applyBorder="1" applyAlignment="1">
      <alignment horizontal="center" vertical="center" wrapText="1"/>
    </xf>
    <xf numFmtId="10" fontId="8" fillId="4" borderId="27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/>
    </xf>
    <xf numFmtId="2" fontId="35" fillId="0" borderId="0" xfId="0" applyNumberFormat="1" applyFont="1"/>
  </cellXfs>
  <cellStyles count="3">
    <cellStyle name="Excel_BuiltIn_Нейтральный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3;&#1080;&#1084;&#1087;/&#1056;&#1086;&#1079;&#1088;&#1072;&#1093;&#1091;&#1085;&#1086;&#1082;%20&#1091;&#1090;&#1088;&#1080;&#1084;%20&#1090;&#1077;&#1088;&#1080;&#1090;%20&#1091;&#1079;&#1073;&#1077;&#1088;&#1077;&#1078;&#1078;&#1103;%20%202022%20%20&#1090;&#1072;%20&#1060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264279"/>
      <sheetName val="Утримання територій"/>
      <sheetName val="Амброзія"/>
      <sheetName val="Ам міс"/>
      <sheetName val="растения"/>
      <sheetName val="растміс"/>
      <sheetName val="пляж"/>
      <sheetName val="води"/>
      <sheetName val="тех паспорти"/>
      <sheetName val="ТПпоміс"/>
      <sheetName val="тварини"/>
      <sheetName val="тварпоміс"/>
      <sheetName val="ФЗП новое"/>
      <sheetName val="ФП"/>
      <sheetName val="фзп хоз"/>
      <sheetName val="утрим хоз"/>
      <sheetName val="витрпайові"/>
      <sheetName val="ПММ"/>
      <sheetName val="послуги"/>
    </sheetNames>
    <sheetDataSet>
      <sheetData sheetId="0"/>
      <sheetData sheetId="1">
        <row r="12">
          <cell r="J12">
            <v>6618866</v>
          </cell>
        </row>
        <row r="13">
          <cell r="J13">
            <v>1980222</v>
          </cell>
        </row>
        <row r="14">
          <cell r="J14">
            <v>4207971</v>
          </cell>
        </row>
        <row r="15">
          <cell r="J15">
            <v>430673</v>
          </cell>
        </row>
        <row r="16">
          <cell r="J16">
            <v>1456150.9978000002</v>
          </cell>
        </row>
        <row r="188">
          <cell r="J188">
            <v>84939</v>
          </cell>
        </row>
        <row r="201">
          <cell r="J201">
            <v>66735.999960000001</v>
          </cell>
        </row>
        <row r="209">
          <cell r="I209">
            <v>72.22</v>
          </cell>
        </row>
        <row r="210">
          <cell r="J210">
            <v>9264279.0010099988</v>
          </cell>
          <cell r="K210">
            <v>727540.99996666668</v>
          </cell>
          <cell r="L210">
            <v>1128985.0015916666</v>
          </cell>
          <cell r="M210">
            <v>935374.99996666668</v>
          </cell>
          <cell r="N210">
            <v>763077.99996666668</v>
          </cell>
          <cell r="O210">
            <v>735369.99996666668</v>
          </cell>
          <cell r="P210">
            <v>675933.99996666668</v>
          </cell>
          <cell r="Q210">
            <v>660471.99996666668</v>
          </cell>
          <cell r="R210">
            <v>681015.99996666668</v>
          </cell>
          <cell r="S210">
            <v>660471.99996666668</v>
          </cell>
          <cell r="T210">
            <v>952695.00159166672</v>
          </cell>
          <cell r="U210">
            <v>667870.99996666668</v>
          </cell>
          <cell r="V210">
            <v>675469.99992666673</v>
          </cell>
        </row>
      </sheetData>
      <sheetData sheetId="2">
        <row r="57">
          <cell r="G57">
            <v>56266</v>
          </cell>
        </row>
      </sheetData>
      <sheetData sheetId="3"/>
      <sheetData sheetId="4">
        <row r="10">
          <cell r="G10">
            <v>66550</v>
          </cell>
        </row>
        <row r="14">
          <cell r="G14">
            <v>11000</v>
          </cell>
        </row>
        <row r="16">
          <cell r="G16">
            <v>15780</v>
          </cell>
        </row>
        <row r="19">
          <cell r="G19">
            <v>59409</v>
          </cell>
        </row>
        <row r="34">
          <cell r="G34">
            <v>152739</v>
          </cell>
        </row>
      </sheetData>
      <sheetData sheetId="5"/>
      <sheetData sheetId="6"/>
      <sheetData sheetId="7">
        <row r="36">
          <cell r="H36">
            <v>0</v>
          </cell>
        </row>
        <row r="50">
          <cell r="H50">
            <v>9800.0000000000018</v>
          </cell>
        </row>
      </sheetData>
      <sheetData sheetId="8">
        <row r="55">
          <cell r="F55">
            <v>81220</v>
          </cell>
        </row>
      </sheetData>
      <sheetData sheetId="9"/>
      <sheetData sheetId="10">
        <row r="37">
          <cell r="H37">
            <v>0</v>
          </cell>
        </row>
        <row r="51">
          <cell r="H51">
            <v>49677</v>
          </cell>
        </row>
      </sheetData>
      <sheetData sheetId="11"/>
      <sheetData sheetId="12"/>
      <sheetData sheetId="13"/>
      <sheetData sheetId="14">
        <row r="24">
          <cell r="T24">
            <v>169007.52</v>
          </cell>
        </row>
        <row r="26">
          <cell r="T26">
            <v>37181.654399999999</v>
          </cell>
        </row>
      </sheetData>
      <sheetData sheetId="15">
        <row r="12">
          <cell r="J12">
            <v>137883</v>
          </cell>
        </row>
        <row r="16">
          <cell r="J16">
            <v>30336</v>
          </cell>
        </row>
        <row r="18">
          <cell r="J18">
            <v>12264</v>
          </cell>
        </row>
        <row r="77">
          <cell r="J77">
            <v>180483</v>
          </cell>
        </row>
      </sheetData>
      <sheetData sheetId="16">
        <row r="12">
          <cell r="J12">
            <v>31126</v>
          </cell>
        </row>
        <row r="16">
          <cell r="J16">
            <v>6848</v>
          </cell>
        </row>
        <row r="72">
          <cell r="J72">
            <v>123930.00000000001</v>
          </cell>
        </row>
        <row r="73">
          <cell r="J73">
            <v>261318</v>
          </cell>
        </row>
      </sheetData>
      <sheetData sheetId="17"/>
      <sheetData sheetId="18">
        <row r="9">
          <cell r="F9">
            <v>18810</v>
          </cell>
        </row>
        <row r="11">
          <cell r="F11">
            <v>19564.32</v>
          </cell>
        </row>
        <row r="21">
          <cell r="G21">
            <v>180483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2"/>
  <sheetViews>
    <sheetView topLeftCell="A21" workbookViewId="0">
      <selection activeCell="G86" sqref="G86"/>
    </sheetView>
  </sheetViews>
  <sheetFormatPr defaultRowHeight="15" x14ac:dyDescent="0.25"/>
  <cols>
    <col min="1" max="1" width="35" customWidth="1"/>
    <col min="2" max="2" width="5.28515625" customWidth="1"/>
    <col min="3" max="3" width="9.85546875" customWidth="1"/>
    <col min="5" max="5" width="10" style="2" customWidth="1"/>
    <col min="6" max="6" width="9.42578125" style="2" bestFit="1" customWidth="1"/>
    <col min="7" max="7" width="10.42578125" style="2" bestFit="1" customWidth="1"/>
    <col min="8" max="8" width="9.42578125" style="2" bestFit="1" customWidth="1"/>
    <col min="9" max="9" width="12.42578125" style="2" customWidth="1"/>
    <col min="10" max="10" width="14" style="133" hidden="1" customWidth="1"/>
    <col min="11" max="11" width="14.42578125" style="5" hidden="1" customWidth="1"/>
    <col min="12" max="12" width="16.5703125" hidden="1" customWidth="1"/>
    <col min="13" max="13" width="13.5703125" hidden="1" customWidth="1"/>
    <col min="14" max="14" width="12.140625" hidden="1" customWidth="1"/>
    <col min="15" max="15" width="16.42578125" hidden="1" customWidth="1"/>
    <col min="17" max="17" width="9.5703125" customWidth="1"/>
    <col min="257" max="257" width="35" customWidth="1"/>
    <col min="258" max="258" width="5.28515625" customWidth="1"/>
    <col min="259" max="259" width="5.85546875" customWidth="1"/>
    <col min="261" max="261" width="10" customWidth="1"/>
    <col min="265" max="265" width="12.42578125" customWidth="1"/>
    <col min="266" max="271" width="0" hidden="1" customWidth="1"/>
    <col min="273" max="273" width="9.5703125" customWidth="1"/>
    <col min="513" max="513" width="35" customWidth="1"/>
    <col min="514" max="514" width="5.28515625" customWidth="1"/>
    <col min="515" max="515" width="5.85546875" customWidth="1"/>
    <col min="517" max="517" width="10" customWidth="1"/>
    <col min="521" max="521" width="12.42578125" customWidth="1"/>
    <col min="522" max="527" width="0" hidden="1" customWidth="1"/>
    <col min="529" max="529" width="9.5703125" customWidth="1"/>
    <col min="769" max="769" width="35" customWidth="1"/>
    <col min="770" max="770" width="5.28515625" customWidth="1"/>
    <col min="771" max="771" width="5.85546875" customWidth="1"/>
    <col min="773" max="773" width="10" customWidth="1"/>
    <col min="777" max="777" width="12.42578125" customWidth="1"/>
    <col min="778" max="783" width="0" hidden="1" customWidth="1"/>
    <col min="785" max="785" width="9.5703125" customWidth="1"/>
    <col min="1025" max="1025" width="35" customWidth="1"/>
    <col min="1026" max="1026" width="5.28515625" customWidth="1"/>
    <col min="1027" max="1027" width="5.85546875" customWidth="1"/>
    <col min="1029" max="1029" width="10" customWidth="1"/>
    <col min="1033" max="1033" width="12.42578125" customWidth="1"/>
    <col min="1034" max="1039" width="0" hidden="1" customWidth="1"/>
    <col min="1041" max="1041" width="9.5703125" customWidth="1"/>
    <col min="1281" max="1281" width="35" customWidth="1"/>
    <col min="1282" max="1282" width="5.28515625" customWidth="1"/>
    <col min="1283" max="1283" width="5.85546875" customWidth="1"/>
    <col min="1285" max="1285" width="10" customWidth="1"/>
    <col min="1289" max="1289" width="12.42578125" customWidth="1"/>
    <col min="1290" max="1295" width="0" hidden="1" customWidth="1"/>
    <col min="1297" max="1297" width="9.5703125" customWidth="1"/>
    <col min="1537" max="1537" width="35" customWidth="1"/>
    <col min="1538" max="1538" width="5.28515625" customWidth="1"/>
    <col min="1539" max="1539" width="5.85546875" customWidth="1"/>
    <col min="1541" max="1541" width="10" customWidth="1"/>
    <col min="1545" max="1545" width="12.42578125" customWidth="1"/>
    <col min="1546" max="1551" width="0" hidden="1" customWidth="1"/>
    <col min="1553" max="1553" width="9.5703125" customWidth="1"/>
    <col min="1793" max="1793" width="35" customWidth="1"/>
    <col min="1794" max="1794" width="5.28515625" customWidth="1"/>
    <col min="1795" max="1795" width="5.85546875" customWidth="1"/>
    <col min="1797" max="1797" width="10" customWidth="1"/>
    <col min="1801" max="1801" width="12.42578125" customWidth="1"/>
    <col min="1802" max="1807" width="0" hidden="1" customWidth="1"/>
    <col min="1809" max="1809" width="9.5703125" customWidth="1"/>
    <col min="2049" max="2049" width="35" customWidth="1"/>
    <col min="2050" max="2050" width="5.28515625" customWidth="1"/>
    <col min="2051" max="2051" width="5.85546875" customWidth="1"/>
    <col min="2053" max="2053" width="10" customWidth="1"/>
    <col min="2057" max="2057" width="12.42578125" customWidth="1"/>
    <col min="2058" max="2063" width="0" hidden="1" customWidth="1"/>
    <col min="2065" max="2065" width="9.5703125" customWidth="1"/>
    <col min="2305" max="2305" width="35" customWidth="1"/>
    <col min="2306" max="2306" width="5.28515625" customWidth="1"/>
    <col min="2307" max="2307" width="5.85546875" customWidth="1"/>
    <col min="2309" max="2309" width="10" customWidth="1"/>
    <col min="2313" max="2313" width="12.42578125" customWidth="1"/>
    <col min="2314" max="2319" width="0" hidden="1" customWidth="1"/>
    <col min="2321" max="2321" width="9.5703125" customWidth="1"/>
    <col min="2561" max="2561" width="35" customWidth="1"/>
    <col min="2562" max="2562" width="5.28515625" customWidth="1"/>
    <col min="2563" max="2563" width="5.85546875" customWidth="1"/>
    <col min="2565" max="2565" width="10" customWidth="1"/>
    <col min="2569" max="2569" width="12.42578125" customWidth="1"/>
    <col min="2570" max="2575" width="0" hidden="1" customWidth="1"/>
    <col min="2577" max="2577" width="9.5703125" customWidth="1"/>
    <col min="2817" max="2817" width="35" customWidth="1"/>
    <col min="2818" max="2818" width="5.28515625" customWidth="1"/>
    <col min="2819" max="2819" width="5.85546875" customWidth="1"/>
    <col min="2821" max="2821" width="10" customWidth="1"/>
    <col min="2825" max="2825" width="12.42578125" customWidth="1"/>
    <col min="2826" max="2831" width="0" hidden="1" customWidth="1"/>
    <col min="2833" max="2833" width="9.5703125" customWidth="1"/>
    <col min="3073" max="3073" width="35" customWidth="1"/>
    <col min="3074" max="3074" width="5.28515625" customWidth="1"/>
    <col min="3075" max="3075" width="5.85546875" customWidth="1"/>
    <col min="3077" max="3077" width="10" customWidth="1"/>
    <col min="3081" max="3081" width="12.42578125" customWidth="1"/>
    <col min="3082" max="3087" width="0" hidden="1" customWidth="1"/>
    <col min="3089" max="3089" width="9.5703125" customWidth="1"/>
    <col min="3329" max="3329" width="35" customWidth="1"/>
    <col min="3330" max="3330" width="5.28515625" customWidth="1"/>
    <col min="3331" max="3331" width="5.85546875" customWidth="1"/>
    <col min="3333" max="3333" width="10" customWidth="1"/>
    <col min="3337" max="3337" width="12.42578125" customWidth="1"/>
    <col min="3338" max="3343" width="0" hidden="1" customWidth="1"/>
    <col min="3345" max="3345" width="9.5703125" customWidth="1"/>
    <col min="3585" max="3585" width="35" customWidth="1"/>
    <col min="3586" max="3586" width="5.28515625" customWidth="1"/>
    <col min="3587" max="3587" width="5.85546875" customWidth="1"/>
    <col min="3589" max="3589" width="10" customWidth="1"/>
    <col min="3593" max="3593" width="12.42578125" customWidth="1"/>
    <col min="3594" max="3599" width="0" hidden="1" customWidth="1"/>
    <col min="3601" max="3601" width="9.5703125" customWidth="1"/>
    <col min="3841" max="3841" width="35" customWidth="1"/>
    <col min="3842" max="3842" width="5.28515625" customWidth="1"/>
    <col min="3843" max="3843" width="5.85546875" customWidth="1"/>
    <col min="3845" max="3845" width="10" customWidth="1"/>
    <col min="3849" max="3849" width="12.42578125" customWidth="1"/>
    <col min="3850" max="3855" width="0" hidden="1" customWidth="1"/>
    <col min="3857" max="3857" width="9.5703125" customWidth="1"/>
    <col min="4097" max="4097" width="35" customWidth="1"/>
    <col min="4098" max="4098" width="5.28515625" customWidth="1"/>
    <col min="4099" max="4099" width="5.85546875" customWidth="1"/>
    <col min="4101" max="4101" width="10" customWidth="1"/>
    <col min="4105" max="4105" width="12.42578125" customWidth="1"/>
    <col min="4106" max="4111" width="0" hidden="1" customWidth="1"/>
    <col min="4113" max="4113" width="9.5703125" customWidth="1"/>
    <col min="4353" max="4353" width="35" customWidth="1"/>
    <col min="4354" max="4354" width="5.28515625" customWidth="1"/>
    <col min="4355" max="4355" width="5.85546875" customWidth="1"/>
    <col min="4357" max="4357" width="10" customWidth="1"/>
    <col min="4361" max="4361" width="12.42578125" customWidth="1"/>
    <col min="4362" max="4367" width="0" hidden="1" customWidth="1"/>
    <col min="4369" max="4369" width="9.5703125" customWidth="1"/>
    <col min="4609" max="4609" width="35" customWidth="1"/>
    <col min="4610" max="4610" width="5.28515625" customWidth="1"/>
    <col min="4611" max="4611" width="5.85546875" customWidth="1"/>
    <col min="4613" max="4613" width="10" customWidth="1"/>
    <col min="4617" max="4617" width="12.42578125" customWidth="1"/>
    <col min="4618" max="4623" width="0" hidden="1" customWidth="1"/>
    <col min="4625" max="4625" width="9.5703125" customWidth="1"/>
    <col min="4865" max="4865" width="35" customWidth="1"/>
    <col min="4866" max="4866" width="5.28515625" customWidth="1"/>
    <col min="4867" max="4867" width="5.85546875" customWidth="1"/>
    <col min="4869" max="4869" width="10" customWidth="1"/>
    <col min="4873" max="4873" width="12.42578125" customWidth="1"/>
    <col min="4874" max="4879" width="0" hidden="1" customWidth="1"/>
    <col min="4881" max="4881" width="9.5703125" customWidth="1"/>
    <col min="5121" max="5121" width="35" customWidth="1"/>
    <col min="5122" max="5122" width="5.28515625" customWidth="1"/>
    <col min="5123" max="5123" width="5.85546875" customWidth="1"/>
    <col min="5125" max="5125" width="10" customWidth="1"/>
    <col min="5129" max="5129" width="12.42578125" customWidth="1"/>
    <col min="5130" max="5135" width="0" hidden="1" customWidth="1"/>
    <col min="5137" max="5137" width="9.5703125" customWidth="1"/>
    <col min="5377" max="5377" width="35" customWidth="1"/>
    <col min="5378" max="5378" width="5.28515625" customWidth="1"/>
    <col min="5379" max="5379" width="5.85546875" customWidth="1"/>
    <col min="5381" max="5381" width="10" customWidth="1"/>
    <col min="5385" max="5385" width="12.42578125" customWidth="1"/>
    <col min="5386" max="5391" width="0" hidden="1" customWidth="1"/>
    <col min="5393" max="5393" width="9.5703125" customWidth="1"/>
    <col min="5633" max="5633" width="35" customWidth="1"/>
    <col min="5634" max="5634" width="5.28515625" customWidth="1"/>
    <col min="5635" max="5635" width="5.85546875" customWidth="1"/>
    <col min="5637" max="5637" width="10" customWidth="1"/>
    <col min="5641" max="5641" width="12.42578125" customWidth="1"/>
    <col min="5642" max="5647" width="0" hidden="1" customWidth="1"/>
    <col min="5649" max="5649" width="9.5703125" customWidth="1"/>
    <col min="5889" max="5889" width="35" customWidth="1"/>
    <col min="5890" max="5890" width="5.28515625" customWidth="1"/>
    <col min="5891" max="5891" width="5.85546875" customWidth="1"/>
    <col min="5893" max="5893" width="10" customWidth="1"/>
    <col min="5897" max="5897" width="12.42578125" customWidth="1"/>
    <col min="5898" max="5903" width="0" hidden="1" customWidth="1"/>
    <col min="5905" max="5905" width="9.5703125" customWidth="1"/>
    <col min="6145" max="6145" width="35" customWidth="1"/>
    <col min="6146" max="6146" width="5.28515625" customWidth="1"/>
    <col min="6147" max="6147" width="5.85546875" customWidth="1"/>
    <col min="6149" max="6149" width="10" customWidth="1"/>
    <col min="6153" max="6153" width="12.42578125" customWidth="1"/>
    <col min="6154" max="6159" width="0" hidden="1" customWidth="1"/>
    <col min="6161" max="6161" width="9.5703125" customWidth="1"/>
    <col min="6401" max="6401" width="35" customWidth="1"/>
    <col min="6402" max="6402" width="5.28515625" customWidth="1"/>
    <col min="6403" max="6403" width="5.85546875" customWidth="1"/>
    <col min="6405" max="6405" width="10" customWidth="1"/>
    <col min="6409" max="6409" width="12.42578125" customWidth="1"/>
    <col min="6410" max="6415" width="0" hidden="1" customWidth="1"/>
    <col min="6417" max="6417" width="9.5703125" customWidth="1"/>
    <col min="6657" max="6657" width="35" customWidth="1"/>
    <col min="6658" max="6658" width="5.28515625" customWidth="1"/>
    <col min="6659" max="6659" width="5.85546875" customWidth="1"/>
    <col min="6661" max="6661" width="10" customWidth="1"/>
    <col min="6665" max="6665" width="12.42578125" customWidth="1"/>
    <col min="6666" max="6671" width="0" hidden="1" customWidth="1"/>
    <col min="6673" max="6673" width="9.5703125" customWidth="1"/>
    <col min="6913" max="6913" width="35" customWidth="1"/>
    <col min="6914" max="6914" width="5.28515625" customWidth="1"/>
    <col min="6915" max="6915" width="5.85546875" customWidth="1"/>
    <col min="6917" max="6917" width="10" customWidth="1"/>
    <col min="6921" max="6921" width="12.42578125" customWidth="1"/>
    <col min="6922" max="6927" width="0" hidden="1" customWidth="1"/>
    <col min="6929" max="6929" width="9.5703125" customWidth="1"/>
    <col min="7169" max="7169" width="35" customWidth="1"/>
    <col min="7170" max="7170" width="5.28515625" customWidth="1"/>
    <col min="7171" max="7171" width="5.85546875" customWidth="1"/>
    <col min="7173" max="7173" width="10" customWidth="1"/>
    <col min="7177" max="7177" width="12.42578125" customWidth="1"/>
    <col min="7178" max="7183" width="0" hidden="1" customWidth="1"/>
    <col min="7185" max="7185" width="9.5703125" customWidth="1"/>
    <col min="7425" max="7425" width="35" customWidth="1"/>
    <col min="7426" max="7426" width="5.28515625" customWidth="1"/>
    <col min="7427" max="7427" width="5.85546875" customWidth="1"/>
    <col min="7429" max="7429" width="10" customWidth="1"/>
    <col min="7433" max="7433" width="12.42578125" customWidth="1"/>
    <col min="7434" max="7439" width="0" hidden="1" customWidth="1"/>
    <col min="7441" max="7441" width="9.5703125" customWidth="1"/>
    <col min="7681" max="7681" width="35" customWidth="1"/>
    <col min="7682" max="7682" width="5.28515625" customWidth="1"/>
    <col min="7683" max="7683" width="5.85546875" customWidth="1"/>
    <col min="7685" max="7685" width="10" customWidth="1"/>
    <col min="7689" max="7689" width="12.42578125" customWidth="1"/>
    <col min="7690" max="7695" width="0" hidden="1" customWidth="1"/>
    <col min="7697" max="7697" width="9.5703125" customWidth="1"/>
    <col min="7937" max="7937" width="35" customWidth="1"/>
    <col min="7938" max="7938" width="5.28515625" customWidth="1"/>
    <col min="7939" max="7939" width="5.85546875" customWidth="1"/>
    <col min="7941" max="7941" width="10" customWidth="1"/>
    <col min="7945" max="7945" width="12.42578125" customWidth="1"/>
    <col min="7946" max="7951" width="0" hidden="1" customWidth="1"/>
    <col min="7953" max="7953" width="9.5703125" customWidth="1"/>
    <col min="8193" max="8193" width="35" customWidth="1"/>
    <col min="8194" max="8194" width="5.28515625" customWidth="1"/>
    <col min="8195" max="8195" width="5.85546875" customWidth="1"/>
    <col min="8197" max="8197" width="10" customWidth="1"/>
    <col min="8201" max="8201" width="12.42578125" customWidth="1"/>
    <col min="8202" max="8207" width="0" hidden="1" customWidth="1"/>
    <col min="8209" max="8209" width="9.5703125" customWidth="1"/>
    <col min="8449" max="8449" width="35" customWidth="1"/>
    <col min="8450" max="8450" width="5.28515625" customWidth="1"/>
    <col min="8451" max="8451" width="5.85546875" customWidth="1"/>
    <col min="8453" max="8453" width="10" customWidth="1"/>
    <col min="8457" max="8457" width="12.42578125" customWidth="1"/>
    <col min="8458" max="8463" width="0" hidden="1" customWidth="1"/>
    <col min="8465" max="8465" width="9.5703125" customWidth="1"/>
    <col min="8705" max="8705" width="35" customWidth="1"/>
    <col min="8706" max="8706" width="5.28515625" customWidth="1"/>
    <col min="8707" max="8707" width="5.85546875" customWidth="1"/>
    <col min="8709" max="8709" width="10" customWidth="1"/>
    <col min="8713" max="8713" width="12.42578125" customWidth="1"/>
    <col min="8714" max="8719" width="0" hidden="1" customWidth="1"/>
    <col min="8721" max="8721" width="9.5703125" customWidth="1"/>
    <col min="8961" max="8961" width="35" customWidth="1"/>
    <col min="8962" max="8962" width="5.28515625" customWidth="1"/>
    <col min="8963" max="8963" width="5.85546875" customWidth="1"/>
    <col min="8965" max="8965" width="10" customWidth="1"/>
    <col min="8969" max="8969" width="12.42578125" customWidth="1"/>
    <col min="8970" max="8975" width="0" hidden="1" customWidth="1"/>
    <col min="8977" max="8977" width="9.5703125" customWidth="1"/>
    <col min="9217" max="9217" width="35" customWidth="1"/>
    <col min="9218" max="9218" width="5.28515625" customWidth="1"/>
    <col min="9219" max="9219" width="5.85546875" customWidth="1"/>
    <col min="9221" max="9221" width="10" customWidth="1"/>
    <col min="9225" max="9225" width="12.42578125" customWidth="1"/>
    <col min="9226" max="9231" width="0" hidden="1" customWidth="1"/>
    <col min="9233" max="9233" width="9.5703125" customWidth="1"/>
    <col min="9473" max="9473" width="35" customWidth="1"/>
    <col min="9474" max="9474" width="5.28515625" customWidth="1"/>
    <col min="9475" max="9475" width="5.85546875" customWidth="1"/>
    <col min="9477" max="9477" width="10" customWidth="1"/>
    <col min="9481" max="9481" width="12.42578125" customWidth="1"/>
    <col min="9482" max="9487" width="0" hidden="1" customWidth="1"/>
    <col min="9489" max="9489" width="9.5703125" customWidth="1"/>
    <col min="9729" max="9729" width="35" customWidth="1"/>
    <col min="9730" max="9730" width="5.28515625" customWidth="1"/>
    <col min="9731" max="9731" width="5.85546875" customWidth="1"/>
    <col min="9733" max="9733" width="10" customWidth="1"/>
    <col min="9737" max="9737" width="12.42578125" customWidth="1"/>
    <col min="9738" max="9743" width="0" hidden="1" customWidth="1"/>
    <col min="9745" max="9745" width="9.5703125" customWidth="1"/>
    <col min="9985" max="9985" width="35" customWidth="1"/>
    <col min="9986" max="9986" width="5.28515625" customWidth="1"/>
    <col min="9987" max="9987" width="5.85546875" customWidth="1"/>
    <col min="9989" max="9989" width="10" customWidth="1"/>
    <col min="9993" max="9993" width="12.42578125" customWidth="1"/>
    <col min="9994" max="9999" width="0" hidden="1" customWidth="1"/>
    <col min="10001" max="10001" width="9.5703125" customWidth="1"/>
    <col min="10241" max="10241" width="35" customWidth="1"/>
    <col min="10242" max="10242" width="5.28515625" customWidth="1"/>
    <col min="10243" max="10243" width="5.85546875" customWidth="1"/>
    <col min="10245" max="10245" width="10" customWidth="1"/>
    <col min="10249" max="10249" width="12.42578125" customWidth="1"/>
    <col min="10250" max="10255" width="0" hidden="1" customWidth="1"/>
    <col min="10257" max="10257" width="9.5703125" customWidth="1"/>
    <col min="10497" max="10497" width="35" customWidth="1"/>
    <col min="10498" max="10498" width="5.28515625" customWidth="1"/>
    <col min="10499" max="10499" width="5.85546875" customWidth="1"/>
    <col min="10501" max="10501" width="10" customWidth="1"/>
    <col min="10505" max="10505" width="12.42578125" customWidth="1"/>
    <col min="10506" max="10511" width="0" hidden="1" customWidth="1"/>
    <col min="10513" max="10513" width="9.5703125" customWidth="1"/>
    <col min="10753" max="10753" width="35" customWidth="1"/>
    <col min="10754" max="10754" width="5.28515625" customWidth="1"/>
    <col min="10755" max="10755" width="5.85546875" customWidth="1"/>
    <col min="10757" max="10757" width="10" customWidth="1"/>
    <col min="10761" max="10761" width="12.42578125" customWidth="1"/>
    <col min="10762" max="10767" width="0" hidden="1" customWidth="1"/>
    <col min="10769" max="10769" width="9.5703125" customWidth="1"/>
    <col min="11009" max="11009" width="35" customWidth="1"/>
    <col min="11010" max="11010" width="5.28515625" customWidth="1"/>
    <col min="11011" max="11011" width="5.85546875" customWidth="1"/>
    <col min="11013" max="11013" width="10" customWidth="1"/>
    <col min="11017" max="11017" width="12.42578125" customWidth="1"/>
    <col min="11018" max="11023" width="0" hidden="1" customWidth="1"/>
    <col min="11025" max="11025" width="9.5703125" customWidth="1"/>
    <col min="11265" max="11265" width="35" customWidth="1"/>
    <col min="11266" max="11266" width="5.28515625" customWidth="1"/>
    <col min="11267" max="11267" width="5.85546875" customWidth="1"/>
    <col min="11269" max="11269" width="10" customWidth="1"/>
    <col min="11273" max="11273" width="12.42578125" customWidth="1"/>
    <col min="11274" max="11279" width="0" hidden="1" customWidth="1"/>
    <col min="11281" max="11281" width="9.5703125" customWidth="1"/>
    <col min="11521" max="11521" width="35" customWidth="1"/>
    <col min="11522" max="11522" width="5.28515625" customWidth="1"/>
    <col min="11523" max="11523" width="5.85546875" customWidth="1"/>
    <col min="11525" max="11525" width="10" customWidth="1"/>
    <col min="11529" max="11529" width="12.42578125" customWidth="1"/>
    <col min="11530" max="11535" width="0" hidden="1" customWidth="1"/>
    <col min="11537" max="11537" width="9.5703125" customWidth="1"/>
    <col min="11777" max="11777" width="35" customWidth="1"/>
    <col min="11778" max="11778" width="5.28515625" customWidth="1"/>
    <col min="11779" max="11779" width="5.85546875" customWidth="1"/>
    <col min="11781" max="11781" width="10" customWidth="1"/>
    <col min="11785" max="11785" width="12.42578125" customWidth="1"/>
    <col min="11786" max="11791" width="0" hidden="1" customWidth="1"/>
    <col min="11793" max="11793" width="9.5703125" customWidth="1"/>
    <col min="12033" max="12033" width="35" customWidth="1"/>
    <col min="12034" max="12034" width="5.28515625" customWidth="1"/>
    <col min="12035" max="12035" width="5.85546875" customWidth="1"/>
    <col min="12037" max="12037" width="10" customWidth="1"/>
    <col min="12041" max="12041" width="12.42578125" customWidth="1"/>
    <col min="12042" max="12047" width="0" hidden="1" customWidth="1"/>
    <col min="12049" max="12049" width="9.5703125" customWidth="1"/>
    <col min="12289" max="12289" width="35" customWidth="1"/>
    <col min="12290" max="12290" width="5.28515625" customWidth="1"/>
    <col min="12291" max="12291" width="5.85546875" customWidth="1"/>
    <col min="12293" max="12293" width="10" customWidth="1"/>
    <col min="12297" max="12297" width="12.42578125" customWidth="1"/>
    <col min="12298" max="12303" width="0" hidden="1" customWidth="1"/>
    <col min="12305" max="12305" width="9.5703125" customWidth="1"/>
    <col min="12545" max="12545" width="35" customWidth="1"/>
    <col min="12546" max="12546" width="5.28515625" customWidth="1"/>
    <col min="12547" max="12547" width="5.85546875" customWidth="1"/>
    <col min="12549" max="12549" width="10" customWidth="1"/>
    <col min="12553" max="12553" width="12.42578125" customWidth="1"/>
    <col min="12554" max="12559" width="0" hidden="1" customWidth="1"/>
    <col min="12561" max="12561" width="9.5703125" customWidth="1"/>
    <col min="12801" max="12801" width="35" customWidth="1"/>
    <col min="12802" max="12802" width="5.28515625" customWidth="1"/>
    <col min="12803" max="12803" width="5.85546875" customWidth="1"/>
    <col min="12805" max="12805" width="10" customWidth="1"/>
    <col min="12809" max="12809" width="12.42578125" customWidth="1"/>
    <col min="12810" max="12815" width="0" hidden="1" customWidth="1"/>
    <col min="12817" max="12817" width="9.5703125" customWidth="1"/>
    <col min="13057" max="13057" width="35" customWidth="1"/>
    <col min="13058" max="13058" width="5.28515625" customWidth="1"/>
    <col min="13059" max="13059" width="5.85546875" customWidth="1"/>
    <col min="13061" max="13061" width="10" customWidth="1"/>
    <col min="13065" max="13065" width="12.42578125" customWidth="1"/>
    <col min="13066" max="13071" width="0" hidden="1" customWidth="1"/>
    <col min="13073" max="13073" width="9.5703125" customWidth="1"/>
    <col min="13313" max="13313" width="35" customWidth="1"/>
    <col min="13314" max="13314" width="5.28515625" customWidth="1"/>
    <col min="13315" max="13315" width="5.85546875" customWidth="1"/>
    <col min="13317" max="13317" width="10" customWidth="1"/>
    <col min="13321" max="13321" width="12.42578125" customWidth="1"/>
    <col min="13322" max="13327" width="0" hidden="1" customWidth="1"/>
    <col min="13329" max="13329" width="9.5703125" customWidth="1"/>
    <col min="13569" max="13569" width="35" customWidth="1"/>
    <col min="13570" max="13570" width="5.28515625" customWidth="1"/>
    <col min="13571" max="13571" width="5.85546875" customWidth="1"/>
    <col min="13573" max="13573" width="10" customWidth="1"/>
    <col min="13577" max="13577" width="12.42578125" customWidth="1"/>
    <col min="13578" max="13583" width="0" hidden="1" customWidth="1"/>
    <col min="13585" max="13585" width="9.5703125" customWidth="1"/>
    <col min="13825" max="13825" width="35" customWidth="1"/>
    <col min="13826" max="13826" width="5.28515625" customWidth="1"/>
    <col min="13827" max="13827" width="5.85546875" customWidth="1"/>
    <col min="13829" max="13829" width="10" customWidth="1"/>
    <col min="13833" max="13833" width="12.42578125" customWidth="1"/>
    <col min="13834" max="13839" width="0" hidden="1" customWidth="1"/>
    <col min="13841" max="13841" width="9.5703125" customWidth="1"/>
    <col min="14081" max="14081" width="35" customWidth="1"/>
    <col min="14082" max="14082" width="5.28515625" customWidth="1"/>
    <col min="14083" max="14083" width="5.85546875" customWidth="1"/>
    <col min="14085" max="14085" width="10" customWidth="1"/>
    <col min="14089" max="14089" width="12.42578125" customWidth="1"/>
    <col min="14090" max="14095" width="0" hidden="1" customWidth="1"/>
    <col min="14097" max="14097" width="9.5703125" customWidth="1"/>
    <col min="14337" max="14337" width="35" customWidth="1"/>
    <col min="14338" max="14338" width="5.28515625" customWidth="1"/>
    <col min="14339" max="14339" width="5.85546875" customWidth="1"/>
    <col min="14341" max="14341" width="10" customWidth="1"/>
    <col min="14345" max="14345" width="12.42578125" customWidth="1"/>
    <col min="14346" max="14351" width="0" hidden="1" customWidth="1"/>
    <col min="14353" max="14353" width="9.5703125" customWidth="1"/>
    <col min="14593" max="14593" width="35" customWidth="1"/>
    <col min="14594" max="14594" width="5.28515625" customWidth="1"/>
    <col min="14595" max="14595" width="5.85546875" customWidth="1"/>
    <col min="14597" max="14597" width="10" customWidth="1"/>
    <col min="14601" max="14601" width="12.42578125" customWidth="1"/>
    <col min="14602" max="14607" width="0" hidden="1" customWidth="1"/>
    <col min="14609" max="14609" width="9.5703125" customWidth="1"/>
    <col min="14849" max="14849" width="35" customWidth="1"/>
    <col min="14850" max="14850" width="5.28515625" customWidth="1"/>
    <col min="14851" max="14851" width="5.85546875" customWidth="1"/>
    <col min="14853" max="14853" width="10" customWidth="1"/>
    <col min="14857" max="14857" width="12.42578125" customWidth="1"/>
    <col min="14858" max="14863" width="0" hidden="1" customWidth="1"/>
    <col min="14865" max="14865" width="9.5703125" customWidth="1"/>
    <col min="15105" max="15105" width="35" customWidth="1"/>
    <col min="15106" max="15106" width="5.28515625" customWidth="1"/>
    <col min="15107" max="15107" width="5.85546875" customWidth="1"/>
    <col min="15109" max="15109" width="10" customWidth="1"/>
    <col min="15113" max="15113" width="12.42578125" customWidth="1"/>
    <col min="15114" max="15119" width="0" hidden="1" customWidth="1"/>
    <col min="15121" max="15121" width="9.5703125" customWidth="1"/>
    <col min="15361" max="15361" width="35" customWidth="1"/>
    <col min="15362" max="15362" width="5.28515625" customWidth="1"/>
    <col min="15363" max="15363" width="5.85546875" customWidth="1"/>
    <col min="15365" max="15365" width="10" customWidth="1"/>
    <col min="15369" max="15369" width="12.42578125" customWidth="1"/>
    <col min="15370" max="15375" width="0" hidden="1" customWidth="1"/>
    <col min="15377" max="15377" width="9.5703125" customWidth="1"/>
    <col min="15617" max="15617" width="35" customWidth="1"/>
    <col min="15618" max="15618" width="5.28515625" customWidth="1"/>
    <col min="15619" max="15619" width="5.85546875" customWidth="1"/>
    <col min="15621" max="15621" width="10" customWidth="1"/>
    <col min="15625" max="15625" width="12.42578125" customWidth="1"/>
    <col min="15626" max="15631" width="0" hidden="1" customWidth="1"/>
    <col min="15633" max="15633" width="9.5703125" customWidth="1"/>
    <col min="15873" max="15873" width="35" customWidth="1"/>
    <col min="15874" max="15874" width="5.28515625" customWidth="1"/>
    <col min="15875" max="15875" width="5.85546875" customWidth="1"/>
    <col min="15877" max="15877" width="10" customWidth="1"/>
    <col min="15881" max="15881" width="12.42578125" customWidth="1"/>
    <col min="15882" max="15887" width="0" hidden="1" customWidth="1"/>
    <col min="15889" max="15889" width="9.5703125" customWidth="1"/>
    <col min="16129" max="16129" width="35" customWidth="1"/>
    <col min="16130" max="16130" width="5.28515625" customWidth="1"/>
    <col min="16131" max="16131" width="5.85546875" customWidth="1"/>
    <col min="16133" max="16133" width="10" customWidth="1"/>
    <col min="16137" max="16137" width="12.42578125" customWidth="1"/>
    <col min="16138" max="16143" width="0" hidden="1" customWidth="1"/>
    <col min="16145" max="16145" width="9.5703125" customWidth="1"/>
  </cols>
  <sheetData>
    <row r="1" spans="1:10" x14ac:dyDescent="0.25">
      <c r="A1" s="185"/>
      <c r="B1" s="185"/>
      <c r="C1" s="185"/>
      <c r="D1" s="185"/>
      <c r="E1" s="185"/>
      <c r="G1" s="3"/>
      <c r="I1" s="4" t="s">
        <v>0</v>
      </c>
      <c r="J1" s="4"/>
    </row>
    <row r="2" spans="1:10" ht="15" customHeight="1" x14ac:dyDescent="0.25">
      <c r="A2" s="227"/>
      <c r="B2" s="227"/>
      <c r="C2" s="227"/>
      <c r="D2" s="227"/>
      <c r="E2" s="227"/>
      <c r="F2" s="228" t="s">
        <v>1</v>
      </c>
      <c r="G2" s="228"/>
      <c r="H2" s="228"/>
      <c r="I2" s="228"/>
      <c r="J2" s="6"/>
    </row>
    <row r="3" spans="1:10" x14ac:dyDescent="0.25">
      <c r="A3" s="185"/>
      <c r="B3" s="185"/>
      <c r="C3" s="185"/>
      <c r="D3" s="185"/>
      <c r="E3" s="185"/>
      <c r="F3" s="229" t="s">
        <v>2</v>
      </c>
      <c r="G3" s="229"/>
      <c r="H3" s="229"/>
      <c r="I3" s="229"/>
      <c r="J3" s="4"/>
    </row>
    <row r="4" spans="1:10" x14ac:dyDescent="0.25">
      <c r="A4" s="185"/>
      <c r="B4" s="185"/>
      <c r="C4" s="185"/>
      <c r="D4" s="185"/>
      <c r="E4" s="185"/>
      <c r="F4" s="229" t="s">
        <v>3</v>
      </c>
      <c r="G4" s="229"/>
      <c r="H4" s="229"/>
      <c r="I4" s="229"/>
      <c r="J4" s="4"/>
    </row>
    <row r="5" spans="1:10" ht="16.5" customHeight="1" x14ac:dyDescent="0.25">
      <c r="A5" s="185"/>
      <c r="B5" s="185"/>
      <c r="C5" s="185"/>
      <c r="D5" s="185"/>
      <c r="F5" s="3" t="s">
        <v>163</v>
      </c>
      <c r="G5" s="3"/>
      <c r="H5" s="3"/>
      <c r="I5" s="3"/>
      <c r="J5" s="3"/>
    </row>
    <row r="6" spans="1:10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"/>
    </row>
    <row r="7" spans="1:10" ht="15" customHeight="1" x14ac:dyDescent="0.25">
      <c r="A7" s="230"/>
      <c r="B7" s="230"/>
      <c r="C7" s="230"/>
      <c r="D7" s="230"/>
      <c r="E7" s="230"/>
      <c r="F7" s="230"/>
      <c r="G7" s="230"/>
      <c r="H7" s="230"/>
      <c r="I7" s="7" t="s">
        <v>4</v>
      </c>
      <c r="J7" s="3"/>
    </row>
    <row r="8" spans="1:10" ht="12.75" customHeight="1" x14ac:dyDescent="0.25">
      <c r="A8" s="231" t="s">
        <v>5</v>
      </c>
      <c r="B8" s="231"/>
      <c r="C8" s="231"/>
      <c r="D8" s="231"/>
      <c r="E8" s="231"/>
      <c r="F8" s="231"/>
      <c r="G8" s="231"/>
      <c r="H8" s="231"/>
      <c r="I8" s="8"/>
      <c r="J8" s="9"/>
    </row>
    <row r="9" spans="1:10" ht="15" customHeight="1" x14ac:dyDescent="0.25">
      <c r="A9" s="232" t="s">
        <v>6</v>
      </c>
      <c r="B9" s="232"/>
      <c r="C9" s="232"/>
      <c r="D9" s="232"/>
      <c r="E9" s="232"/>
      <c r="F9" s="232"/>
      <c r="G9" s="232"/>
      <c r="H9" s="232"/>
      <c r="I9" s="10"/>
      <c r="J9" s="11"/>
    </row>
    <row r="10" spans="1:10" ht="17.45" customHeight="1" x14ac:dyDescent="0.25">
      <c r="A10" s="224" t="s">
        <v>7</v>
      </c>
      <c r="B10" s="225"/>
      <c r="C10" s="225"/>
      <c r="D10" s="225"/>
      <c r="E10" s="225"/>
      <c r="F10" s="225"/>
      <c r="G10" s="225" t="s">
        <v>8</v>
      </c>
      <c r="H10" s="226"/>
      <c r="I10" s="12">
        <v>44805065</v>
      </c>
      <c r="J10" s="3"/>
    </row>
    <row r="11" spans="1:10" ht="15" customHeight="1" x14ac:dyDescent="0.25">
      <c r="A11" s="218" t="s">
        <v>9</v>
      </c>
      <c r="B11" s="218"/>
      <c r="C11" s="218"/>
      <c r="D11" s="218"/>
      <c r="E11" s="218"/>
      <c r="F11" s="218"/>
      <c r="G11" s="218"/>
      <c r="H11" s="218"/>
      <c r="I11" s="7"/>
      <c r="J11" s="3"/>
    </row>
    <row r="12" spans="1:10" ht="15" customHeight="1" x14ac:dyDescent="0.25">
      <c r="A12" s="218" t="s">
        <v>10</v>
      </c>
      <c r="B12" s="218"/>
      <c r="C12" s="218"/>
      <c r="D12" s="218"/>
      <c r="E12" s="218"/>
      <c r="F12" s="218"/>
      <c r="G12" s="218"/>
      <c r="H12" s="218"/>
      <c r="I12" s="7"/>
      <c r="J12" s="3"/>
    </row>
    <row r="13" spans="1:10" ht="29.25" customHeight="1" x14ac:dyDescent="0.25">
      <c r="A13" s="219" t="s">
        <v>11</v>
      </c>
      <c r="B13" s="220"/>
      <c r="C13" s="220"/>
      <c r="D13" s="220"/>
      <c r="E13" s="220"/>
      <c r="F13" s="220"/>
      <c r="G13" s="220"/>
      <c r="H13" s="221"/>
      <c r="I13" s="7"/>
      <c r="J13" s="3"/>
    </row>
    <row r="14" spans="1:10" x14ac:dyDescent="0.25">
      <c r="A14" s="222" t="s">
        <v>12</v>
      </c>
      <c r="B14" s="222"/>
      <c r="C14" s="222"/>
      <c r="D14" s="222"/>
      <c r="E14" s="222"/>
      <c r="F14" s="222"/>
      <c r="G14" s="222"/>
      <c r="H14" s="222"/>
      <c r="I14" s="12"/>
      <c r="J14" s="3"/>
    </row>
    <row r="15" spans="1:10" x14ac:dyDescent="0.25">
      <c r="A15" s="218" t="s">
        <v>13</v>
      </c>
      <c r="B15" s="218"/>
      <c r="C15" s="218"/>
      <c r="D15" s="218"/>
      <c r="E15" s="218"/>
      <c r="F15" s="218"/>
      <c r="G15" s="218"/>
      <c r="H15" s="218"/>
      <c r="I15" s="13" t="s">
        <v>14</v>
      </c>
      <c r="J15" s="14"/>
    </row>
    <row r="16" spans="1:10" x14ac:dyDescent="0.25">
      <c r="A16" s="218" t="s">
        <v>15</v>
      </c>
      <c r="B16" s="218"/>
      <c r="C16" s="218"/>
      <c r="D16" s="218"/>
      <c r="E16" s="218"/>
      <c r="F16" s="218"/>
      <c r="G16" s="218"/>
      <c r="H16" s="218"/>
      <c r="I16" s="7"/>
      <c r="J16" s="3"/>
    </row>
    <row r="17" spans="1:13" x14ac:dyDescent="0.25">
      <c r="A17" s="218" t="s">
        <v>16</v>
      </c>
      <c r="B17" s="218"/>
      <c r="C17" s="218"/>
      <c r="D17" s="218"/>
      <c r="E17" s="218"/>
      <c r="F17" s="218"/>
      <c r="G17" s="218"/>
      <c r="H17" s="218"/>
      <c r="I17" s="7"/>
      <c r="J17" s="3"/>
      <c r="M17">
        <f>2808518*0.22</f>
        <v>617873.96</v>
      </c>
    </row>
    <row r="18" spans="1:13" x14ac:dyDescent="0.25">
      <c r="A18" s="218" t="s">
        <v>17</v>
      </c>
      <c r="B18" s="218"/>
      <c r="C18" s="218"/>
      <c r="D18" s="218"/>
      <c r="E18" s="218"/>
      <c r="F18" s="218"/>
      <c r="G18" s="218"/>
      <c r="H18" s="218"/>
      <c r="I18" s="7"/>
      <c r="J18" s="3"/>
    </row>
    <row r="19" spans="1:13" ht="15.6" customHeight="1" x14ac:dyDescent="0.25">
      <c r="A19" s="223" t="s">
        <v>18</v>
      </c>
      <c r="B19" s="223"/>
      <c r="C19" s="223"/>
      <c r="D19" s="223"/>
      <c r="E19" s="223"/>
      <c r="F19" s="223"/>
      <c r="G19" s="223"/>
      <c r="H19" s="223"/>
      <c r="I19" s="7"/>
      <c r="J19" s="3"/>
    </row>
    <row r="20" spans="1:13" x14ac:dyDescent="0.25">
      <c r="A20" s="218" t="s">
        <v>19</v>
      </c>
      <c r="B20" s="218"/>
      <c r="C20" s="218"/>
      <c r="D20" s="218"/>
      <c r="E20" s="218"/>
      <c r="F20" s="218"/>
      <c r="G20" s="218"/>
      <c r="H20" s="218"/>
      <c r="I20" s="7"/>
      <c r="J20" s="3"/>
    </row>
    <row r="21" spans="1:13" ht="37.5" customHeight="1" x14ac:dyDescent="0.25">
      <c r="A21" s="215" t="s">
        <v>162</v>
      </c>
      <c r="B21" s="215"/>
      <c r="C21" s="215"/>
      <c r="D21" s="215"/>
      <c r="E21" s="215"/>
      <c r="F21" s="215"/>
      <c r="G21" s="215"/>
      <c r="H21" s="215"/>
      <c r="I21" s="215"/>
      <c r="J21" s="15"/>
    </row>
    <row r="22" spans="1:13" ht="15" customHeight="1" x14ac:dyDescent="0.25">
      <c r="A22" s="215" t="s">
        <v>164</v>
      </c>
      <c r="B22" s="215"/>
      <c r="C22" s="215"/>
      <c r="D22" s="215"/>
      <c r="E22" s="215"/>
      <c r="F22" s="215"/>
      <c r="G22" s="215"/>
      <c r="H22" s="215"/>
      <c r="I22" s="215"/>
      <c r="J22" s="15"/>
    </row>
    <row r="23" spans="1:13" ht="18.75" customHeight="1" x14ac:dyDescent="0.25">
      <c r="A23" s="213" t="s">
        <v>20</v>
      </c>
      <c r="B23" s="213"/>
      <c r="C23" s="213"/>
      <c r="D23" s="213"/>
      <c r="E23" s="213"/>
      <c r="F23" s="213"/>
      <c r="G23" s="213"/>
      <c r="H23" s="213"/>
      <c r="I23" s="213"/>
      <c r="J23" s="16"/>
    </row>
    <row r="24" spans="1:13" ht="15" customHeight="1" x14ac:dyDescent="0.25">
      <c r="A24" s="213" t="s">
        <v>21</v>
      </c>
      <c r="B24" s="213"/>
      <c r="C24" s="213"/>
      <c r="D24" s="213"/>
      <c r="E24" s="213"/>
      <c r="F24" s="213"/>
      <c r="G24" s="213"/>
      <c r="H24" s="213"/>
      <c r="I24" s="213"/>
      <c r="J24" s="16"/>
    </row>
    <row r="25" spans="1:13" ht="15" customHeight="1" x14ac:dyDescent="0.25">
      <c r="A25" s="214"/>
      <c r="B25" s="214" t="s">
        <v>22</v>
      </c>
      <c r="C25" s="215" t="s">
        <v>23</v>
      </c>
      <c r="D25" s="216" t="s">
        <v>23</v>
      </c>
      <c r="E25" s="17" t="s">
        <v>24</v>
      </c>
      <c r="F25" s="217" t="s">
        <v>25</v>
      </c>
      <c r="G25" s="217"/>
      <c r="H25" s="217"/>
      <c r="I25" s="217"/>
      <c r="J25" s="18"/>
    </row>
    <row r="26" spans="1:13" x14ac:dyDescent="0.25">
      <c r="A26" s="214"/>
      <c r="B26" s="214"/>
      <c r="C26" s="215"/>
      <c r="D26" s="216"/>
      <c r="E26" s="19" t="s">
        <v>26</v>
      </c>
      <c r="F26" s="217"/>
      <c r="G26" s="217"/>
      <c r="H26" s="217"/>
      <c r="I26" s="217"/>
      <c r="J26" s="18"/>
    </row>
    <row r="27" spans="1:13" ht="65.25" customHeight="1" x14ac:dyDescent="0.25">
      <c r="A27" s="214"/>
      <c r="B27" s="214"/>
      <c r="C27" s="20" t="s">
        <v>27</v>
      </c>
      <c r="D27" s="20" t="s">
        <v>28</v>
      </c>
      <c r="E27" s="19" t="s">
        <v>29</v>
      </c>
      <c r="F27" s="21" t="s">
        <v>30</v>
      </c>
      <c r="G27" s="21" t="s">
        <v>31</v>
      </c>
      <c r="H27" s="21" t="s">
        <v>32</v>
      </c>
      <c r="I27" s="21" t="s">
        <v>33</v>
      </c>
      <c r="J27" s="18"/>
    </row>
    <row r="28" spans="1:13" ht="15.75" customHeight="1" x14ac:dyDescent="0.25">
      <c r="A28" s="203" t="s">
        <v>34</v>
      </c>
      <c r="B28" s="204"/>
      <c r="C28" s="203"/>
      <c r="D28" s="203"/>
      <c r="E28" s="203"/>
      <c r="F28" s="203"/>
      <c r="G28" s="203"/>
      <c r="H28" s="203"/>
      <c r="I28" s="203"/>
      <c r="J28" s="22"/>
    </row>
    <row r="29" spans="1:13" ht="25.5" customHeight="1" x14ac:dyDescent="0.25">
      <c r="A29" s="23" t="s">
        <v>35</v>
      </c>
      <c r="B29" s="205" t="s">
        <v>36</v>
      </c>
      <c r="C29" s="24"/>
      <c r="D29" s="25"/>
      <c r="E29" s="211">
        <f>F29+G29+H29+I29</f>
        <v>12300</v>
      </c>
      <c r="F29" s="209">
        <v>2175</v>
      </c>
      <c r="G29" s="209">
        <v>3375</v>
      </c>
      <c r="H29" s="209">
        <v>3375</v>
      </c>
      <c r="I29" s="209">
        <v>3375</v>
      </c>
      <c r="J29" s="26">
        <f>[1]послуги!G21</f>
        <v>180483</v>
      </c>
      <c r="K29" s="5">
        <f>G71</f>
        <v>10898.822119999999</v>
      </c>
      <c r="L29" s="27">
        <f>H71</f>
        <v>7718.7791199999992</v>
      </c>
    </row>
    <row r="30" spans="1:13" ht="18" customHeight="1" x14ac:dyDescent="0.25">
      <c r="A30" s="28" t="s">
        <v>37</v>
      </c>
      <c r="B30" s="205"/>
      <c r="C30" s="30">
        <v>1495.84</v>
      </c>
      <c r="D30" s="29"/>
      <c r="E30" s="212"/>
      <c r="F30" s="210"/>
      <c r="G30" s="210"/>
      <c r="H30" s="210"/>
      <c r="I30" s="210"/>
      <c r="J30" s="31"/>
    </row>
    <row r="31" spans="1:13" ht="17.45" hidden="1" customHeight="1" x14ac:dyDescent="0.25">
      <c r="A31" s="32" t="s">
        <v>38</v>
      </c>
      <c r="B31" s="196"/>
      <c r="C31" s="35"/>
      <c r="D31" s="34"/>
      <c r="E31" s="159">
        <f t="shared" ref="E31:E37" si="0">F30+G30+H30+I30</f>
        <v>0</v>
      </c>
      <c r="F31" s="161"/>
      <c r="G31" s="161"/>
      <c r="H31" s="161"/>
      <c r="I31" s="160">
        <v>696</v>
      </c>
      <c r="J31" s="36"/>
      <c r="K31" s="37"/>
    </row>
    <row r="32" spans="1:13" ht="16.5" hidden="1" customHeight="1" x14ac:dyDescent="0.25">
      <c r="A32" s="38" t="s">
        <v>39</v>
      </c>
      <c r="B32" s="196"/>
      <c r="C32" s="40"/>
      <c r="D32" s="39"/>
      <c r="E32" s="159">
        <f t="shared" si="0"/>
        <v>696</v>
      </c>
      <c r="F32" s="155"/>
      <c r="G32" s="155"/>
      <c r="H32" s="155"/>
      <c r="I32" s="154">
        <v>302.39999999999998</v>
      </c>
      <c r="J32" s="36">
        <f>J29-J36</f>
        <v>142108.68</v>
      </c>
      <c r="K32" s="37"/>
    </row>
    <row r="33" spans="1:14" ht="16.5" hidden="1" customHeight="1" x14ac:dyDescent="0.25">
      <c r="A33" s="38" t="s">
        <v>40</v>
      </c>
      <c r="B33" s="196"/>
      <c r="C33" s="40"/>
      <c r="D33" s="39"/>
      <c r="E33" s="159">
        <f t="shared" si="0"/>
        <v>302.39999999999998</v>
      </c>
      <c r="F33" s="155"/>
      <c r="G33" s="155"/>
      <c r="H33" s="155"/>
      <c r="I33" s="154">
        <v>72</v>
      </c>
      <c r="J33" s="36"/>
      <c r="K33" s="37"/>
    </row>
    <row r="34" spans="1:14" ht="16.5" hidden="1" customHeight="1" x14ac:dyDescent="0.25">
      <c r="A34" s="38" t="s">
        <v>41</v>
      </c>
      <c r="B34" s="196"/>
      <c r="C34" s="40"/>
      <c r="D34" s="39"/>
      <c r="E34" s="159">
        <f t="shared" si="0"/>
        <v>72</v>
      </c>
      <c r="F34" s="155"/>
      <c r="G34" s="155"/>
      <c r="H34" s="155"/>
      <c r="I34" s="154">
        <v>374.4</v>
      </c>
      <c r="J34" s="36"/>
      <c r="K34" s="37"/>
    </row>
    <row r="35" spans="1:14" ht="16.5" hidden="1" customHeight="1" x14ac:dyDescent="0.25">
      <c r="A35" s="38" t="s">
        <v>42</v>
      </c>
      <c r="B35" s="196"/>
      <c r="C35" s="40"/>
      <c r="D35" s="39"/>
      <c r="E35" s="159">
        <f t="shared" si="0"/>
        <v>374.4</v>
      </c>
      <c r="F35" s="155"/>
      <c r="G35" s="155"/>
      <c r="H35" s="155"/>
      <c r="I35" s="154">
        <v>51.04</v>
      </c>
      <c r="J35" s="36"/>
      <c r="K35" s="37"/>
    </row>
    <row r="36" spans="1:14" ht="16.5" hidden="1" customHeight="1" x14ac:dyDescent="0.25">
      <c r="A36" s="41"/>
      <c r="B36" s="196"/>
      <c r="C36" s="40"/>
      <c r="D36" s="39"/>
      <c r="E36" s="159">
        <f t="shared" si="0"/>
        <v>51.04</v>
      </c>
      <c r="F36" s="155"/>
      <c r="G36" s="155"/>
      <c r="H36" s="155"/>
      <c r="I36" s="155"/>
      <c r="J36" s="36">
        <f>[1]послуги!F11+[1]послуги!F9</f>
        <v>38374.32</v>
      </c>
      <c r="K36" s="37">
        <f>6006*4.15</f>
        <v>24924.9</v>
      </c>
    </row>
    <row r="37" spans="1:14" ht="17.25" hidden="1" customHeight="1" x14ac:dyDescent="0.25">
      <c r="A37" s="41"/>
      <c r="B37" s="196"/>
      <c r="C37" s="40"/>
      <c r="D37" s="39"/>
      <c r="E37" s="159">
        <f t="shared" si="0"/>
        <v>0</v>
      </c>
      <c r="F37" s="155"/>
      <c r="G37" s="155"/>
      <c r="H37" s="155"/>
      <c r="I37" s="155"/>
      <c r="J37" s="36"/>
      <c r="K37" s="37"/>
    </row>
    <row r="38" spans="1:14" ht="15.75" customHeight="1" x14ac:dyDescent="0.25">
      <c r="A38" s="41" t="s">
        <v>43</v>
      </c>
      <c r="B38" s="33" t="s">
        <v>44</v>
      </c>
      <c r="C38" s="40">
        <v>249.30699999999999</v>
      </c>
      <c r="D38" s="39"/>
      <c r="E38" s="29">
        <f>F38+G38+H38+I38</f>
        <v>2050</v>
      </c>
      <c r="F38" s="39">
        <v>362.5</v>
      </c>
      <c r="G38" s="39">
        <v>562.5</v>
      </c>
      <c r="H38" s="39">
        <v>562.5</v>
      </c>
      <c r="I38" s="39">
        <v>562.5</v>
      </c>
      <c r="J38" s="31"/>
      <c r="K38" s="37"/>
    </row>
    <row r="39" spans="1:14" ht="19.350000000000001" customHeight="1" x14ac:dyDescent="0.25">
      <c r="A39" s="41" t="s">
        <v>45</v>
      </c>
      <c r="B39" s="33" t="s">
        <v>46</v>
      </c>
      <c r="C39" s="39"/>
      <c r="D39" s="39"/>
      <c r="E39" s="29"/>
      <c r="F39" s="39"/>
      <c r="G39" s="39"/>
      <c r="H39" s="39"/>
      <c r="I39" s="39"/>
      <c r="J39" s="36"/>
      <c r="K39" s="37"/>
    </row>
    <row r="40" spans="1:14" ht="27" customHeight="1" x14ac:dyDescent="0.25">
      <c r="A40" s="41" t="s">
        <v>47</v>
      </c>
      <c r="B40" s="33" t="s">
        <v>48</v>
      </c>
      <c r="C40" s="39"/>
      <c r="D40" s="39"/>
      <c r="E40" s="159"/>
      <c r="F40" s="155"/>
      <c r="G40" s="155"/>
      <c r="H40" s="155"/>
      <c r="I40" s="155"/>
      <c r="J40" s="36"/>
      <c r="K40" s="37"/>
    </row>
    <row r="41" spans="1:14" ht="37.5" customHeight="1" x14ac:dyDescent="0.25">
      <c r="A41" s="42" t="s">
        <v>49</v>
      </c>
      <c r="B41" s="43" t="s">
        <v>50</v>
      </c>
      <c r="C41" s="44">
        <v>1246.5329999999999</v>
      </c>
      <c r="D41" s="44"/>
      <c r="E41" s="30">
        <f>F41+G41+H41+I41</f>
        <v>10250</v>
      </c>
      <c r="F41" s="44">
        <f>F29-F38</f>
        <v>1812.5</v>
      </c>
      <c r="G41" s="44">
        <f t="shared" ref="G41:I41" si="1">G29-G38</f>
        <v>2812.5</v>
      </c>
      <c r="H41" s="44">
        <f t="shared" si="1"/>
        <v>2812.5</v>
      </c>
      <c r="I41" s="44">
        <f t="shared" si="1"/>
        <v>2812.5</v>
      </c>
      <c r="J41" s="26"/>
      <c r="K41" s="37"/>
    </row>
    <row r="42" spans="1:14" ht="18" customHeight="1" x14ac:dyDescent="0.25">
      <c r="A42" s="23" t="s">
        <v>158</v>
      </c>
      <c r="B42" s="206" t="s">
        <v>51</v>
      </c>
      <c r="C42" s="207">
        <v>2.0019999999999998</v>
      </c>
      <c r="D42" s="207"/>
      <c r="E42" s="208">
        <v>120</v>
      </c>
      <c r="F42" s="208">
        <v>30</v>
      </c>
      <c r="G42" s="208">
        <v>30</v>
      </c>
      <c r="H42" s="208">
        <v>30</v>
      </c>
      <c r="I42" s="208">
        <v>30</v>
      </c>
      <c r="J42" s="26">
        <f>[1]витрпайові!J73</f>
        <v>261318</v>
      </c>
      <c r="K42" s="37">
        <f>K43/1000-E42</f>
        <v>141.31799999999998</v>
      </c>
    </row>
    <row r="43" spans="1:14" ht="2.25" customHeight="1" x14ac:dyDescent="0.25">
      <c r="A43" s="47"/>
      <c r="B43" s="206"/>
      <c r="C43" s="207"/>
      <c r="D43" s="207"/>
      <c r="E43" s="208"/>
      <c r="F43" s="208"/>
      <c r="G43" s="208"/>
      <c r="H43" s="208"/>
      <c r="I43" s="208"/>
      <c r="J43" s="26"/>
      <c r="K43" s="48">
        <f>12*21776.5</f>
        <v>261318</v>
      </c>
      <c r="L43">
        <v>9000</v>
      </c>
      <c r="M43" s="49">
        <f>K43-L43</f>
        <v>252318</v>
      </c>
    </row>
    <row r="44" spans="1:14" ht="18.600000000000001" customHeight="1" x14ac:dyDescent="0.25">
      <c r="A44" s="50" t="s">
        <v>52</v>
      </c>
      <c r="B44" s="43" t="s">
        <v>53</v>
      </c>
      <c r="C44" s="51"/>
      <c r="D44" s="52"/>
      <c r="E44" s="162"/>
      <c r="F44" s="162"/>
      <c r="G44" s="162"/>
      <c r="H44" s="162"/>
      <c r="I44" s="162"/>
      <c r="J44" s="26"/>
      <c r="K44" s="48" t="e">
        <f>M93</f>
        <v>#REF!</v>
      </c>
    </row>
    <row r="45" spans="1:14" ht="27.4" customHeight="1" x14ac:dyDescent="0.25">
      <c r="A45" s="54" t="s">
        <v>54</v>
      </c>
      <c r="B45" s="194" t="s">
        <v>55</v>
      </c>
      <c r="C45" s="65">
        <v>8896.39</v>
      </c>
      <c r="D45" s="55"/>
      <c r="E45" s="65">
        <f>F45+G45+H45+I45</f>
        <v>31640.737000000001</v>
      </c>
      <c r="F45" s="65">
        <f>F46+F64</f>
        <v>7930.6959999999999</v>
      </c>
      <c r="G45" s="65">
        <f t="shared" ref="G45:I45" si="2">G46+G64</f>
        <v>8094.6669999999995</v>
      </c>
      <c r="H45" s="65">
        <f t="shared" si="2"/>
        <v>4914.6239999999998</v>
      </c>
      <c r="I45" s="65">
        <f t="shared" si="2"/>
        <v>10700.75</v>
      </c>
      <c r="J45" s="57"/>
      <c r="K45" s="37">
        <f>E69-E42</f>
        <v>41890.737000000001</v>
      </c>
    </row>
    <row r="46" spans="1:14" ht="55.5" customHeight="1" x14ac:dyDescent="0.25">
      <c r="A46" s="58" t="s">
        <v>56</v>
      </c>
      <c r="B46" s="194"/>
      <c r="C46" s="136">
        <v>7394.2740000000003</v>
      </c>
      <c r="D46" s="56"/>
      <c r="E46" s="136">
        <f>F46+G46+H46+I46</f>
        <v>31466.15</v>
      </c>
      <c r="F46" s="136">
        <f>F47+F57</f>
        <v>7756.1090000000004</v>
      </c>
      <c r="G46" s="136">
        <f t="shared" ref="G46:I46" si="3">G47+G57</f>
        <v>8094.6669999999995</v>
      </c>
      <c r="H46" s="136">
        <f t="shared" si="3"/>
        <v>4914.6239999999998</v>
      </c>
      <c r="I46" s="136">
        <f t="shared" si="3"/>
        <v>10700.75</v>
      </c>
      <c r="J46" s="31"/>
      <c r="K46" s="37">
        <f>'[1]Утримання територій'!J210</f>
        <v>9264279.0010099988</v>
      </c>
      <c r="L46" s="60" t="e">
        <f>#REF!</f>
        <v>#REF!</v>
      </c>
      <c r="M46" s="60">
        <f>M89</f>
        <v>49677</v>
      </c>
      <c r="N46" s="60">
        <f>M90</f>
        <v>9800.0000000000018</v>
      </c>
    </row>
    <row r="47" spans="1:14" ht="19.899999999999999" customHeight="1" x14ac:dyDescent="0.25">
      <c r="A47" s="61" t="s">
        <v>57</v>
      </c>
      <c r="B47" s="194"/>
      <c r="C47" s="168">
        <v>7077.9920000000002</v>
      </c>
      <c r="D47" s="63"/>
      <c r="E47" s="168">
        <f>F47+G47+H47+I47</f>
        <v>31081.17</v>
      </c>
      <c r="F47" s="168">
        <f>F88</f>
        <v>7756.1090000000004</v>
      </c>
      <c r="G47" s="168">
        <f>G88</f>
        <v>7709.6869999999999</v>
      </c>
      <c r="H47" s="168">
        <f t="shared" ref="H47:I47" si="4">H88</f>
        <v>4914.6239999999998</v>
      </c>
      <c r="I47" s="168">
        <f t="shared" si="4"/>
        <v>10700.75</v>
      </c>
      <c r="J47" s="36"/>
      <c r="K47" s="37" t="e">
        <f>K44-K46</f>
        <v>#REF!</v>
      </c>
    </row>
    <row r="48" spans="1:14" ht="25.5" hidden="1" customHeight="1" x14ac:dyDescent="0.25">
      <c r="A48" s="54" t="s">
        <v>58</v>
      </c>
      <c r="B48" s="194"/>
      <c r="C48" s="136"/>
      <c r="D48" s="55"/>
      <c r="E48" s="168">
        <f t="shared" ref="E48:E67" si="5">F48+G48+H48+I48</f>
        <v>1792.0319999999999</v>
      </c>
      <c r="F48" s="136"/>
      <c r="G48" s="136"/>
      <c r="H48" s="136"/>
      <c r="I48" s="136">
        <v>1792.0319999999999</v>
      </c>
      <c r="J48" s="36"/>
      <c r="K48" s="37"/>
    </row>
    <row r="49" spans="1:11" ht="27" hidden="1" customHeight="1" x14ac:dyDescent="0.25">
      <c r="A49" s="58" t="s">
        <v>59</v>
      </c>
      <c r="B49" s="194"/>
      <c r="C49" s="136"/>
      <c r="D49" s="55"/>
      <c r="E49" s="168">
        <f t="shared" si="5"/>
        <v>320.86700000000002</v>
      </c>
      <c r="F49" s="136"/>
      <c r="G49" s="136"/>
      <c r="H49" s="136"/>
      <c r="I49" s="136">
        <v>320.86700000000002</v>
      </c>
      <c r="J49" s="36"/>
      <c r="K49" s="37"/>
    </row>
    <row r="50" spans="1:11" ht="27" hidden="1" customHeight="1" x14ac:dyDescent="0.25">
      <c r="A50" s="58" t="s">
        <v>60</v>
      </c>
      <c r="B50" s="194"/>
      <c r="C50" s="136"/>
      <c r="D50" s="55"/>
      <c r="E50" s="168">
        <f t="shared" si="5"/>
        <v>1148.0119999999999</v>
      </c>
      <c r="F50" s="136"/>
      <c r="G50" s="136"/>
      <c r="H50" s="136"/>
      <c r="I50" s="136">
        <v>1148.0119999999999</v>
      </c>
      <c r="J50" s="36"/>
      <c r="K50" s="37"/>
    </row>
    <row r="51" spans="1:11" ht="27" hidden="1" customHeight="1" x14ac:dyDescent="0.25">
      <c r="A51" s="54" t="s">
        <v>61</v>
      </c>
      <c r="B51" s="194"/>
      <c r="C51" s="136"/>
      <c r="D51" s="55"/>
      <c r="E51" s="168">
        <f t="shared" si="5"/>
        <v>323.15300000000002</v>
      </c>
      <c r="F51" s="136"/>
      <c r="G51" s="136"/>
      <c r="H51" s="136"/>
      <c r="I51" s="136">
        <v>323.15300000000002</v>
      </c>
      <c r="J51" s="36"/>
      <c r="K51" s="37"/>
    </row>
    <row r="52" spans="1:11" ht="41.25" hidden="1" customHeight="1" x14ac:dyDescent="0.25">
      <c r="A52" s="64" t="s">
        <v>62</v>
      </c>
      <c r="B52" s="194"/>
      <c r="C52" s="136"/>
      <c r="D52" s="55"/>
      <c r="E52" s="168">
        <f t="shared" si="5"/>
        <v>219.333</v>
      </c>
      <c r="F52" s="136"/>
      <c r="G52" s="136"/>
      <c r="H52" s="136"/>
      <c r="I52" s="136">
        <v>219.333</v>
      </c>
      <c r="J52" s="36"/>
      <c r="K52" s="37"/>
    </row>
    <row r="53" spans="1:11" ht="21.75" hidden="1" customHeight="1" x14ac:dyDescent="0.25">
      <c r="A53" s="64" t="s">
        <v>63</v>
      </c>
      <c r="B53" s="194"/>
      <c r="C53" s="136"/>
      <c r="D53" s="55"/>
      <c r="E53" s="168">
        <f t="shared" si="5"/>
        <v>390.79700000000003</v>
      </c>
      <c r="F53" s="136"/>
      <c r="G53" s="136"/>
      <c r="H53" s="136"/>
      <c r="I53" s="136">
        <v>390.79700000000003</v>
      </c>
      <c r="J53" s="36"/>
      <c r="K53" s="37"/>
    </row>
    <row r="54" spans="1:11" ht="41.25" hidden="1" customHeight="1" x14ac:dyDescent="0.25">
      <c r="A54" s="54" t="s">
        <v>64</v>
      </c>
      <c r="B54" s="194"/>
      <c r="C54" s="136"/>
      <c r="D54" s="55"/>
      <c r="E54" s="168">
        <f t="shared" si="5"/>
        <v>4669.2700000000004</v>
      </c>
      <c r="F54" s="136"/>
      <c r="G54" s="136"/>
      <c r="H54" s="136"/>
      <c r="I54" s="136">
        <v>4669.2700000000004</v>
      </c>
      <c r="J54" s="36"/>
      <c r="K54" s="37"/>
    </row>
    <row r="55" spans="1:11" ht="26.25" hidden="1" customHeight="1" x14ac:dyDescent="0.25">
      <c r="A55" s="64" t="s">
        <v>65</v>
      </c>
      <c r="B55" s="194"/>
      <c r="C55" s="136"/>
      <c r="D55" s="55"/>
      <c r="E55" s="168">
        <f t="shared" si="5"/>
        <v>6.56</v>
      </c>
      <c r="F55" s="136"/>
      <c r="G55" s="136"/>
      <c r="H55" s="136"/>
      <c r="I55" s="136">
        <v>6.56</v>
      </c>
      <c r="J55" s="36"/>
      <c r="K55" s="37"/>
    </row>
    <row r="56" spans="1:11" ht="28.5" hidden="1" customHeight="1" x14ac:dyDescent="0.25">
      <c r="A56" s="64" t="s">
        <v>66</v>
      </c>
      <c r="B56" s="194"/>
      <c r="C56" s="136"/>
      <c r="D56" s="55"/>
      <c r="E56" s="168">
        <f t="shared" si="5"/>
        <v>0</v>
      </c>
      <c r="F56" s="136"/>
      <c r="G56" s="136"/>
      <c r="H56" s="136"/>
      <c r="I56" s="169"/>
      <c r="J56" s="57"/>
      <c r="K56" s="37"/>
    </row>
    <row r="57" spans="1:11" ht="16.7" customHeight="1" x14ac:dyDescent="0.25">
      <c r="A57" s="66" t="s">
        <v>67</v>
      </c>
      <c r="B57" s="194"/>
      <c r="C57" s="168">
        <v>316.28199999999998</v>
      </c>
      <c r="D57" s="62"/>
      <c r="E57" s="168">
        <f t="shared" si="5"/>
        <v>384.98</v>
      </c>
      <c r="F57" s="168">
        <f>F102</f>
        <v>0</v>
      </c>
      <c r="G57" s="168">
        <f t="shared" ref="G57:I57" si="6">G102</f>
        <v>384.98</v>
      </c>
      <c r="H57" s="168">
        <f t="shared" si="6"/>
        <v>0</v>
      </c>
      <c r="I57" s="168">
        <f t="shared" si="6"/>
        <v>0</v>
      </c>
      <c r="J57" s="36"/>
      <c r="K57" s="37"/>
    </row>
    <row r="58" spans="1:11" ht="31.5" customHeight="1" x14ac:dyDescent="0.25">
      <c r="A58" s="64" t="s">
        <v>66</v>
      </c>
      <c r="B58" s="194"/>
      <c r="C58" s="65">
        <v>316.28199999999998</v>
      </c>
      <c r="D58" s="65"/>
      <c r="E58" s="148">
        <f>F58+G58+H58+I58</f>
        <v>0</v>
      </c>
      <c r="F58" s="65"/>
      <c r="G58" s="65"/>
      <c r="H58" s="65"/>
      <c r="I58" s="65">
        <v>0</v>
      </c>
      <c r="J58" s="31"/>
      <c r="K58" s="37"/>
    </row>
    <row r="59" spans="1:11" ht="37.5" hidden="1" customHeight="1" x14ac:dyDescent="0.25">
      <c r="A59" s="67" t="s">
        <v>68</v>
      </c>
      <c r="B59" s="194"/>
      <c r="C59" s="68"/>
      <c r="D59" s="68"/>
      <c r="E59" s="163">
        <f t="shared" si="5"/>
        <v>0</v>
      </c>
      <c r="F59" s="164"/>
      <c r="G59" s="164"/>
      <c r="H59" s="164"/>
      <c r="I59" s="164">
        <f>I106</f>
        <v>0</v>
      </c>
      <c r="J59" s="36"/>
      <c r="K59" s="37"/>
    </row>
    <row r="60" spans="1:11" ht="18" hidden="1" customHeight="1" x14ac:dyDescent="0.25">
      <c r="A60" s="67" t="s">
        <v>69</v>
      </c>
      <c r="B60" s="194"/>
      <c r="C60" s="70"/>
      <c r="D60" s="70"/>
      <c r="E60" s="163">
        <f t="shared" si="5"/>
        <v>0</v>
      </c>
      <c r="F60" s="165"/>
      <c r="G60" s="165"/>
      <c r="H60" s="165"/>
      <c r="I60" s="165">
        <f>I107</f>
        <v>0</v>
      </c>
      <c r="J60" s="36"/>
      <c r="K60" s="37"/>
    </row>
    <row r="61" spans="1:11" ht="50.25" hidden="1" customHeight="1" x14ac:dyDescent="0.25">
      <c r="A61" s="73" t="s">
        <v>70</v>
      </c>
      <c r="B61" s="194"/>
      <c r="C61" s="70"/>
      <c r="D61" s="74"/>
      <c r="E61" s="163">
        <f t="shared" si="5"/>
        <v>0</v>
      </c>
      <c r="F61" s="166"/>
      <c r="G61" s="166"/>
      <c r="H61" s="166"/>
      <c r="I61" s="166"/>
      <c r="J61" s="31"/>
      <c r="K61" s="37"/>
    </row>
    <row r="62" spans="1:11" ht="15.75" hidden="1" customHeight="1" x14ac:dyDescent="0.25">
      <c r="A62" s="58" t="s">
        <v>57</v>
      </c>
      <c r="B62" s="194"/>
      <c r="C62" s="70"/>
      <c r="D62" s="70"/>
      <c r="E62" s="163">
        <f t="shared" si="5"/>
        <v>0</v>
      </c>
      <c r="F62" s="165">
        <v>0</v>
      </c>
      <c r="G62" s="165">
        <f>[1]Амброзія!F55/1000</f>
        <v>0</v>
      </c>
      <c r="H62" s="165">
        <v>0</v>
      </c>
      <c r="I62" s="165">
        <v>0</v>
      </c>
      <c r="J62" s="36"/>
      <c r="K62" s="37"/>
    </row>
    <row r="63" spans="1:11" ht="15.75" hidden="1" customHeight="1" x14ac:dyDescent="0.25">
      <c r="A63" s="54" t="s">
        <v>71</v>
      </c>
      <c r="B63" s="194"/>
      <c r="C63" s="70"/>
      <c r="D63" s="70"/>
      <c r="E63" s="163">
        <f t="shared" si="5"/>
        <v>0</v>
      </c>
      <c r="F63" s="165"/>
      <c r="G63" s="165"/>
      <c r="H63" s="165">
        <f>H113</f>
        <v>0</v>
      </c>
      <c r="I63" s="165">
        <f>I113</f>
        <v>0</v>
      </c>
      <c r="J63" s="36"/>
      <c r="K63" s="37">
        <f>E41</f>
        <v>10250</v>
      </c>
    </row>
    <row r="64" spans="1:11" ht="64.5" customHeight="1" x14ac:dyDescent="0.25">
      <c r="A64" s="58" t="s">
        <v>159</v>
      </c>
      <c r="B64" s="138"/>
      <c r="C64" s="74">
        <v>1502.116</v>
      </c>
      <c r="D64" s="70"/>
      <c r="E64" s="168">
        <f t="shared" si="5"/>
        <v>174.58699999999999</v>
      </c>
      <c r="F64" s="170">
        <f>F114</f>
        <v>174.58699999999999</v>
      </c>
      <c r="G64" s="170">
        <f t="shared" ref="G64:I64" si="7">G114</f>
        <v>0</v>
      </c>
      <c r="H64" s="170">
        <f t="shared" si="7"/>
        <v>0</v>
      </c>
      <c r="I64" s="170">
        <f t="shared" si="7"/>
        <v>0</v>
      </c>
      <c r="J64" s="36"/>
      <c r="K64" s="37"/>
    </row>
    <row r="65" spans="1:15" ht="15.75" customHeight="1" x14ac:dyDescent="0.25">
      <c r="A65" s="61" t="s">
        <v>57</v>
      </c>
      <c r="B65" s="138"/>
      <c r="C65" s="70">
        <v>830.62099999999998</v>
      </c>
      <c r="D65" s="70"/>
      <c r="E65" s="168">
        <f t="shared" si="5"/>
        <v>174.58699999999999</v>
      </c>
      <c r="F65" s="170">
        <f>F115</f>
        <v>174.58699999999999</v>
      </c>
      <c r="G65" s="170">
        <f t="shared" ref="G65:I65" si="8">G115</f>
        <v>0</v>
      </c>
      <c r="H65" s="170">
        <f t="shared" si="8"/>
        <v>0</v>
      </c>
      <c r="I65" s="170">
        <f t="shared" si="8"/>
        <v>0</v>
      </c>
      <c r="J65" s="36"/>
      <c r="K65" s="37"/>
    </row>
    <row r="66" spans="1:15" ht="15.75" customHeight="1" x14ac:dyDescent="0.25">
      <c r="A66" s="66" t="s">
        <v>67</v>
      </c>
      <c r="B66" s="138"/>
      <c r="C66" s="70">
        <v>671.495</v>
      </c>
      <c r="D66" s="70"/>
      <c r="E66" s="168">
        <f t="shared" si="5"/>
        <v>0</v>
      </c>
      <c r="F66" s="170"/>
      <c r="G66" s="170"/>
      <c r="H66" s="170"/>
      <c r="I66" s="170">
        <v>0</v>
      </c>
      <c r="J66" s="36"/>
      <c r="K66" s="37"/>
    </row>
    <row r="67" spans="1:15" ht="25.5" customHeight="1" x14ac:dyDescent="0.25">
      <c r="A67" s="64" t="s">
        <v>66</v>
      </c>
      <c r="B67" s="138"/>
      <c r="C67" s="70">
        <v>671.495</v>
      </c>
      <c r="D67" s="70"/>
      <c r="E67" s="62">
        <f t="shared" si="5"/>
        <v>0</v>
      </c>
      <c r="F67" s="70"/>
      <c r="G67" s="70"/>
      <c r="H67" s="70"/>
      <c r="I67" s="70">
        <v>0</v>
      </c>
      <c r="J67" s="36"/>
      <c r="K67" s="37"/>
    </row>
    <row r="68" spans="1:15" ht="18" customHeight="1" x14ac:dyDescent="0.25">
      <c r="A68" s="75" t="s">
        <v>72</v>
      </c>
      <c r="B68" s="43" t="s">
        <v>73</v>
      </c>
      <c r="C68" s="46"/>
      <c r="D68" s="46"/>
      <c r="E68" s="45"/>
      <c r="F68" s="45"/>
      <c r="G68" s="45"/>
      <c r="H68" s="45"/>
      <c r="I68" s="45"/>
      <c r="J68" s="26"/>
      <c r="K68" s="37">
        <f>E42</f>
        <v>120</v>
      </c>
    </row>
    <row r="69" spans="1:15" ht="18.75" customHeight="1" x14ac:dyDescent="0.25">
      <c r="A69" s="76" t="s">
        <v>74</v>
      </c>
      <c r="B69" s="77" t="s">
        <v>75</v>
      </c>
      <c r="C69" s="78">
        <v>10144.924999999999</v>
      </c>
      <c r="D69" s="78"/>
      <c r="E69" s="78">
        <f t="shared" ref="E69:H69" si="9">E41+E42+E45</f>
        <v>42010.737000000001</v>
      </c>
      <c r="F69" s="78">
        <f t="shared" si="9"/>
        <v>9773.1959999999999</v>
      </c>
      <c r="G69" s="78">
        <f>G41+G42+G45</f>
        <v>10937.166999999999</v>
      </c>
      <c r="H69" s="78">
        <f t="shared" si="9"/>
        <v>7757.1239999999998</v>
      </c>
      <c r="I69" s="78">
        <f>I41+I42+I45</f>
        <v>13543.25</v>
      </c>
      <c r="J69" s="79"/>
      <c r="K69" s="37" t="e">
        <f>K44/1000</f>
        <v>#REF!</v>
      </c>
    </row>
    <row r="70" spans="1:15" ht="15" customHeight="1" x14ac:dyDescent="0.25">
      <c r="A70" s="195" t="s">
        <v>76</v>
      </c>
      <c r="B70" s="195"/>
      <c r="C70" s="195"/>
      <c r="D70" s="195"/>
      <c r="E70" s="195"/>
      <c r="F70" s="195"/>
      <c r="G70" s="195"/>
      <c r="H70" s="195"/>
      <c r="I70" s="195"/>
      <c r="J70" s="81"/>
      <c r="K70" s="37"/>
    </row>
    <row r="71" spans="1:15" ht="41.25" customHeight="1" x14ac:dyDescent="0.25">
      <c r="A71" s="82" t="s">
        <v>77</v>
      </c>
      <c r="B71" s="43" t="s">
        <v>78</v>
      </c>
      <c r="C71" s="44">
        <v>1241.5809999999999</v>
      </c>
      <c r="D71" s="44"/>
      <c r="E71" s="44">
        <f>F71+G71+H71+I71</f>
        <v>41883.020359999995</v>
      </c>
      <c r="F71" s="44">
        <f>F74+F78+F85+F81</f>
        <v>9760.512999999999</v>
      </c>
      <c r="G71" s="44">
        <f t="shared" ref="G71:I71" si="10">G74+G78+G85+G81</f>
        <v>10898.822119999999</v>
      </c>
      <c r="H71" s="44">
        <f t="shared" si="10"/>
        <v>7718.7791199999992</v>
      </c>
      <c r="I71" s="44">
        <f t="shared" si="10"/>
        <v>13504.90612</v>
      </c>
      <c r="J71" s="26">
        <f>'[1]утрим хоз'!J77+[1]витрпайові!J73</f>
        <v>441801</v>
      </c>
      <c r="K71" s="83">
        <f>E42-E71</f>
        <v>-41763.020359999995</v>
      </c>
      <c r="O71">
        <f>3000*30.45</f>
        <v>91350</v>
      </c>
    </row>
    <row r="72" spans="1:15" ht="23.25" customHeight="1" x14ac:dyDescent="0.25">
      <c r="A72" s="84" t="s">
        <v>79</v>
      </c>
      <c r="B72" s="33" t="s">
        <v>80</v>
      </c>
      <c r="C72" s="39"/>
      <c r="D72" s="40"/>
      <c r="E72" s="154"/>
      <c r="F72" s="154"/>
      <c r="G72" s="154"/>
      <c r="H72" s="154"/>
      <c r="I72" s="154"/>
      <c r="J72" s="31">
        <f>'[1]утрим хоз'!J77</f>
        <v>180483</v>
      </c>
      <c r="K72" s="86">
        <f>'[1]утрим хоз'!J77</f>
        <v>180483</v>
      </c>
      <c r="L72" s="86">
        <f>[1]витрпайові!J73</f>
        <v>261318</v>
      </c>
      <c r="M72" s="86">
        <f>L72+K72</f>
        <v>441801</v>
      </c>
      <c r="O72" s="27">
        <f>E84-91.35</f>
        <v>1082.479</v>
      </c>
    </row>
    <row r="73" spans="1:15" ht="18" customHeight="1" x14ac:dyDescent="0.25">
      <c r="A73" s="41" t="s">
        <v>81</v>
      </c>
      <c r="B73" s="33" t="s">
        <v>82</v>
      </c>
      <c r="C73" s="39"/>
      <c r="D73" s="40"/>
      <c r="E73" s="154"/>
      <c r="F73" s="154"/>
      <c r="G73" s="154"/>
      <c r="H73" s="154"/>
      <c r="I73" s="154"/>
      <c r="J73" s="31">
        <f>[1]витрпайові!J12+[1]витрпайові!J16</f>
        <v>37974</v>
      </c>
      <c r="K73" s="86">
        <f>'[1]утрим хоз'!J18</f>
        <v>12264</v>
      </c>
      <c r="L73" s="5">
        <f>H120</f>
        <v>38.344880000000558</v>
      </c>
      <c r="M73" s="5">
        <f>I120</f>
        <v>38.343880000000354</v>
      </c>
      <c r="N73" s="5">
        <f>M73+L73+K73</f>
        <v>12340.688760000001</v>
      </c>
    </row>
    <row r="74" spans="1:15" ht="18" customHeight="1" x14ac:dyDescent="0.25">
      <c r="A74" s="41" t="s">
        <v>58</v>
      </c>
      <c r="B74" s="196" t="s">
        <v>83</v>
      </c>
      <c r="C74" s="40">
        <v>1240.579</v>
      </c>
      <c r="D74" s="40"/>
      <c r="E74" s="87">
        <f>F74+G74+H74+I74</f>
        <v>7378.4880000000003</v>
      </c>
      <c r="F74" s="87">
        <f>F75+F76+F77</f>
        <v>1499.8500000000001</v>
      </c>
      <c r="G74" s="87">
        <f>G75+G76+G77</f>
        <v>1959.546</v>
      </c>
      <c r="H74" s="87">
        <f t="shared" ref="H74:I74" si="11">H75+H76+H77</f>
        <v>1959.546</v>
      </c>
      <c r="I74" s="87">
        <f t="shared" si="11"/>
        <v>1959.546</v>
      </c>
      <c r="J74" s="31">
        <f>'[1]утрим хоз'!J12+'[1]утрим хоз'!J16</f>
        <v>168219</v>
      </c>
      <c r="K74" s="86">
        <f>'[1]фзп хоз'!T26+'[1]фзп хоз'!T24</f>
        <v>206189.17439999999</v>
      </c>
    </row>
    <row r="75" spans="1:15" ht="13.7" customHeight="1" x14ac:dyDescent="0.25">
      <c r="A75" s="88" t="s">
        <v>171</v>
      </c>
      <c r="B75" s="196"/>
      <c r="C75" s="134">
        <v>134.61600000000001</v>
      </c>
      <c r="D75" s="39"/>
      <c r="E75" s="167">
        <f t="shared" ref="E75:E78" si="12">F75+G75+H75+I75</f>
        <v>987.23700000000008</v>
      </c>
      <c r="F75" s="167">
        <v>208.44900000000001</v>
      </c>
      <c r="G75" s="167">
        <v>259.596</v>
      </c>
      <c r="H75" s="167">
        <v>259.596</v>
      </c>
      <c r="I75" s="167">
        <v>259.596</v>
      </c>
      <c r="J75" s="36"/>
      <c r="K75" s="86"/>
    </row>
    <row r="76" spans="1:15" ht="13.7" customHeight="1" x14ac:dyDescent="0.25">
      <c r="A76" s="88" t="s">
        <v>60</v>
      </c>
      <c r="B76" s="196"/>
      <c r="C76" s="134">
        <v>882.25199999999995</v>
      </c>
      <c r="D76" s="39"/>
      <c r="E76" s="167">
        <f t="shared" si="12"/>
        <v>5852.6910000000007</v>
      </c>
      <c r="F76" s="167">
        <v>1291.4010000000001</v>
      </c>
      <c r="G76" s="167">
        <v>1520.43</v>
      </c>
      <c r="H76" s="167">
        <v>1520.43</v>
      </c>
      <c r="I76" s="167">
        <v>1520.43</v>
      </c>
      <c r="J76" s="36"/>
      <c r="K76" s="86">
        <f>'[1]фзп хоз'!T24</f>
        <v>169007.52</v>
      </c>
      <c r="L76" s="49">
        <f>[1]витрпайові!J12</f>
        <v>31126</v>
      </c>
    </row>
    <row r="77" spans="1:15" ht="13.7" customHeight="1" x14ac:dyDescent="0.25">
      <c r="A77" s="90" t="s">
        <v>85</v>
      </c>
      <c r="B77" s="33"/>
      <c r="C77" s="39"/>
      <c r="D77" s="39"/>
      <c r="E77" s="167">
        <f t="shared" si="12"/>
        <v>538.56000000000006</v>
      </c>
      <c r="F77" s="91"/>
      <c r="G77" s="91">
        <v>179.52</v>
      </c>
      <c r="H77" s="91">
        <v>179.52</v>
      </c>
      <c r="I77" s="91">
        <v>179.52</v>
      </c>
      <c r="J77" s="36"/>
      <c r="K77" s="86"/>
    </row>
    <row r="78" spans="1:15" ht="17.25" customHeight="1" x14ac:dyDescent="0.25">
      <c r="A78" s="41" t="s">
        <v>61</v>
      </c>
      <c r="B78" s="33" t="s">
        <v>86</v>
      </c>
      <c r="C78" s="40">
        <v>223.71100000000001</v>
      </c>
      <c r="D78" s="40"/>
      <c r="E78" s="87">
        <f t="shared" si="12"/>
        <v>1623.2673600000001</v>
      </c>
      <c r="F78" s="87">
        <v>329.96699999999998</v>
      </c>
      <c r="G78" s="87">
        <f>G74*0.22</f>
        <v>431.10012</v>
      </c>
      <c r="H78" s="87">
        <f t="shared" ref="H78:I78" si="13">H74*0.22</f>
        <v>431.10012</v>
      </c>
      <c r="I78" s="87">
        <f t="shared" si="13"/>
        <v>431.10012</v>
      </c>
      <c r="J78" s="31"/>
      <c r="K78" s="86">
        <f>'[1]фзп хоз'!T26</f>
        <v>37181.654399999999</v>
      </c>
      <c r="L78" s="49">
        <f>[1]витрпайові!J16</f>
        <v>6848</v>
      </c>
    </row>
    <row r="79" spans="1:15" ht="16.5" customHeight="1" x14ac:dyDescent="0.25">
      <c r="A79" s="82" t="s">
        <v>87</v>
      </c>
      <c r="B79" s="43" t="s">
        <v>88</v>
      </c>
      <c r="C79" s="43"/>
      <c r="D79" s="92"/>
      <c r="E79" s="158"/>
      <c r="F79" s="158"/>
      <c r="G79" s="158"/>
      <c r="H79" s="158"/>
      <c r="I79" s="158"/>
      <c r="J79" s="26"/>
      <c r="K79" s="86"/>
    </row>
    <row r="80" spans="1:15" ht="16.149999999999999" customHeight="1" x14ac:dyDescent="0.25">
      <c r="A80" s="41" t="s">
        <v>89</v>
      </c>
      <c r="B80" s="33" t="s">
        <v>90</v>
      </c>
      <c r="C80" s="33" t="s">
        <v>91</v>
      </c>
      <c r="D80" s="33"/>
      <c r="E80" s="154"/>
      <c r="F80" s="155"/>
      <c r="G80" s="155"/>
      <c r="H80" s="155"/>
      <c r="I80" s="155"/>
      <c r="J80" s="36"/>
      <c r="K80" s="86">
        <f>60000/130</f>
        <v>461.53846153846155</v>
      </c>
      <c r="L80">
        <f>K80/4</f>
        <v>115.38461538461539</v>
      </c>
      <c r="M80">
        <f>L80/1.1</f>
        <v>104.89510489510489</v>
      </c>
    </row>
    <row r="81" spans="1:17" ht="18" customHeight="1" x14ac:dyDescent="0.25">
      <c r="A81" s="41" t="s">
        <v>92</v>
      </c>
      <c r="B81" s="196" t="s">
        <v>93</v>
      </c>
      <c r="C81" s="95">
        <v>1.002</v>
      </c>
      <c r="D81" s="40"/>
      <c r="E81" s="87">
        <f>F81+G81+H81+I81</f>
        <v>1240.528</v>
      </c>
      <c r="F81" s="87">
        <f>F84</f>
        <v>0</v>
      </c>
      <c r="G81" s="87">
        <f>G82+G83+G84</f>
        <v>413.50900000000001</v>
      </c>
      <c r="H81" s="87">
        <f t="shared" ref="H81:I81" si="14">H82+H83+H84</f>
        <v>413.50900000000001</v>
      </c>
      <c r="I81" s="87">
        <f t="shared" si="14"/>
        <v>413.51</v>
      </c>
      <c r="J81" s="31">
        <f>[1]витрпайові!J73-[1]витрпайові!J12-[1]витрпайові!J16</f>
        <v>223344</v>
      </c>
      <c r="K81" s="86">
        <f>K43</f>
        <v>261318</v>
      </c>
      <c r="L81" s="93" t="e">
        <f>K81-#REF!*1000</f>
        <v>#REF!</v>
      </c>
      <c r="M81">
        <v>91350</v>
      </c>
      <c r="N81" s="27" t="e">
        <f>L81-M81</f>
        <v>#REF!</v>
      </c>
    </row>
    <row r="82" spans="1:17" ht="18" customHeight="1" x14ac:dyDescent="0.25">
      <c r="A82" s="84" t="s">
        <v>174</v>
      </c>
      <c r="B82" s="196"/>
      <c r="C82" s="95"/>
      <c r="D82" s="35"/>
      <c r="E82" s="91">
        <f>F82+G82+H82+I82</f>
        <v>3</v>
      </c>
      <c r="F82" s="87"/>
      <c r="G82" s="167">
        <v>1</v>
      </c>
      <c r="H82" s="167">
        <v>1</v>
      </c>
      <c r="I82" s="167">
        <v>1</v>
      </c>
      <c r="J82" s="31"/>
      <c r="K82" s="86"/>
      <c r="L82" s="171"/>
      <c r="N82" s="27"/>
    </row>
    <row r="83" spans="1:17" ht="18" customHeight="1" x14ac:dyDescent="0.25">
      <c r="A83" s="84" t="s">
        <v>173</v>
      </c>
      <c r="B83" s="196"/>
      <c r="C83" s="95"/>
      <c r="D83" s="35"/>
      <c r="E83" s="91">
        <f t="shared" ref="E83:E84" si="15">F83+G83+H83+I83</f>
        <v>63.698999999999998</v>
      </c>
      <c r="F83" s="87"/>
      <c r="G83" s="167">
        <v>21.233000000000001</v>
      </c>
      <c r="H83" s="167">
        <v>21.233000000000001</v>
      </c>
      <c r="I83" s="167">
        <v>21.233000000000001</v>
      </c>
      <c r="J83" s="31"/>
      <c r="K83" s="86"/>
      <c r="L83" s="171"/>
      <c r="N83" s="27"/>
    </row>
    <row r="84" spans="1:17" ht="16.149999999999999" customHeight="1" x14ac:dyDescent="0.25">
      <c r="A84" s="84" t="s">
        <v>94</v>
      </c>
      <c r="B84" s="196"/>
      <c r="C84" s="135">
        <v>1.002</v>
      </c>
      <c r="D84" s="94"/>
      <c r="E84" s="91">
        <f t="shared" si="15"/>
        <v>1173.829</v>
      </c>
      <c r="F84" s="155"/>
      <c r="G84" s="91">
        <v>391.27600000000001</v>
      </c>
      <c r="H84" s="91">
        <v>391.27600000000001</v>
      </c>
      <c r="I84" s="167">
        <v>391.27699999999999</v>
      </c>
      <c r="J84" s="36">
        <f>[1]витрпайові!J73-[1]витрпайові!J72-[1]витрпайові!J12-[1]витрпайові!J16</f>
        <v>99414</v>
      </c>
      <c r="K84" s="86">
        <f>10*1.1*31</f>
        <v>341</v>
      </c>
      <c r="M84" t="e">
        <f>#REF!/1.1</f>
        <v>#REF!</v>
      </c>
      <c r="N84">
        <f>N86+N87</f>
        <v>2296927.0014850004</v>
      </c>
    </row>
    <row r="85" spans="1:17" ht="18.75" customHeight="1" x14ac:dyDescent="0.25">
      <c r="A85" s="82" t="s">
        <v>95</v>
      </c>
      <c r="B85" s="43" t="s">
        <v>96</v>
      </c>
      <c r="C85" s="53">
        <v>8896.39</v>
      </c>
      <c r="D85" s="44"/>
      <c r="E85" s="45">
        <f>E87+E114</f>
        <v>31640.736999999997</v>
      </c>
      <c r="F85" s="45">
        <f>F87+F114</f>
        <v>7930.6959999999999</v>
      </c>
      <c r="G85" s="45">
        <f>G87+G114</f>
        <v>8094.6669999999995</v>
      </c>
      <c r="H85" s="45">
        <f t="shared" ref="H85:I85" si="16">H87+H114</f>
        <v>4914.6239999999998</v>
      </c>
      <c r="I85" s="45">
        <f t="shared" si="16"/>
        <v>10700.75</v>
      </c>
      <c r="J85" s="26"/>
      <c r="K85" s="86"/>
      <c r="L85" s="86"/>
      <c r="M85" s="86"/>
    </row>
    <row r="86" spans="1:17" ht="27.75" customHeight="1" x14ac:dyDescent="0.25">
      <c r="A86" s="41" t="s">
        <v>97</v>
      </c>
      <c r="B86" s="197" t="s">
        <v>98</v>
      </c>
      <c r="C86" s="147"/>
      <c r="D86" s="142"/>
      <c r="E86" s="95"/>
      <c r="F86" s="87"/>
      <c r="G86" s="91"/>
      <c r="H86" s="91"/>
      <c r="I86" s="153"/>
      <c r="J86" s="81"/>
      <c r="K86" s="86">
        <f>'[1]Утримання територій'!I209*10*1.1*120</f>
        <v>95330.400000000009</v>
      </c>
      <c r="M86">
        <f>270*2</f>
        <v>540</v>
      </c>
      <c r="N86">
        <f>297*3</f>
        <v>891</v>
      </c>
    </row>
    <row r="87" spans="1:17" ht="54.75" customHeight="1" x14ac:dyDescent="0.25">
      <c r="A87" s="84" t="s">
        <v>56</v>
      </c>
      <c r="B87" s="197"/>
      <c r="C87" s="149">
        <v>7394.2740000000003</v>
      </c>
      <c r="D87" s="143"/>
      <c r="E87" s="40">
        <f>E88+E102</f>
        <v>31466.149999999998</v>
      </c>
      <c r="F87" s="40">
        <f>F88+F102</f>
        <v>7756.1090000000004</v>
      </c>
      <c r="G87" s="40">
        <f>G88+G102</f>
        <v>8094.6669999999995</v>
      </c>
      <c r="H87" s="40">
        <f t="shared" ref="H87:I87" si="17">H88+H102</f>
        <v>4914.6239999999998</v>
      </c>
      <c r="I87" s="40">
        <f t="shared" si="17"/>
        <v>10700.75</v>
      </c>
      <c r="J87" s="31"/>
      <c r="K87" s="86">
        <f>'[1]Утримання територій'!K210+'[1]Утримання територій'!L210+'[1]Утримання територій'!M210</f>
        <v>2791901.0015249997</v>
      </c>
      <c r="L87" s="2">
        <f>'[1]Утримання територій'!N210+'[1]Утримання територій'!O210+'[1]Утримання територій'!P210</f>
        <v>2174381.9999000002</v>
      </c>
      <c r="M87" s="2">
        <f>'[1]Утримання територій'!Q210+'[1]Утримання територій'!R210+'[1]Утримання територій'!S210</f>
        <v>2001959.9999000002</v>
      </c>
      <c r="N87" s="49">
        <f>'[1]Утримання територій'!T210+'[1]Утримання територій'!U210+'[1]Утримання територій'!V210</f>
        <v>2296036.0014850004</v>
      </c>
      <c r="O87" s="96">
        <f>K87+L87+M87+N87</f>
        <v>9264279.0028100014</v>
      </c>
    </row>
    <row r="88" spans="1:17" ht="15.6" customHeight="1" x14ac:dyDescent="0.25">
      <c r="A88" s="38" t="s">
        <v>57</v>
      </c>
      <c r="B88" s="197"/>
      <c r="C88" s="149">
        <v>7077.9920000000002</v>
      </c>
      <c r="D88" s="143"/>
      <c r="E88" s="40">
        <f t="shared" ref="E88" si="18">F88+G88+H88+I88</f>
        <v>31081.17</v>
      </c>
      <c r="F88" s="40">
        <f>F89+F93+F97+F99</f>
        <v>7756.1090000000004</v>
      </c>
      <c r="G88" s="40">
        <f>G89+G93+G97+G99+G96</f>
        <v>7709.6869999999999</v>
      </c>
      <c r="H88" s="40">
        <f t="shared" ref="H88:I88" si="19">H89+H93+H97+H99</f>
        <v>4914.6239999999998</v>
      </c>
      <c r="I88" s="40">
        <f t="shared" si="19"/>
        <v>10700.75</v>
      </c>
      <c r="J88" s="31"/>
      <c r="K88" s="49" t="e">
        <f>#REF!+K89+K93+#REF!+K92</f>
        <v>#REF!</v>
      </c>
      <c r="L88" s="86"/>
      <c r="M88" s="97" t="e">
        <f>K88+L88</f>
        <v>#REF!</v>
      </c>
      <c r="Q88" s="27"/>
    </row>
    <row r="89" spans="1:17" ht="15.6" customHeight="1" x14ac:dyDescent="0.25">
      <c r="A89" s="41" t="s">
        <v>99</v>
      </c>
      <c r="B89" s="197"/>
      <c r="C89" s="149">
        <v>1792.0319999999999</v>
      </c>
      <c r="D89" s="143"/>
      <c r="E89" s="40">
        <f>F89+G89+H89+I89</f>
        <v>8110.1080000000002</v>
      </c>
      <c r="F89" s="40">
        <f>F90+F91</f>
        <v>1878.4860000000001</v>
      </c>
      <c r="G89" s="40">
        <f>G90+G91+G92</f>
        <v>2101.625</v>
      </c>
      <c r="H89" s="40">
        <f>H90+H91+H92</f>
        <v>2240.6080000000002</v>
      </c>
      <c r="I89" s="40">
        <f t="shared" ref="I89" si="20">I90+I91</f>
        <v>1889.3890000000001</v>
      </c>
      <c r="J89" s="31"/>
      <c r="K89" s="96">
        <f>'[1]Утримання територій'!J12-'[1]Утримання територій'!J15</f>
        <v>6188193</v>
      </c>
      <c r="M89" s="49">
        <f>[1]тварини!H51</f>
        <v>49677</v>
      </c>
    </row>
    <row r="90" spans="1:17" ht="15.6" customHeight="1" x14ac:dyDescent="0.25">
      <c r="A90" s="88" t="s">
        <v>171</v>
      </c>
      <c r="B90" s="197"/>
      <c r="C90" s="150">
        <v>320.86700000000002</v>
      </c>
      <c r="D90" s="116"/>
      <c r="E90" s="134">
        <f t="shared" ref="E90:E93" si="21">F90+G90+H90+I90</f>
        <v>1418.145</v>
      </c>
      <c r="F90" s="134">
        <v>394.28699999999998</v>
      </c>
      <c r="G90" s="134">
        <v>341.286</v>
      </c>
      <c r="H90" s="134">
        <v>341.286</v>
      </c>
      <c r="I90" s="134">
        <v>341.286</v>
      </c>
      <c r="J90" s="36"/>
      <c r="K90" s="86">
        <f>'[1]Утримання територій'!J13</f>
        <v>1980222</v>
      </c>
      <c r="L90" s="2">
        <f>'[1]Утримання територій'!J12+'[1]Утримання територій'!J16</f>
        <v>8075016.9978</v>
      </c>
      <c r="M90" s="49">
        <f>[1]води!H50</f>
        <v>9800.0000000000018</v>
      </c>
    </row>
    <row r="91" spans="1:17" ht="15.6" customHeight="1" x14ac:dyDescent="0.25">
      <c r="A91" s="88" t="s">
        <v>172</v>
      </c>
      <c r="B91" s="197"/>
      <c r="C91" s="150">
        <v>1148.0119999999999</v>
      </c>
      <c r="D91" s="116"/>
      <c r="E91" s="134">
        <f t="shared" si="21"/>
        <v>6128.509</v>
      </c>
      <c r="F91" s="134">
        <v>1484.1990000000001</v>
      </c>
      <c r="G91" s="134">
        <v>1548.104</v>
      </c>
      <c r="H91" s="134">
        <v>1548.1030000000001</v>
      </c>
      <c r="I91" s="134">
        <v>1548.1030000000001</v>
      </c>
      <c r="J91" s="36"/>
      <c r="K91" s="86">
        <f>'[1]Утримання територій'!J14</f>
        <v>4207971</v>
      </c>
      <c r="M91" s="49">
        <f>[1]растения!I35+15000</f>
        <v>15000</v>
      </c>
    </row>
    <row r="92" spans="1:17" ht="15.6" customHeight="1" x14ac:dyDescent="0.25">
      <c r="A92" s="90" t="s">
        <v>85</v>
      </c>
      <c r="B92" s="197"/>
      <c r="C92" s="147"/>
      <c r="D92" s="116"/>
      <c r="E92" s="134">
        <f>F92+G92+H92+I92</f>
        <v>563.45399999999995</v>
      </c>
      <c r="F92" s="134"/>
      <c r="G92" s="134">
        <v>212.23500000000001</v>
      </c>
      <c r="H92" s="134">
        <v>351.21899999999999</v>
      </c>
      <c r="I92" s="39"/>
      <c r="J92" s="36"/>
      <c r="K92" s="96">
        <f>'[1]Утримання територій'!J15</f>
        <v>430673</v>
      </c>
      <c r="M92" s="49" t="e">
        <f>[1]Амброзія!#REF!</f>
        <v>#REF!</v>
      </c>
    </row>
    <row r="93" spans="1:17" ht="15.6" customHeight="1" x14ac:dyDescent="0.25">
      <c r="A93" s="41" t="s">
        <v>100</v>
      </c>
      <c r="B93" s="197"/>
      <c r="C93" s="147">
        <v>323.15300000000002</v>
      </c>
      <c r="D93" s="144"/>
      <c r="E93" s="40">
        <f t="shared" si="21"/>
        <v>1784.2270000000001</v>
      </c>
      <c r="F93" s="40">
        <v>413.267</v>
      </c>
      <c r="G93" s="40">
        <v>462.36</v>
      </c>
      <c r="H93" s="40">
        <v>492.93</v>
      </c>
      <c r="I93" s="40">
        <v>415.67</v>
      </c>
      <c r="J93" s="31"/>
      <c r="K93" s="96">
        <f>'[1]Утримання територій'!J16</f>
        <v>1456150.9978000002</v>
      </c>
      <c r="M93" s="97" t="e">
        <f>SUM(M88:M92)</f>
        <v>#REF!</v>
      </c>
    </row>
    <row r="94" spans="1:17" ht="15.6" hidden="1" customHeight="1" x14ac:dyDescent="0.25">
      <c r="A94" s="41" t="s">
        <v>59</v>
      </c>
      <c r="B94" s="197"/>
      <c r="C94" s="147"/>
      <c r="D94" s="116"/>
      <c r="E94" s="154">
        <f t="shared" ref="E94:E100" si="22">I94</f>
        <v>70.590999999999994</v>
      </c>
      <c r="F94" s="154"/>
      <c r="G94" s="154"/>
      <c r="H94" s="154"/>
      <c r="I94" s="154">
        <v>70.590999999999994</v>
      </c>
      <c r="J94" s="36"/>
      <c r="K94" s="86" t="e">
        <f>#REF!</f>
        <v>#REF!</v>
      </c>
      <c r="L94" s="2" t="e">
        <f>K94/1000-E94</f>
        <v>#REF!</v>
      </c>
    </row>
    <row r="95" spans="1:17" ht="15.6" hidden="1" customHeight="1" x14ac:dyDescent="0.25">
      <c r="A95" s="41" t="s">
        <v>60</v>
      </c>
      <c r="B95" s="197"/>
      <c r="C95" s="147"/>
      <c r="D95" s="116"/>
      <c r="E95" s="154">
        <f t="shared" si="22"/>
        <v>252.56200000000001</v>
      </c>
      <c r="F95" s="154"/>
      <c r="G95" s="154"/>
      <c r="H95" s="154"/>
      <c r="I95" s="154">
        <v>252.56200000000001</v>
      </c>
      <c r="J95" s="36"/>
      <c r="K95" s="86" t="e">
        <f>#REF!</f>
        <v>#REF!</v>
      </c>
      <c r="L95" s="2" t="e">
        <f>K95/1000-E95</f>
        <v>#REF!</v>
      </c>
    </row>
    <row r="96" spans="1:17" ht="15.6" customHeight="1" x14ac:dyDescent="0.25">
      <c r="A96" s="41" t="s">
        <v>81</v>
      </c>
      <c r="B96" s="197"/>
      <c r="C96" s="149">
        <v>219.333</v>
      </c>
      <c r="D96" s="116"/>
      <c r="E96" s="40">
        <f>F96+G96+H96+I96</f>
        <v>202.548</v>
      </c>
      <c r="F96" s="40"/>
      <c r="G96" s="40">
        <v>202.548</v>
      </c>
      <c r="H96" s="154"/>
      <c r="I96" s="154"/>
      <c r="J96" s="36"/>
      <c r="K96" s="96">
        <f>'[1]Утримання територій'!J16</f>
        <v>1456150.9978000002</v>
      </c>
      <c r="M96" s="49">
        <f>'[1]тех паспорти'!F53</f>
        <v>0</v>
      </c>
      <c r="Q96" s="27"/>
    </row>
    <row r="97" spans="1:12" ht="15.6" customHeight="1" x14ac:dyDescent="0.25">
      <c r="A97" s="115" t="s">
        <v>154</v>
      </c>
      <c r="B97" s="197"/>
      <c r="C97" s="149">
        <v>390.79700000000003</v>
      </c>
      <c r="D97" s="116"/>
      <c r="E97" s="40">
        <v>3184.7739999999999</v>
      </c>
      <c r="F97" s="40">
        <v>474.483</v>
      </c>
      <c r="G97" s="40">
        <v>1770.097</v>
      </c>
      <c r="H97" s="40">
        <v>470.09699999999998</v>
      </c>
      <c r="I97" s="40">
        <v>470.09699999999998</v>
      </c>
      <c r="J97" s="36"/>
      <c r="K97" s="96">
        <f>'[1]Утримання територій'!J188</f>
        <v>84939</v>
      </c>
    </row>
    <row r="98" spans="1:12" ht="27.75" hidden="1" customHeight="1" x14ac:dyDescent="0.25">
      <c r="A98" s="137"/>
      <c r="B98" s="197"/>
      <c r="C98" s="149"/>
      <c r="D98" s="116"/>
      <c r="E98" s="40">
        <f t="shared" si="22"/>
        <v>0</v>
      </c>
      <c r="F98" s="104"/>
      <c r="G98" s="104"/>
      <c r="H98" s="104"/>
      <c r="I98" s="104"/>
      <c r="J98" s="100"/>
      <c r="K98" s="96">
        <f>'[1]тех паспорти'!F55</f>
        <v>81220</v>
      </c>
    </row>
    <row r="99" spans="1:12" ht="15.75" customHeight="1" x14ac:dyDescent="0.25">
      <c r="A99" s="121" t="s">
        <v>156</v>
      </c>
      <c r="B99" s="197"/>
      <c r="C99" s="149">
        <v>4669.2700000000004</v>
      </c>
      <c r="D99" s="116"/>
      <c r="E99" s="40">
        <v>17799.512999999999</v>
      </c>
      <c r="F99" s="104">
        <v>4989.8729999999996</v>
      </c>
      <c r="G99" s="104">
        <v>3173.0569999999998</v>
      </c>
      <c r="H99" s="104">
        <v>1710.989</v>
      </c>
      <c r="I99" s="104">
        <v>7925.5940000000001</v>
      </c>
      <c r="J99" s="100"/>
      <c r="K99" s="96">
        <f>'[1]Утримання територій'!J201</f>
        <v>66735.999960000001</v>
      </c>
    </row>
    <row r="100" spans="1:12" ht="28.5" customHeight="1" x14ac:dyDescent="0.25">
      <c r="A100" s="41" t="s">
        <v>101</v>
      </c>
      <c r="B100" s="197"/>
      <c r="C100" s="149">
        <v>6.56</v>
      </c>
      <c r="D100" s="116"/>
      <c r="E100" s="40">
        <f t="shared" si="22"/>
        <v>0</v>
      </c>
      <c r="F100" s="98"/>
      <c r="G100" s="98"/>
      <c r="H100" s="156"/>
      <c r="I100" s="157"/>
      <c r="J100" s="100"/>
      <c r="K100" s="86"/>
      <c r="L100" s="2"/>
    </row>
    <row r="101" spans="1:12" ht="27" customHeight="1" x14ac:dyDescent="0.25">
      <c r="A101" s="41" t="s">
        <v>66</v>
      </c>
      <c r="B101" s="197"/>
      <c r="C101" s="149"/>
      <c r="D101" s="116"/>
      <c r="E101" s="40"/>
      <c r="F101" s="98"/>
      <c r="G101" s="98"/>
      <c r="H101" s="156"/>
      <c r="I101" s="156"/>
      <c r="J101" s="100"/>
      <c r="K101" s="86"/>
    </row>
    <row r="102" spans="1:12" ht="14.85" customHeight="1" x14ac:dyDescent="0.25">
      <c r="A102" s="80" t="s">
        <v>102</v>
      </c>
      <c r="B102" s="197"/>
      <c r="C102" s="149">
        <v>316.28199999999998</v>
      </c>
      <c r="D102" s="116"/>
      <c r="E102" s="40">
        <f>F102+G102+H102+I102</f>
        <v>384.98</v>
      </c>
      <c r="F102" s="104"/>
      <c r="G102" s="104">
        <v>384.98</v>
      </c>
      <c r="H102" s="157"/>
      <c r="I102" s="157"/>
      <c r="J102" s="105"/>
      <c r="K102" s="86"/>
    </row>
    <row r="103" spans="1:12" ht="63.75" hidden="1" customHeight="1" x14ac:dyDescent="0.25">
      <c r="A103" s="84" t="s">
        <v>56</v>
      </c>
      <c r="B103" s="197"/>
      <c r="C103" s="149"/>
      <c r="D103" s="145"/>
      <c r="E103" s="40">
        <f t="shared" ref="E103:E118" si="23">F103+G103+H103+I103</f>
        <v>0</v>
      </c>
      <c r="F103" s="104"/>
      <c r="G103" s="106"/>
      <c r="H103" s="106"/>
      <c r="I103" s="106"/>
      <c r="J103" s="105"/>
      <c r="K103" s="86"/>
    </row>
    <row r="104" spans="1:12" ht="15.75" hidden="1" customHeight="1" x14ac:dyDescent="0.25">
      <c r="A104" s="84" t="s">
        <v>103</v>
      </c>
      <c r="B104" s="197"/>
      <c r="C104" s="149"/>
      <c r="D104" s="116"/>
      <c r="E104" s="40">
        <f t="shared" si="23"/>
        <v>0</v>
      </c>
      <c r="F104" s="98"/>
      <c r="G104" s="103"/>
      <c r="H104" s="103"/>
      <c r="I104" s="103"/>
      <c r="J104" s="100"/>
      <c r="K104" s="86"/>
    </row>
    <row r="105" spans="1:12" ht="15.75" hidden="1" customHeight="1" x14ac:dyDescent="0.25">
      <c r="A105" s="107" t="s">
        <v>67</v>
      </c>
      <c r="B105" s="197"/>
      <c r="C105" s="149"/>
      <c r="D105" s="144"/>
      <c r="E105" s="40">
        <f t="shared" si="23"/>
        <v>0</v>
      </c>
      <c r="F105" s="104"/>
      <c r="G105" s="104"/>
      <c r="H105" s="106"/>
      <c r="I105" s="106"/>
      <c r="J105" s="105"/>
      <c r="K105" s="86">
        <f>[1]растения!G34</f>
        <v>152739</v>
      </c>
    </row>
    <row r="106" spans="1:12" ht="39" hidden="1" customHeight="1" x14ac:dyDescent="0.25">
      <c r="A106" s="108" t="s">
        <v>68</v>
      </c>
      <c r="B106" s="197"/>
      <c r="C106" s="149"/>
      <c r="D106" s="116"/>
      <c r="E106" s="40">
        <f t="shared" si="23"/>
        <v>0</v>
      </c>
      <c r="F106" s="98"/>
      <c r="G106" s="98"/>
      <c r="H106" s="109"/>
      <c r="I106" s="109"/>
      <c r="J106" s="100"/>
      <c r="K106" s="96">
        <f>[1]растения!G10+[1]растения!G14</f>
        <v>77550</v>
      </c>
    </row>
    <row r="107" spans="1:12" ht="19.5" hidden="1" customHeight="1" x14ac:dyDescent="0.25">
      <c r="A107" s="108" t="s">
        <v>69</v>
      </c>
      <c r="B107" s="197"/>
      <c r="C107" s="149"/>
      <c r="D107" s="116"/>
      <c r="E107" s="40">
        <f t="shared" si="23"/>
        <v>0</v>
      </c>
      <c r="F107" s="98"/>
      <c r="G107" s="98"/>
      <c r="H107" s="109"/>
      <c r="I107" s="109"/>
      <c r="J107" s="100"/>
      <c r="K107" s="96">
        <f>[1]растения!G16+[1]растения!G19</f>
        <v>75189</v>
      </c>
    </row>
    <row r="108" spans="1:12" ht="55.5" hidden="1" customHeight="1" x14ac:dyDescent="0.25">
      <c r="A108" s="101" t="s">
        <v>70</v>
      </c>
      <c r="B108" s="197"/>
      <c r="C108" s="149"/>
      <c r="D108" s="144"/>
      <c r="E108" s="40">
        <f t="shared" si="23"/>
        <v>0</v>
      </c>
      <c r="F108" s="40"/>
      <c r="G108" s="95"/>
      <c r="H108" s="85"/>
      <c r="I108" s="85"/>
      <c r="J108" s="31"/>
      <c r="K108" s="96">
        <f>[1]Амброзія!G57</f>
        <v>56266</v>
      </c>
    </row>
    <row r="109" spans="1:12" ht="15.75" hidden="1" customHeight="1" x14ac:dyDescent="0.25">
      <c r="A109" s="84" t="s">
        <v>57</v>
      </c>
      <c r="B109" s="197"/>
      <c r="C109" s="149"/>
      <c r="D109" s="116"/>
      <c r="E109" s="40">
        <f t="shared" si="23"/>
        <v>0</v>
      </c>
      <c r="F109" s="39"/>
      <c r="G109" s="110"/>
      <c r="H109" s="110"/>
      <c r="I109" s="110"/>
      <c r="J109" s="36"/>
      <c r="K109" s="86"/>
    </row>
    <row r="110" spans="1:12" ht="15" hidden="1" customHeight="1" x14ac:dyDescent="0.25">
      <c r="A110" s="41" t="s">
        <v>104</v>
      </c>
      <c r="B110" s="197"/>
      <c r="C110" s="149"/>
      <c r="D110" s="116"/>
      <c r="E110" s="40">
        <f t="shared" si="23"/>
        <v>0</v>
      </c>
      <c r="F110" s="39"/>
      <c r="G110" s="110"/>
      <c r="H110" s="110"/>
      <c r="I110" s="110"/>
      <c r="J110" s="36"/>
      <c r="K110" s="86"/>
    </row>
    <row r="111" spans="1:12" ht="15.75" hidden="1" customHeight="1" x14ac:dyDescent="0.25">
      <c r="A111" s="41" t="s">
        <v>105</v>
      </c>
      <c r="B111" s="197"/>
      <c r="C111" s="149"/>
      <c r="D111" s="116"/>
      <c r="E111" s="40">
        <f t="shared" si="23"/>
        <v>0</v>
      </c>
      <c r="F111" s="39"/>
      <c r="G111" s="110"/>
      <c r="H111" s="110"/>
      <c r="I111" s="110"/>
      <c r="J111" s="36"/>
      <c r="K111" s="86"/>
    </row>
    <row r="112" spans="1:12" ht="15.75" hidden="1" customHeight="1" x14ac:dyDescent="0.25">
      <c r="A112" s="41" t="s">
        <v>106</v>
      </c>
      <c r="B112" s="197"/>
      <c r="C112" s="149"/>
      <c r="D112" s="116"/>
      <c r="E112" s="40">
        <f t="shared" si="23"/>
        <v>0</v>
      </c>
      <c r="F112" s="39"/>
      <c r="G112" s="110"/>
      <c r="H112" s="110"/>
      <c r="I112" s="110"/>
      <c r="J112" s="36"/>
      <c r="K112" s="86"/>
    </row>
    <row r="113" spans="1:15" ht="15.75" hidden="1" customHeight="1" x14ac:dyDescent="0.25">
      <c r="A113" s="41" t="s">
        <v>107</v>
      </c>
      <c r="B113" s="197"/>
      <c r="C113" s="149"/>
      <c r="D113" s="116"/>
      <c r="E113" s="40">
        <f t="shared" si="23"/>
        <v>0</v>
      </c>
      <c r="F113" s="39"/>
      <c r="G113" s="99"/>
      <c r="H113" s="89"/>
      <c r="I113" s="89"/>
      <c r="J113" s="36"/>
      <c r="K113" s="86">
        <f>[1]Амброзія!G57</f>
        <v>56266</v>
      </c>
    </row>
    <row r="114" spans="1:15" ht="65.25" customHeight="1" x14ac:dyDescent="0.25">
      <c r="A114" s="58" t="s">
        <v>159</v>
      </c>
      <c r="B114" s="141"/>
      <c r="C114" s="149">
        <v>1502.116</v>
      </c>
      <c r="D114" s="116"/>
      <c r="E114" s="39">
        <f>E115</f>
        <v>174.58699999999999</v>
      </c>
      <c r="F114" s="39">
        <f>F115</f>
        <v>174.58699999999999</v>
      </c>
      <c r="G114" s="99"/>
      <c r="H114" s="89"/>
      <c r="I114" s="140"/>
      <c r="J114" s="36"/>
      <c r="K114" s="86"/>
    </row>
    <row r="115" spans="1:15" ht="15.75" customHeight="1" x14ac:dyDescent="0.25">
      <c r="A115" s="61" t="s">
        <v>57</v>
      </c>
      <c r="B115" s="141"/>
      <c r="C115" s="147">
        <v>830.62099999999998</v>
      </c>
      <c r="D115" s="116"/>
      <c r="E115" s="39">
        <f t="shared" si="23"/>
        <v>174.58699999999999</v>
      </c>
      <c r="F115" s="39">
        <v>174.58699999999999</v>
      </c>
      <c r="G115" s="99"/>
      <c r="H115" s="89"/>
      <c r="I115" s="139"/>
      <c r="J115" s="36"/>
      <c r="K115" s="86"/>
    </row>
    <row r="116" spans="1:15" ht="15.75" customHeight="1" x14ac:dyDescent="0.25">
      <c r="A116" s="66" t="s">
        <v>67</v>
      </c>
      <c r="B116" s="141"/>
      <c r="C116" s="147">
        <v>671.495</v>
      </c>
      <c r="D116" s="116"/>
      <c r="E116" s="40">
        <f t="shared" si="23"/>
        <v>0</v>
      </c>
      <c r="F116" s="39"/>
      <c r="G116" s="99"/>
      <c r="H116" s="89"/>
      <c r="I116" s="139"/>
      <c r="J116" s="36"/>
      <c r="K116" s="86"/>
    </row>
    <row r="117" spans="1:15" ht="26.25" customHeight="1" x14ac:dyDescent="0.25">
      <c r="A117" s="64" t="s">
        <v>66</v>
      </c>
      <c r="B117" s="141"/>
      <c r="C117" s="147">
        <v>671.495</v>
      </c>
      <c r="D117" s="116"/>
      <c r="E117" s="40">
        <f t="shared" si="23"/>
        <v>0</v>
      </c>
      <c r="F117" s="39"/>
      <c r="G117" s="99"/>
      <c r="H117" s="89"/>
      <c r="I117" s="139"/>
      <c r="J117" s="36"/>
      <c r="K117" s="86"/>
    </row>
    <row r="118" spans="1:15" ht="19.5" customHeight="1" x14ac:dyDescent="0.25">
      <c r="A118" s="41" t="s">
        <v>108</v>
      </c>
      <c r="B118" s="33" t="s">
        <v>109</v>
      </c>
      <c r="C118" s="146"/>
      <c r="D118" s="33"/>
      <c r="E118" s="40">
        <f t="shared" si="23"/>
        <v>0</v>
      </c>
      <c r="F118" s="111"/>
      <c r="G118" s="33"/>
      <c r="H118" s="33"/>
      <c r="I118" s="80"/>
      <c r="J118" s="81"/>
      <c r="K118" s="86">
        <f>[1]тварини!H51</f>
        <v>49677</v>
      </c>
    </row>
    <row r="119" spans="1:15" ht="18.75" customHeight="1" x14ac:dyDescent="0.25">
      <c r="A119" s="76" t="s">
        <v>110</v>
      </c>
      <c r="B119" s="77" t="s">
        <v>111</v>
      </c>
      <c r="C119" s="112">
        <v>10137.971</v>
      </c>
      <c r="D119" s="113"/>
      <c r="E119" s="113">
        <f>E71</f>
        <v>41883.020359999995</v>
      </c>
      <c r="F119" s="113">
        <f t="shared" ref="F119:I119" si="24">F71</f>
        <v>9760.512999999999</v>
      </c>
      <c r="G119" s="113">
        <f t="shared" si="24"/>
        <v>10898.822119999999</v>
      </c>
      <c r="H119" s="113">
        <f t="shared" si="24"/>
        <v>7718.7791199999992</v>
      </c>
      <c r="I119" s="113">
        <f t="shared" si="24"/>
        <v>13504.90612</v>
      </c>
      <c r="J119" s="79"/>
      <c r="K119" s="86" t="e">
        <f>K120+K121+#REF!+#REF!+K122+K123</f>
        <v>#REF!</v>
      </c>
      <c r="L119" s="27">
        <f>E71</f>
        <v>41883.020359999995</v>
      </c>
    </row>
    <row r="120" spans="1:15" ht="18.600000000000001" customHeight="1" x14ac:dyDescent="0.25">
      <c r="A120" s="114" t="s">
        <v>112</v>
      </c>
      <c r="B120" s="33" t="s">
        <v>113</v>
      </c>
      <c r="C120" s="95">
        <v>6.9539999999999997</v>
      </c>
      <c r="D120" s="95"/>
      <c r="E120" s="95">
        <f>E69-E119</f>
        <v>127.71664000000601</v>
      </c>
      <c r="F120" s="95">
        <f>F69-F119</f>
        <v>12.683000000000902</v>
      </c>
      <c r="G120" s="95">
        <f>G69-G119</f>
        <v>38.344880000000558</v>
      </c>
      <c r="H120" s="95">
        <f>H69-H119</f>
        <v>38.344880000000558</v>
      </c>
      <c r="I120" s="95">
        <f>I69-I119</f>
        <v>38.343880000000354</v>
      </c>
      <c r="J120" s="31">
        <f>E119-E69</f>
        <v>-127.71664000000601</v>
      </c>
      <c r="K120" s="86">
        <f>[1]растения!G34/1000</f>
        <v>152.739</v>
      </c>
    </row>
    <row r="121" spans="1:15" ht="14.25" customHeight="1" x14ac:dyDescent="0.25">
      <c r="A121" s="115" t="s">
        <v>114</v>
      </c>
      <c r="B121" s="116" t="s">
        <v>115</v>
      </c>
      <c r="C121" s="95"/>
      <c r="D121" s="117"/>
      <c r="E121" s="95"/>
      <c r="F121" s="40"/>
      <c r="G121" s="95"/>
      <c r="H121" s="95"/>
      <c r="I121" s="95"/>
      <c r="J121" s="81"/>
      <c r="K121" s="86">
        <f>'[1]Утримання територій'!J210/1000</f>
        <v>9264.279001009998</v>
      </c>
      <c r="L121" s="118"/>
      <c r="M121" s="118"/>
      <c r="N121" s="118"/>
      <c r="O121" s="118"/>
    </row>
    <row r="122" spans="1:15" ht="23.65" customHeight="1" x14ac:dyDescent="0.25">
      <c r="A122" s="119" t="s">
        <v>116</v>
      </c>
      <c r="B122" s="198" t="s">
        <v>117</v>
      </c>
      <c r="C122" s="199"/>
      <c r="D122" s="200"/>
      <c r="E122" s="201"/>
      <c r="F122" s="202"/>
      <c r="G122" s="195"/>
      <c r="H122" s="195"/>
      <c r="I122" s="195"/>
      <c r="J122" s="81"/>
      <c r="K122" s="86">
        <f>[1]тварини!H51/1000</f>
        <v>49.677</v>
      </c>
    </row>
    <row r="123" spans="1:15" ht="14.25" customHeight="1" x14ac:dyDescent="0.25">
      <c r="A123" s="41" t="s">
        <v>118</v>
      </c>
      <c r="B123" s="198"/>
      <c r="C123" s="199"/>
      <c r="D123" s="200"/>
      <c r="E123" s="201"/>
      <c r="F123" s="202"/>
      <c r="G123" s="195"/>
      <c r="H123" s="195"/>
      <c r="I123" s="195"/>
      <c r="J123" s="81"/>
      <c r="K123" s="86">
        <f>[1]води!H50/1000</f>
        <v>9.8000000000000025</v>
      </c>
      <c r="L123" s="118"/>
      <c r="M123" s="118"/>
      <c r="N123" s="118"/>
      <c r="O123" s="118"/>
    </row>
    <row r="124" spans="1:15" ht="14.25" customHeight="1" x14ac:dyDescent="0.25">
      <c r="A124" s="41" t="s">
        <v>119</v>
      </c>
      <c r="B124" s="198"/>
      <c r="C124" s="199"/>
      <c r="D124" s="200"/>
      <c r="E124" s="201"/>
      <c r="F124" s="202"/>
      <c r="G124" s="195"/>
      <c r="H124" s="195"/>
      <c r="I124" s="195"/>
      <c r="J124" s="81"/>
      <c r="K124" s="86"/>
    </row>
    <row r="125" spans="1:15" ht="24.95" customHeight="1" x14ac:dyDescent="0.25">
      <c r="A125" s="107" t="s">
        <v>120</v>
      </c>
      <c r="B125" s="198" t="s">
        <v>121</v>
      </c>
      <c r="C125" s="95"/>
      <c r="D125" s="98"/>
      <c r="E125" s="104"/>
      <c r="F125" s="98"/>
      <c r="G125" s="98"/>
      <c r="H125" s="98"/>
      <c r="I125" s="98"/>
      <c r="J125" s="100"/>
      <c r="K125" s="86"/>
    </row>
    <row r="126" spans="1:15" x14ac:dyDescent="0.25">
      <c r="A126" s="41" t="s">
        <v>118</v>
      </c>
      <c r="B126" s="198"/>
      <c r="C126" s="95">
        <v>6.9539999999999997</v>
      </c>
      <c r="D126" s="98"/>
      <c r="E126" s="104">
        <f t="shared" ref="E126:H126" si="25">E120</f>
        <v>127.71664000000601</v>
      </c>
      <c r="F126" s="104">
        <f t="shared" si="25"/>
        <v>12.683000000000902</v>
      </c>
      <c r="G126" s="104">
        <f t="shared" si="25"/>
        <v>38.344880000000558</v>
      </c>
      <c r="H126" s="104">
        <f t="shared" si="25"/>
        <v>38.344880000000558</v>
      </c>
      <c r="I126" s="104">
        <f>I120</f>
        <v>38.343880000000354</v>
      </c>
      <c r="J126" s="100"/>
      <c r="K126" s="86"/>
    </row>
    <row r="127" spans="1:15" x14ac:dyDescent="0.25">
      <c r="A127" s="41" t="s">
        <v>119</v>
      </c>
      <c r="B127" s="198"/>
      <c r="C127" s="95"/>
      <c r="D127" s="33"/>
      <c r="E127" s="104"/>
      <c r="F127" s="109"/>
      <c r="G127" s="109"/>
      <c r="H127" s="109"/>
      <c r="I127" s="98"/>
      <c r="J127" s="100"/>
      <c r="K127" s="86"/>
    </row>
    <row r="128" spans="1:15" ht="24.75" customHeight="1" x14ac:dyDescent="0.25">
      <c r="A128" s="119" t="s">
        <v>122</v>
      </c>
      <c r="B128" s="33" t="s">
        <v>123</v>
      </c>
      <c r="C128" s="95">
        <v>1.252</v>
      </c>
      <c r="D128" s="104"/>
      <c r="E128" s="104">
        <f t="shared" ref="E128:H128" si="26">E126*0.18</f>
        <v>22.988995200001082</v>
      </c>
      <c r="F128" s="104">
        <f t="shared" si="26"/>
        <v>2.2829400000001625</v>
      </c>
      <c r="G128" s="104">
        <f t="shared" si="26"/>
        <v>6.9020784000001001</v>
      </c>
      <c r="H128" s="104">
        <f t="shared" si="26"/>
        <v>6.9020784000001001</v>
      </c>
      <c r="I128" s="104">
        <f>I126*0.18</f>
        <v>6.9018984000000634</v>
      </c>
      <c r="J128" s="105"/>
      <c r="K128" s="86"/>
    </row>
    <row r="129" spans="1:15" ht="16.5" customHeight="1" x14ac:dyDescent="0.25">
      <c r="A129" s="114" t="s">
        <v>124</v>
      </c>
      <c r="B129" s="116" t="s">
        <v>125</v>
      </c>
      <c r="C129" s="95">
        <v>5.702</v>
      </c>
      <c r="D129" s="98"/>
      <c r="E129" s="104">
        <f t="shared" ref="E129:H129" si="27">E126-E128</f>
        <v>104.72764480000492</v>
      </c>
      <c r="F129" s="104">
        <f t="shared" si="27"/>
        <v>10.400060000000739</v>
      </c>
      <c r="G129" s="104">
        <f t="shared" si="27"/>
        <v>31.442801600000458</v>
      </c>
      <c r="H129" s="104">
        <f t="shared" si="27"/>
        <v>31.442801600000458</v>
      </c>
      <c r="I129" s="104">
        <f>I126-I128</f>
        <v>31.44198160000029</v>
      </c>
      <c r="J129" s="100"/>
      <c r="K129" s="86"/>
    </row>
    <row r="130" spans="1:15" x14ac:dyDescent="0.25">
      <c r="A130" s="121" t="s">
        <v>118</v>
      </c>
      <c r="B130" s="33" t="s">
        <v>126</v>
      </c>
      <c r="C130" s="33"/>
      <c r="D130" s="33"/>
      <c r="E130" s="106">
        <f>F130+G130+H130+I130</f>
        <v>104.72764480000195</v>
      </c>
      <c r="F130" s="109">
        <f>F129</f>
        <v>10.400060000000739</v>
      </c>
      <c r="G130" s="109">
        <f>G129</f>
        <v>31.442801600000458</v>
      </c>
      <c r="H130" s="109">
        <f>H129</f>
        <v>31.442801600000458</v>
      </c>
      <c r="I130" s="109">
        <f>I129</f>
        <v>31.44198160000029</v>
      </c>
      <c r="J130" s="100"/>
      <c r="K130" s="86"/>
    </row>
    <row r="131" spans="1:15" x14ac:dyDescent="0.25">
      <c r="A131" s="41" t="s">
        <v>119</v>
      </c>
      <c r="B131" s="33" t="s">
        <v>127</v>
      </c>
      <c r="C131" s="33"/>
      <c r="D131" s="33"/>
      <c r="E131" s="120"/>
      <c r="F131" s="122"/>
      <c r="G131" s="38"/>
      <c r="H131" s="38"/>
      <c r="I131" s="38"/>
      <c r="J131" s="123"/>
      <c r="K131" s="86"/>
    </row>
    <row r="132" spans="1:15" ht="15" customHeight="1" x14ac:dyDescent="0.25">
      <c r="A132" s="189" t="s">
        <v>128</v>
      </c>
      <c r="B132" s="189"/>
      <c r="C132" s="189"/>
      <c r="D132" s="189"/>
      <c r="E132" s="189"/>
      <c r="F132" s="189"/>
      <c r="G132" s="189"/>
      <c r="H132" s="189"/>
      <c r="I132" s="189"/>
      <c r="J132" s="124"/>
      <c r="K132" s="86"/>
    </row>
    <row r="133" spans="1:15" ht="16.5" customHeight="1" x14ac:dyDescent="0.25">
      <c r="A133" s="41" t="s">
        <v>129</v>
      </c>
      <c r="B133" s="33" t="s">
        <v>130</v>
      </c>
      <c r="C133" s="33"/>
      <c r="D133" s="33"/>
      <c r="E133" s="125"/>
      <c r="F133" s="111"/>
      <c r="G133" s="111"/>
      <c r="H133" s="111"/>
      <c r="I133" s="111"/>
      <c r="J133" s="81"/>
      <c r="K133" s="86"/>
    </row>
    <row r="134" spans="1:15" ht="21" customHeight="1" x14ac:dyDescent="0.25">
      <c r="A134" s="41" t="s">
        <v>131</v>
      </c>
      <c r="B134" s="33" t="s">
        <v>132</v>
      </c>
      <c r="C134" s="95">
        <v>1.1399999999999999</v>
      </c>
      <c r="D134" s="39"/>
      <c r="E134" s="40">
        <f t="shared" ref="E134:H134" si="28">E129*0.2</f>
        <v>20.945528960000985</v>
      </c>
      <c r="F134" s="40">
        <f t="shared" si="28"/>
        <v>2.0800120000001479</v>
      </c>
      <c r="G134" s="40">
        <f t="shared" si="28"/>
        <v>6.2885603200000917</v>
      </c>
      <c r="H134" s="40">
        <f t="shared" si="28"/>
        <v>6.2885603200000917</v>
      </c>
      <c r="I134" s="40">
        <f>I129*0.2</f>
        <v>6.2883963200000581</v>
      </c>
      <c r="J134" s="36"/>
      <c r="K134" s="86"/>
    </row>
    <row r="135" spans="1:15" ht="18" customHeight="1" x14ac:dyDescent="0.25">
      <c r="A135" s="41" t="s">
        <v>133</v>
      </c>
      <c r="B135" s="33" t="s">
        <v>134</v>
      </c>
      <c r="C135" s="95">
        <v>4.5620000000000003</v>
      </c>
      <c r="D135" s="39"/>
      <c r="E135" s="40">
        <f t="shared" ref="E135:H135" si="29">E129*0.8</f>
        <v>83.782115840003939</v>
      </c>
      <c r="F135" s="40">
        <f t="shared" si="29"/>
        <v>8.3200480000005914</v>
      </c>
      <c r="G135" s="40">
        <f t="shared" si="29"/>
        <v>25.154241280000367</v>
      </c>
      <c r="H135" s="40">
        <f t="shared" si="29"/>
        <v>25.154241280000367</v>
      </c>
      <c r="I135" s="40">
        <f>I129*0.8</f>
        <v>25.153585280000232</v>
      </c>
      <c r="J135" s="36"/>
      <c r="K135" s="86"/>
    </row>
    <row r="136" spans="1:15" ht="37.35" customHeight="1" x14ac:dyDescent="0.25">
      <c r="A136" s="80" t="s">
        <v>135</v>
      </c>
      <c r="B136" s="33" t="s">
        <v>136</v>
      </c>
      <c r="C136" s="33"/>
      <c r="D136" s="33"/>
      <c r="E136" s="125"/>
      <c r="F136" s="111"/>
      <c r="G136" s="111"/>
      <c r="H136" s="111"/>
      <c r="I136" s="111"/>
      <c r="J136" s="81"/>
      <c r="K136" s="86"/>
    </row>
    <row r="137" spans="1:15" ht="15.75" customHeight="1" x14ac:dyDescent="0.25">
      <c r="A137" s="189" t="s">
        <v>137</v>
      </c>
      <c r="B137" s="189"/>
      <c r="C137" s="189"/>
      <c r="D137" s="189"/>
      <c r="E137" s="189"/>
      <c r="F137" s="189"/>
      <c r="G137" s="189"/>
      <c r="H137" s="189"/>
      <c r="I137" s="189"/>
      <c r="J137" s="124"/>
      <c r="K137" s="86"/>
    </row>
    <row r="138" spans="1:15" ht="16.5" customHeight="1" x14ac:dyDescent="0.25">
      <c r="A138" s="80" t="s">
        <v>138</v>
      </c>
      <c r="B138" s="33" t="s">
        <v>139</v>
      </c>
      <c r="C138" s="33"/>
      <c r="D138" s="33"/>
      <c r="E138" s="120"/>
      <c r="F138" s="95"/>
      <c r="G138" s="95"/>
      <c r="H138" s="95"/>
      <c r="I138" s="95"/>
      <c r="J138" s="31"/>
      <c r="K138" s="5">
        <f>(E129-E141)*0.2</f>
        <v>20.945528960000985</v>
      </c>
      <c r="L138" s="118">
        <f>(F129-F141)*0.2</f>
        <v>2.0800120000001479</v>
      </c>
      <c r="M138" s="118">
        <f>(G129-G141)*0.2</f>
        <v>6.2885603200000917</v>
      </c>
      <c r="N138" s="118">
        <f>(H129-H141)*0.2</f>
        <v>6.2885603200000917</v>
      </c>
      <c r="O138" s="118">
        <f>(I129-I141)*0.2</f>
        <v>6.2883963200000581</v>
      </c>
    </row>
    <row r="139" spans="1:15" ht="16.5" customHeight="1" x14ac:dyDescent="0.25">
      <c r="A139" s="80" t="s">
        <v>140</v>
      </c>
      <c r="B139" s="33" t="s">
        <v>141</v>
      </c>
      <c r="C139" s="33"/>
      <c r="D139" s="33"/>
      <c r="E139" s="125"/>
      <c r="F139" s="125"/>
      <c r="G139" s="125"/>
      <c r="H139" s="125"/>
      <c r="I139" s="125"/>
      <c r="J139" s="126"/>
      <c r="K139" s="5">
        <f>(E130-E141)*0.8</f>
        <v>83.782115840001566</v>
      </c>
      <c r="L139">
        <f>(F130-F141)*0.8</f>
        <v>8.3200480000005914</v>
      </c>
      <c r="M139">
        <f>(G130-G141)*0.8</f>
        <v>25.154241280000367</v>
      </c>
      <c r="N139">
        <f>(H130-H141)*0.8</f>
        <v>25.154241280000367</v>
      </c>
      <c r="O139">
        <f>(I130-I141)*0.8</f>
        <v>25.153585280000232</v>
      </c>
    </row>
    <row r="140" spans="1:15" ht="16.5" customHeight="1" x14ac:dyDescent="0.25">
      <c r="A140" s="80" t="s">
        <v>142</v>
      </c>
      <c r="B140" s="33" t="s">
        <v>143</v>
      </c>
      <c r="C140" s="120"/>
      <c r="D140" s="120"/>
      <c r="E140" s="125"/>
      <c r="F140" s="125"/>
      <c r="G140" s="125"/>
      <c r="H140" s="125"/>
      <c r="I140" s="125"/>
      <c r="J140" s="126"/>
      <c r="K140" s="5">
        <f>K138+K139+E141</f>
        <v>104.72764480000255</v>
      </c>
      <c r="L140" s="118">
        <f>L138+L139+F141</f>
        <v>10.400060000000739</v>
      </c>
      <c r="M140" s="118">
        <f>M138+M139+G141</f>
        <v>31.442801600000458</v>
      </c>
      <c r="N140" s="118">
        <f>N138+N139+H141</f>
        <v>31.442801600000458</v>
      </c>
      <c r="O140" s="118">
        <f>O138+O139+I141</f>
        <v>31.44198160000029</v>
      </c>
    </row>
    <row r="141" spans="1:15" ht="16.5" customHeight="1" x14ac:dyDescent="0.25">
      <c r="A141" s="41" t="s">
        <v>144</v>
      </c>
      <c r="B141" s="33" t="s">
        <v>145</v>
      </c>
      <c r="C141" s="117"/>
      <c r="D141" s="39"/>
      <c r="E141" s="40"/>
      <c r="F141" s="39"/>
      <c r="G141" s="39"/>
      <c r="H141" s="39"/>
      <c r="I141" s="39"/>
      <c r="J141" s="36"/>
    </row>
    <row r="142" spans="1:15" ht="15.75" customHeight="1" x14ac:dyDescent="0.25">
      <c r="A142" s="41" t="s">
        <v>146</v>
      </c>
      <c r="B142" s="33" t="s">
        <v>147</v>
      </c>
      <c r="C142" s="33"/>
      <c r="D142" s="33"/>
      <c r="E142" s="125"/>
      <c r="F142" s="122"/>
      <c r="G142" s="122"/>
      <c r="H142" s="122"/>
      <c r="I142" s="122"/>
      <c r="J142" s="123"/>
    </row>
    <row r="143" spans="1:15" ht="27" customHeight="1" x14ac:dyDescent="0.25">
      <c r="A143" s="193"/>
      <c r="B143" s="193"/>
      <c r="C143" s="193"/>
      <c r="D143" s="193"/>
      <c r="E143" s="193"/>
      <c r="F143" s="193"/>
      <c r="G143" s="193"/>
      <c r="H143" s="193"/>
      <c r="I143" s="193"/>
      <c r="J143" s="127"/>
      <c r="K143" s="5">
        <f>(D129-D141)*0.2</f>
        <v>0</v>
      </c>
    </row>
    <row r="144" spans="1:15" ht="15" customHeight="1" x14ac:dyDescent="0.25">
      <c r="A144" s="128" t="s">
        <v>157</v>
      </c>
      <c r="B144" s="128"/>
      <c r="C144" s="190"/>
      <c r="D144" s="190"/>
      <c r="E144" s="190"/>
      <c r="F144" s="129"/>
      <c r="G144" s="1" t="s">
        <v>150</v>
      </c>
      <c r="H144" s="130"/>
      <c r="J144" s="131"/>
      <c r="K144" s="5">
        <f>(D129-D141)*0.8</f>
        <v>0</v>
      </c>
    </row>
    <row r="145" spans="1:15" ht="13.5" customHeight="1" x14ac:dyDescent="0.25">
      <c r="C145" s="2"/>
      <c r="D145" s="132" t="s">
        <v>148</v>
      </c>
      <c r="G145"/>
    </row>
    <row r="146" spans="1:15" ht="15" hidden="1" customHeight="1" x14ac:dyDescent="0.25">
      <c r="A146" s="128" t="s">
        <v>149</v>
      </c>
      <c r="B146" s="128"/>
      <c r="C146" s="190"/>
      <c r="D146" s="190"/>
      <c r="E146" s="190"/>
      <c r="F146" s="191" t="s">
        <v>150</v>
      </c>
      <c r="G146" s="191"/>
      <c r="H146" s="191"/>
      <c r="J146" s="131"/>
      <c r="K146" s="5">
        <f>D141+D135+D134+D128</f>
        <v>0</v>
      </c>
      <c r="L146" s="118">
        <f>E141+E135+E134+E128</f>
        <v>127.71664000000601</v>
      </c>
      <c r="M146" s="118">
        <f>F141+F135+F134+F128</f>
        <v>12.683000000000902</v>
      </c>
      <c r="N146" s="118">
        <f>G141+G135+G134+G128</f>
        <v>38.344880000000558</v>
      </c>
      <c r="O146" s="118">
        <f>H141+H135+H134+H128</f>
        <v>38.344880000000558</v>
      </c>
    </row>
    <row r="147" spans="1:15" ht="10.5" hidden="1" customHeight="1" x14ac:dyDescent="0.25">
      <c r="C147" s="188" t="s">
        <v>151</v>
      </c>
      <c r="D147" s="188"/>
      <c r="E147" s="188"/>
      <c r="G147"/>
      <c r="J147" s="132"/>
    </row>
    <row r="148" spans="1:15" ht="15" hidden="1" customHeight="1" x14ac:dyDescent="0.25">
      <c r="A148" s="128" t="s">
        <v>152</v>
      </c>
      <c r="B148" s="128"/>
      <c r="C148" s="186"/>
      <c r="D148" s="186"/>
      <c r="E148" s="186"/>
      <c r="F148" s="187" t="s">
        <v>153</v>
      </c>
      <c r="G148" s="187"/>
      <c r="H148" s="187"/>
      <c r="J148" s="14"/>
    </row>
    <row r="149" spans="1:15" ht="12.75" hidden="1" customHeight="1" x14ac:dyDescent="0.25">
      <c r="C149" s="188" t="s">
        <v>151</v>
      </c>
      <c r="D149" s="188"/>
      <c r="E149" s="188"/>
      <c r="J149" s="132"/>
    </row>
    <row r="151" spans="1:15" x14ac:dyDescent="0.25">
      <c r="A151" s="128" t="s">
        <v>155</v>
      </c>
      <c r="C151" s="192" t="s">
        <v>160</v>
      </c>
      <c r="D151" s="192"/>
      <c r="E151" s="192"/>
      <c r="F151" s="185" t="s">
        <v>161</v>
      </c>
      <c r="G151" s="185"/>
      <c r="H151" s="185"/>
    </row>
    <row r="152" spans="1:15" x14ac:dyDescent="0.25">
      <c r="C152" s="184" t="s">
        <v>148</v>
      </c>
      <c r="D152" s="184"/>
      <c r="E152" s="184"/>
    </row>
  </sheetData>
  <mergeCells count="75">
    <mergeCell ref="A10:F10"/>
    <mergeCell ref="G10:H10"/>
    <mergeCell ref="A1:E1"/>
    <mergeCell ref="A2:E2"/>
    <mergeCell ref="F2:I2"/>
    <mergeCell ref="A3:E3"/>
    <mergeCell ref="F3:I3"/>
    <mergeCell ref="A4:E4"/>
    <mergeCell ref="F4:I4"/>
    <mergeCell ref="A5:D5"/>
    <mergeCell ref="A6:I6"/>
    <mergeCell ref="A7:H7"/>
    <mergeCell ref="A8:H8"/>
    <mergeCell ref="A9:H9"/>
    <mergeCell ref="A22:I22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I21"/>
    <mergeCell ref="A23:I23"/>
    <mergeCell ref="A24:I24"/>
    <mergeCell ref="A25:A27"/>
    <mergeCell ref="B25:B27"/>
    <mergeCell ref="C25:C26"/>
    <mergeCell ref="D25:D26"/>
    <mergeCell ref="F25:I26"/>
    <mergeCell ref="A28:I28"/>
    <mergeCell ref="B29:B37"/>
    <mergeCell ref="B42:B43"/>
    <mergeCell ref="C42:C43"/>
    <mergeCell ref="D42:D43"/>
    <mergeCell ref="E42:E43"/>
    <mergeCell ref="F42:F43"/>
    <mergeCell ref="G42:G43"/>
    <mergeCell ref="H42:H43"/>
    <mergeCell ref="I42:I43"/>
    <mergeCell ref="F29:F30"/>
    <mergeCell ref="G29:G30"/>
    <mergeCell ref="H29:H30"/>
    <mergeCell ref="I29:I30"/>
    <mergeCell ref="E29:E30"/>
    <mergeCell ref="B45:B63"/>
    <mergeCell ref="A70:I70"/>
    <mergeCell ref="B74:B76"/>
    <mergeCell ref="B81:B84"/>
    <mergeCell ref="A132:I132"/>
    <mergeCell ref="B86:B113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B125:B127"/>
    <mergeCell ref="A137:I137"/>
    <mergeCell ref="C146:E146"/>
    <mergeCell ref="F146:H146"/>
    <mergeCell ref="C151:E151"/>
    <mergeCell ref="C147:E147"/>
    <mergeCell ref="A143:I143"/>
    <mergeCell ref="C144:E144"/>
    <mergeCell ref="C152:E152"/>
    <mergeCell ref="F151:H151"/>
    <mergeCell ref="C148:E148"/>
    <mergeCell ref="F148:H148"/>
    <mergeCell ref="C149:E149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BDEA-5DFF-4346-91AA-F394BECDF4C0}">
  <dimension ref="A1:Q150"/>
  <sheetViews>
    <sheetView tabSelected="1" topLeftCell="A123" workbookViewId="0">
      <selection activeCell="A142" sqref="A142:I148"/>
    </sheetView>
  </sheetViews>
  <sheetFormatPr defaultRowHeight="15" x14ac:dyDescent="0.25"/>
  <cols>
    <col min="1" max="1" width="35" customWidth="1"/>
    <col min="2" max="2" width="5.28515625" customWidth="1"/>
    <col min="3" max="3" width="9.85546875" customWidth="1"/>
    <col min="4" max="4" width="9.42578125" bestFit="1" customWidth="1"/>
    <col min="5" max="5" width="10" style="2" customWidth="1"/>
    <col min="6" max="6" width="9.7109375" style="2" customWidth="1"/>
    <col min="7" max="7" width="5.7109375" style="2" customWidth="1"/>
    <col min="8" max="8" width="7.140625" style="2" customWidth="1"/>
    <col min="9" max="9" width="10.5703125" style="2" customWidth="1"/>
    <col min="10" max="10" width="14" style="133" hidden="1" customWidth="1"/>
    <col min="11" max="11" width="14.42578125" style="5" hidden="1" customWidth="1"/>
    <col min="12" max="12" width="16.5703125" hidden="1" customWidth="1"/>
    <col min="13" max="13" width="13.5703125" hidden="1" customWidth="1"/>
    <col min="14" max="14" width="12.140625" hidden="1" customWidth="1"/>
    <col min="15" max="15" width="16.42578125" hidden="1" customWidth="1"/>
    <col min="17" max="17" width="9.5703125" customWidth="1"/>
    <col min="257" max="257" width="35" customWidth="1"/>
    <col min="258" max="258" width="5.28515625" customWidth="1"/>
    <col min="259" max="259" width="5.85546875" customWidth="1"/>
    <col min="261" max="261" width="10" customWidth="1"/>
    <col min="265" max="265" width="12.42578125" customWidth="1"/>
    <col min="266" max="271" width="0" hidden="1" customWidth="1"/>
    <col min="273" max="273" width="9.5703125" customWidth="1"/>
    <col min="513" max="513" width="35" customWidth="1"/>
    <col min="514" max="514" width="5.28515625" customWidth="1"/>
    <col min="515" max="515" width="5.85546875" customWidth="1"/>
    <col min="517" max="517" width="10" customWidth="1"/>
    <col min="521" max="521" width="12.42578125" customWidth="1"/>
    <col min="522" max="527" width="0" hidden="1" customWidth="1"/>
    <col min="529" max="529" width="9.5703125" customWidth="1"/>
    <col min="769" max="769" width="35" customWidth="1"/>
    <col min="770" max="770" width="5.28515625" customWidth="1"/>
    <col min="771" max="771" width="5.85546875" customWidth="1"/>
    <col min="773" max="773" width="10" customWidth="1"/>
    <col min="777" max="777" width="12.42578125" customWidth="1"/>
    <col min="778" max="783" width="0" hidden="1" customWidth="1"/>
    <col min="785" max="785" width="9.5703125" customWidth="1"/>
    <col min="1025" max="1025" width="35" customWidth="1"/>
    <col min="1026" max="1026" width="5.28515625" customWidth="1"/>
    <col min="1027" max="1027" width="5.85546875" customWidth="1"/>
    <col min="1029" max="1029" width="10" customWidth="1"/>
    <col min="1033" max="1033" width="12.42578125" customWidth="1"/>
    <col min="1034" max="1039" width="0" hidden="1" customWidth="1"/>
    <col min="1041" max="1041" width="9.5703125" customWidth="1"/>
    <col min="1281" max="1281" width="35" customWidth="1"/>
    <col min="1282" max="1282" width="5.28515625" customWidth="1"/>
    <col min="1283" max="1283" width="5.85546875" customWidth="1"/>
    <col min="1285" max="1285" width="10" customWidth="1"/>
    <col min="1289" max="1289" width="12.42578125" customWidth="1"/>
    <col min="1290" max="1295" width="0" hidden="1" customWidth="1"/>
    <col min="1297" max="1297" width="9.5703125" customWidth="1"/>
    <col min="1537" max="1537" width="35" customWidth="1"/>
    <col min="1538" max="1538" width="5.28515625" customWidth="1"/>
    <col min="1539" max="1539" width="5.85546875" customWidth="1"/>
    <col min="1541" max="1541" width="10" customWidth="1"/>
    <col min="1545" max="1545" width="12.42578125" customWidth="1"/>
    <col min="1546" max="1551" width="0" hidden="1" customWidth="1"/>
    <col min="1553" max="1553" width="9.5703125" customWidth="1"/>
    <col min="1793" max="1793" width="35" customWidth="1"/>
    <col min="1794" max="1794" width="5.28515625" customWidth="1"/>
    <col min="1795" max="1795" width="5.85546875" customWidth="1"/>
    <col min="1797" max="1797" width="10" customWidth="1"/>
    <col min="1801" max="1801" width="12.42578125" customWidth="1"/>
    <col min="1802" max="1807" width="0" hidden="1" customWidth="1"/>
    <col min="1809" max="1809" width="9.5703125" customWidth="1"/>
    <col min="2049" max="2049" width="35" customWidth="1"/>
    <col min="2050" max="2050" width="5.28515625" customWidth="1"/>
    <col min="2051" max="2051" width="5.85546875" customWidth="1"/>
    <col min="2053" max="2053" width="10" customWidth="1"/>
    <col min="2057" max="2057" width="12.42578125" customWidth="1"/>
    <col min="2058" max="2063" width="0" hidden="1" customWidth="1"/>
    <col min="2065" max="2065" width="9.5703125" customWidth="1"/>
    <col min="2305" max="2305" width="35" customWidth="1"/>
    <col min="2306" max="2306" width="5.28515625" customWidth="1"/>
    <col min="2307" max="2307" width="5.85546875" customWidth="1"/>
    <col min="2309" max="2309" width="10" customWidth="1"/>
    <col min="2313" max="2313" width="12.42578125" customWidth="1"/>
    <col min="2314" max="2319" width="0" hidden="1" customWidth="1"/>
    <col min="2321" max="2321" width="9.5703125" customWidth="1"/>
    <col min="2561" max="2561" width="35" customWidth="1"/>
    <col min="2562" max="2562" width="5.28515625" customWidth="1"/>
    <col min="2563" max="2563" width="5.85546875" customWidth="1"/>
    <col min="2565" max="2565" width="10" customWidth="1"/>
    <col min="2569" max="2569" width="12.42578125" customWidth="1"/>
    <col min="2570" max="2575" width="0" hidden="1" customWidth="1"/>
    <col min="2577" max="2577" width="9.5703125" customWidth="1"/>
    <col min="2817" max="2817" width="35" customWidth="1"/>
    <col min="2818" max="2818" width="5.28515625" customWidth="1"/>
    <col min="2819" max="2819" width="5.85546875" customWidth="1"/>
    <col min="2821" max="2821" width="10" customWidth="1"/>
    <col min="2825" max="2825" width="12.42578125" customWidth="1"/>
    <col min="2826" max="2831" width="0" hidden="1" customWidth="1"/>
    <col min="2833" max="2833" width="9.5703125" customWidth="1"/>
    <col min="3073" max="3073" width="35" customWidth="1"/>
    <col min="3074" max="3074" width="5.28515625" customWidth="1"/>
    <col min="3075" max="3075" width="5.85546875" customWidth="1"/>
    <col min="3077" max="3077" width="10" customWidth="1"/>
    <col min="3081" max="3081" width="12.42578125" customWidth="1"/>
    <col min="3082" max="3087" width="0" hidden="1" customWidth="1"/>
    <col min="3089" max="3089" width="9.5703125" customWidth="1"/>
    <col min="3329" max="3329" width="35" customWidth="1"/>
    <col min="3330" max="3330" width="5.28515625" customWidth="1"/>
    <col min="3331" max="3331" width="5.85546875" customWidth="1"/>
    <col min="3333" max="3333" width="10" customWidth="1"/>
    <col min="3337" max="3337" width="12.42578125" customWidth="1"/>
    <col min="3338" max="3343" width="0" hidden="1" customWidth="1"/>
    <col min="3345" max="3345" width="9.5703125" customWidth="1"/>
    <col min="3585" max="3585" width="35" customWidth="1"/>
    <col min="3586" max="3586" width="5.28515625" customWidth="1"/>
    <col min="3587" max="3587" width="5.85546875" customWidth="1"/>
    <col min="3589" max="3589" width="10" customWidth="1"/>
    <col min="3593" max="3593" width="12.42578125" customWidth="1"/>
    <col min="3594" max="3599" width="0" hidden="1" customWidth="1"/>
    <col min="3601" max="3601" width="9.5703125" customWidth="1"/>
    <col min="3841" max="3841" width="35" customWidth="1"/>
    <col min="3842" max="3842" width="5.28515625" customWidth="1"/>
    <col min="3843" max="3843" width="5.85546875" customWidth="1"/>
    <col min="3845" max="3845" width="10" customWidth="1"/>
    <col min="3849" max="3849" width="12.42578125" customWidth="1"/>
    <col min="3850" max="3855" width="0" hidden="1" customWidth="1"/>
    <col min="3857" max="3857" width="9.5703125" customWidth="1"/>
    <col min="4097" max="4097" width="35" customWidth="1"/>
    <col min="4098" max="4098" width="5.28515625" customWidth="1"/>
    <col min="4099" max="4099" width="5.85546875" customWidth="1"/>
    <col min="4101" max="4101" width="10" customWidth="1"/>
    <col min="4105" max="4105" width="12.42578125" customWidth="1"/>
    <col min="4106" max="4111" width="0" hidden="1" customWidth="1"/>
    <col min="4113" max="4113" width="9.5703125" customWidth="1"/>
    <col min="4353" max="4353" width="35" customWidth="1"/>
    <col min="4354" max="4354" width="5.28515625" customWidth="1"/>
    <col min="4355" max="4355" width="5.85546875" customWidth="1"/>
    <col min="4357" max="4357" width="10" customWidth="1"/>
    <col min="4361" max="4361" width="12.42578125" customWidth="1"/>
    <col min="4362" max="4367" width="0" hidden="1" customWidth="1"/>
    <col min="4369" max="4369" width="9.5703125" customWidth="1"/>
    <col min="4609" max="4609" width="35" customWidth="1"/>
    <col min="4610" max="4610" width="5.28515625" customWidth="1"/>
    <col min="4611" max="4611" width="5.85546875" customWidth="1"/>
    <col min="4613" max="4613" width="10" customWidth="1"/>
    <col min="4617" max="4617" width="12.42578125" customWidth="1"/>
    <col min="4618" max="4623" width="0" hidden="1" customWidth="1"/>
    <col min="4625" max="4625" width="9.5703125" customWidth="1"/>
    <col min="4865" max="4865" width="35" customWidth="1"/>
    <col min="4866" max="4866" width="5.28515625" customWidth="1"/>
    <col min="4867" max="4867" width="5.85546875" customWidth="1"/>
    <col min="4869" max="4869" width="10" customWidth="1"/>
    <col min="4873" max="4873" width="12.42578125" customWidth="1"/>
    <col min="4874" max="4879" width="0" hidden="1" customWidth="1"/>
    <col min="4881" max="4881" width="9.5703125" customWidth="1"/>
    <col min="5121" max="5121" width="35" customWidth="1"/>
    <col min="5122" max="5122" width="5.28515625" customWidth="1"/>
    <col min="5123" max="5123" width="5.85546875" customWidth="1"/>
    <col min="5125" max="5125" width="10" customWidth="1"/>
    <col min="5129" max="5129" width="12.42578125" customWidth="1"/>
    <col min="5130" max="5135" width="0" hidden="1" customWidth="1"/>
    <col min="5137" max="5137" width="9.5703125" customWidth="1"/>
    <col min="5377" max="5377" width="35" customWidth="1"/>
    <col min="5378" max="5378" width="5.28515625" customWidth="1"/>
    <col min="5379" max="5379" width="5.85546875" customWidth="1"/>
    <col min="5381" max="5381" width="10" customWidth="1"/>
    <col min="5385" max="5385" width="12.42578125" customWidth="1"/>
    <col min="5386" max="5391" width="0" hidden="1" customWidth="1"/>
    <col min="5393" max="5393" width="9.5703125" customWidth="1"/>
    <col min="5633" max="5633" width="35" customWidth="1"/>
    <col min="5634" max="5634" width="5.28515625" customWidth="1"/>
    <col min="5635" max="5635" width="5.85546875" customWidth="1"/>
    <col min="5637" max="5637" width="10" customWidth="1"/>
    <col min="5641" max="5641" width="12.42578125" customWidth="1"/>
    <col min="5642" max="5647" width="0" hidden="1" customWidth="1"/>
    <col min="5649" max="5649" width="9.5703125" customWidth="1"/>
    <col min="5889" max="5889" width="35" customWidth="1"/>
    <col min="5890" max="5890" width="5.28515625" customWidth="1"/>
    <col min="5891" max="5891" width="5.85546875" customWidth="1"/>
    <col min="5893" max="5893" width="10" customWidth="1"/>
    <col min="5897" max="5897" width="12.42578125" customWidth="1"/>
    <col min="5898" max="5903" width="0" hidden="1" customWidth="1"/>
    <col min="5905" max="5905" width="9.5703125" customWidth="1"/>
    <col min="6145" max="6145" width="35" customWidth="1"/>
    <col min="6146" max="6146" width="5.28515625" customWidth="1"/>
    <col min="6147" max="6147" width="5.85546875" customWidth="1"/>
    <col min="6149" max="6149" width="10" customWidth="1"/>
    <col min="6153" max="6153" width="12.42578125" customWidth="1"/>
    <col min="6154" max="6159" width="0" hidden="1" customWidth="1"/>
    <col min="6161" max="6161" width="9.5703125" customWidth="1"/>
    <col min="6401" max="6401" width="35" customWidth="1"/>
    <col min="6402" max="6402" width="5.28515625" customWidth="1"/>
    <col min="6403" max="6403" width="5.85546875" customWidth="1"/>
    <col min="6405" max="6405" width="10" customWidth="1"/>
    <col min="6409" max="6409" width="12.42578125" customWidth="1"/>
    <col min="6410" max="6415" width="0" hidden="1" customWidth="1"/>
    <col min="6417" max="6417" width="9.5703125" customWidth="1"/>
    <col min="6657" max="6657" width="35" customWidth="1"/>
    <col min="6658" max="6658" width="5.28515625" customWidth="1"/>
    <col min="6659" max="6659" width="5.85546875" customWidth="1"/>
    <col min="6661" max="6661" width="10" customWidth="1"/>
    <col min="6665" max="6665" width="12.42578125" customWidth="1"/>
    <col min="6666" max="6671" width="0" hidden="1" customWidth="1"/>
    <col min="6673" max="6673" width="9.5703125" customWidth="1"/>
    <col min="6913" max="6913" width="35" customWidth="1"/>
    <col min="6914" max="6914" width="5.28515625" customWidth="1"/>
    <col min="6915" max="6915" width="5.85546875" customWidth="1"/>
    <col min="6917" max="6917" width="10" customWidth="1"/>
    <col min="6921" max="6921" width="12.42578125" customWidth="1"/>
    <col min="6922" max="6927" width="0" hidden="1" customWidth="1"/>
    <col min="6929" max="6929" width="9.5703125" customWidth="1"/>
    <col min="7169" max="7169" width="35" customWidth="1"/>
    <col min="7170" max="7170" width="5.28515625" customWidth="1"/>
    <col min="7171" max="7171" width="5.85546875" customWidth="1"/>
    <col min="7173" max="7173" width="10" customWidth="1"/>
    <col min="7177" max="7177" width="12.42578125" customWidth="1"/>
    <col min="7178" max="7183" width="0" hidden="1" customWidth="1"/>
    <col min="7185" max="7185" width="9.5703125" customWidth="1"/>
    <col min="7425" max="7425" width="35" customWidth="1"/>
    <col min="7426" max="7426" width="5.28515625" customWidth="1"/>
    <col min="7427" max="7427" width="5.85546875" customWidth="1"/>
    <col min="7429" max="7429" width="10" customWidth="1"/>
    <col min="7433" max="7433" width="12.42578125" customWidth="1"/>
    <col min="7434" max="7439" width="0" hidden="1" customWidth="1"/>
    <col min="7441" max="7441" width="9.5703125" customWidth="1"/>
    <col min="7681" max="7681" width="35" customWidth="1"/>
    <col min="7682" max="7682" width="5.28515625" customWidth="1"/>
    <col min="7683" max="7683" width="5.85546875" customWidth="1"/>
    <col min="7685" max="7685" width="10" customWidth="1"/>
    <col min="7689" max="7689" width="12.42578125" customWidth="1"/>
    <col min="7690" max="7695" width="0" hidden="1" customWidth="1"/>
    <col min="7697" max="7697" width="9.5703125" customWidth="1"/>
    <col min="7937" max="7937" width="35" customWidth="1"/>
    <col min="7938" max="7938" width="5.28515625" customWidth="1"/>
    <col min="7939" max="7939" width="5.85546875" customWidth="1"/>
    <col min="7941" max="7941" width="10" customWidth="1"/>
    <col min="7945" max="7945" width="12.42578125" customWidth="1"/>
    <col min="7946" max="7951" width="0" hidden="1" customWidth="1"/>
    <col min="7953" max="7953" width="9.5703125" customWidth="1"/>
    <col min="8193" max="8193" width="35" customWidth="1"/>
    <col min="8194" max="8194" width="5.28515625" customWidth="1"/>
    <col min="8195" max="8195" width="5.85546875" customWidth="1"/>
    <col min="8197" max="8197" width="10" customWidth="1"/>
    <col min="8201" max="8201" width="12.42578125" customWidth="1"/>
    <col min="8202" max="8207" width="0" hidden="1" customWidth="1"/>
    <col min="8209" max="8209" width="9.5703125" customWidth="1"/>
    <col min="8449" max="8449" width="35" customWidth="1"/>
    <col min="8450" max="8450" width="5.28515625" customWidth="1"/>
    <col min="8451" max="8451" width="5.85546875" customWidth="1"/>
    <col min="8453" max="8453" width="10" customWidth="1"/>
    <col min="8457" max="8457" width="12.42578125" customWidth="1"/>
    <col min="8458" max="8463" width="0" hidden="1" customWidth="1"/>
    <col min="8465" max="8465" width="9.5703125" customWidth="1"/>
    <col min="8705" max="8705" width="35" customWidth="1"/>
    <col min="8706" max="8706" width="5.28515625" customWidth="1"/>
    <col min="8707" max="8707" width="5.85546875" customWidth="1"/>
    <col min="8709" max="8709" width="10" customWidth="1"/>
    <col min="8713" max="8713" width="12.42578125" customWidth="1"/>
    <col min="8714" max="8719" width="0" hidden="1" customWidth="1"/>
    <col min="8721" max="8721" width="9.5703125" customWidth="1"/>
    <col min="8961" max="8961" width="35" customWidth="1"/>
    <col min="8962" max="8962" width="5.28515625" customWidth="1"/>
    <col min="8963" max="8963" width="5.85546875" customWidth="1"/>
    <col min="8965" max="8965" width="10" customWidth="1"/>
    <col min="8969" max="8969" width="12.42578125" customWidth="1"/>
    <col min="8970" max="8975" width="0" hidden="1" customWidth="1"/>
    <col min="8977" max="8977" width="9.5703125" customWidth="1"/>
    <col min="9217" max="9217" width="35" customWidth="1"/>
    <col min="9218" max="9218" width="5.28515625" customWidth="1"/>
    <col min="9219" max="9219" width="5.85546875" customWidth="1"/>
    <col min="9221" max="9221" width="10" customWidth="1"/>
    <col min="9225" max="9225" width="12.42578125" customWidth="1"/>
    <col min="9226" max="9231" width="0" hidden="1" customWidth="1"/>
    <col min="9233" max="9233" width="9.5703125" customWidth="1"/>
    <col min="9473" max="9473" width="35" customWidth="1"/>
    <col min="9474" max="9474" width="5.28515625" customWidth="1"/>
    <col min="9475" max="9475" width="5.85546875" customWidth="1"/>
    <col min="9477" max="9477" width="10" customWidth="1"/>
    <col min="9481" max="9481" width="12.42578125" customWidth="1"/>
    <col min="9482" max="9487" width="0" hidden="1" customWidth="1"/>
    <col min="9489" max="9489" width="9.5703125" customWidth="1"/>
    <col min="9729" max="9729" width="35" customWidth="1"/>
    <col min="9730" max="9730" width="5.28515625" customWidth="1"/>
    <col min="9731" max="9731" width="5.85546875" customWidth="1"/>
    <col min="9733" max="9733" width="10" customWidth="1"/>
    <col min="9737" max="9737" width="12.42578125" customWidth="1"/>
    <col min="9738" max="9743" width="0" hidden="1" customWidth="1"/>
    <col min="9745" max="9745" width="9.5703125" customWidth="1"/>
    <col min="9985" max="9985" width="35" customWidth="1"/>
    <col min="9986" max="9986" width="5.28515625" customWidth="1"/>
    <col min="9987" max="9987" width="5.85546875" customWidth="1"/>
    <col min="9989" max="9989" width="10" customWidth="1"/>
    <col min="9993" max="9993" width="12.42578125" customWidth="1"/>
    <col min="9994" max="9999" width="0" hidden="1" customWidth="1"/>
    <col min="10001" max="10001" width="9.5703125" customWidth="1"/>
    <col min="10241" max="10241" width="35" customWidth="1"/>
    <col min="10242" max="10242" width="5.28515625" customWidth="1"/>
    <col min="10243" max="10243" width="5.85546875" customWidth="1"/>
    <col min="10245" max="10245" width="10" customWidth="1"/>
    <col min="10249" max="10249" width="12.42578125" customWidth="1"/>
    <col min="10250" max="10255" width="0" hidden="1" customWidth="1"/>
    <col min="10257" max="10257" width="9.5703125" customWidth="1"/>
    <col min="10497" max="10497" width="35" customWidth="1"/>
    <col min="10498" max="10498" width="5.28515625" customWidth="1"/>
    <col min="10499" max="10499" width="5.85546875" customWidth="1"/>
    <col min="10501" max="10501" width="10" customWidth="1"/>
    <col min="10505" max="10505" width="12.42578125" customWidth="1"/>
    <col min="10506" max="10511" width="0" hidden="1" customWidth="1"/>
    <col min="10513" max="10513" width="9.5703125" customWidth="1"/>
    <col min="10753" max="10753" width="35" customWidth="1"/>
    <col min="10754" max="10754" width="5.28515625" customWidth="1"/>
    <col min="10755" max="10755" width="5.85546875" customWidth="1"/>
    <col min="10757" max="10757" width="10" customWidth="1"/>
    <col min="10761" max="10761" width="12.42578125" customWidth="1"/>
    <col min="10762" max="10767" width="0" hidden="1" customWidth="1"/>
    <col min="10769" max="10769" width="9.5703125" customWidth="1"/>
    <col min="11009" max="11009" width="35" customWidth="1"/>
    <col min="11010" max="11010" width="5.28515625" customWidth="1"/>
    <col min="11011" max="11011" width="5.85546875" customWidth="1"/>
    <col min="11013" max="11013" width="10" customWidth="1"/>
    <col min="11017" max="11017" width="12.42578125" customWidth="1"/>
    <col min="11018" max="11023" width="0" hidden="1" customWidth="1"/>
    <col min="11025" max="11025" width="9.5703125" customWidth="1"/>
    <col min="11265" max="11265" width="35" customWidth="1"/>
    <col min="11266" max="11266" width="5.28515625" customWidth="1"/>
    <col min="11267" max="11267" width="5.85546875" customWidth="1"/>
    <col min="11269" max="11269" width="10" customWidth="1"/>
    <col min="11273" max="11273" width="12.42578125" customWidth="1"/>
    <col min="11274" max="11279" width="0" hidden="1" customWidth="1"/>
    <col min="11281" max="11281" width="9.5703125" customWidth="1"/>
    <col min="11521" max="11521" width="35" customWidth="1"/>
    <col min="11522" max="11522" width="5.28515625" customWidth="1"/>
    <col min="11523" max="11523" width="5.85546875" customWidth="1"/>
    <col min="11525" max="11525" width="10" customWidth="1"/>
    <col min="11529" max="11529" width="12.42578125" customWidth="1"/>
    <col min="11530" max="11535" width="0" hidden="1" customWidth="1"/>
    <col min="11537" max="11537" width="9.5703125" customWidth="1"/>
    <col min="11777" max="11777" width="35" customWidth="1"/>
    <col min="11778" max="11778" width="5.28515625" customWidth="1"/>
    <col min="11779" max="11779" width="5.85546875" customWidth="1"/>
    <col min="11781" max="11781" width="10" customWidth="1"/>
    <col min="11785" max="11785" width="12.42578125" customWidth="1"/>
    <col min="11786" max="11791" width="0" hidden="1" customWidth="1"/>
    <col min="11793" max="11793" width="9.5703125" customWidth="1"/>
    <col min="12033" max="12033" width="35" customWidth="1"/>
    <col min="12034" max="12034" width="5.28515625" customWidth="1"/>
    <col min="12035" max="12035" width="5.85546875" customWidth="1"/>
    <col min="12037" max="12037" width="10" customWidth="1"/>
    <col min="12041" max="12041" width="12.42578125" customWidth="1"/>
    <col min="12042" max="12047" width="0" hidden="1" customWidth="1"/>
    <col min="12049" max="12049" width="9.5703125" customWidth="1"/>
    <col min="12289" max="12289" width="35" customWidth="1"/>
    <col min="12290" max="12290" width="5.28515625" customWidth="1"/>
    <col min="12291" max="12291" width="5.85546875" customWidth="1"/>
    <col min="12293" max="12293" width="10" customWidth="1"/>
    <col min="12297" max="12297" width="12.42578125" customWidth="1"/>
    <col min="12298" max="12303" width="0" hidden="1" customWidth="1"/>
    <col min="12305" max="12305" width="9.5703125" customWidth="1"/>
    <col min="12545" max="12545" width="35" customWidth="1"/>
    <col min="12546" max="12546" width="5.28515625" customWidth="1"/>
    <col min="12547" max="12547" width="5.85546875" customWidth="1"/>
    <col min="12549" max="12549" width="10" customWidth="1"/>
    <col min="12553" max="12553" width="12.42578125" customWidth="1"/>
    <col min="12554" max="12559" width="0" hidden="1" customWidth="1"/>
    <col min="12561" max="12561" width="9.5703125" customWidth="1"/>
    <col min="12801" max="12801" width="35" customWidth="1"/>
    <col min="12802" max="12802" width="5.28515625" customWidth="1"/>
    <col min="12803" max="12803" width="5.85546875" customWidth="1"/>
    <col min="12805" max="12805" width="10" customWidth="1"/>
    <col min="12809" max="12809" width="12.42578125" customWidth="1"/>
    <col min="12810" max="12815" width="0" hidden="1" customWidth="1"/>
    <col min="12817" max="12817" width="9.5703125" customWidth="1"/>
    <col min="13057" max="13057" width="35" customWidth="1"/>
    <col min="13058" max="13058" width="5.28515625" customWidth="1"/>
    <col min="13059" max="13059" width="5.85546875" customWidth="1"/>
    <col min="13061" max="13061" width="10" customWidth="1"/>
    <col min="13065" max="13065" width="12.42578125" customWidth="1"/>
    <col min="13066" max="13071" width="0" hidden="1" customWidth="1"/>
    <col min="13073" max="13073" width="9.5703125" customWidth="1"/>
    <col min="13313" max="13313" width="35" customWidth="1"/>
    <col min="13314" max="13314" width="5.28515625" customWidth="1"/>
    <col min="13315" max="13315" width="5.85546875" customWidth="1"/>
    <col min="13317" max="13317" width="10" customWidth="1"/>
    <col min="13321" max="13321" width="12.42578125" customWidth="1"/>
    <col min="13322" max="13327" width="0" hidden="1" customWidth="1"/>
    <col min="13329" max="13329" width="9.5703125" customWidth="1"/>
    <col min="13569" max="13569" width="35" customWidth="1"/>
    <col min="13570" max="13570" width="5.28515625" customWidth="1"/>
    <col min="13571" max="13571" width="5.85546875" customWidth="1"/>
    <col min="13573" max="13573" width="10" customWidth="1"/>
    <col min="13577" max="13577" width="12.42578125" customWidth="1"/>
    <col min="13578" max="13583" width="0" hidden="1" customWidth="1"/>
    <col min="13585" max="13585" width="9.5703125" customWidth="1"/>
    <col min="13825" max="13825" width="35" customWidth="1"/>
    <col min="13826" max="13826" width="5.28515625" customWidth="1"/>
    <col min="13827" max="13827" width="5.85546875" customWidth="1"/>
    <col min="13829" max="13829" width="10" customWidth="1"/>
    <col min="13833" max="13833" width="12.42578125" customWidth="1"/>
    <col min="13834" max="13839" width="0" hidden="1" customWidth="1"/>
    <col min="13841" max="13841" width="9.5703125" customWidth="1"/>
    <col min="14081" max="14081" width="35" customWidth="1"/>
    <col min="14082" max="14082" width="5.28515625" customWidth="1"/>
    <col min="14083" max="14083" width="5.85546875" customWidth="1"/>
    <col min="14085" max="14085" width="10" customWidth="1"/>
    <col min="14089" max="14089" width="12.42578125" customWidth="1"/>
    <col min="14090" max="14095" width="0" hidden="1" customWidth="1"/>
    <col min="14097" max="14097" width="9.5703125" customWidth="1"/>
    <col min="14337" max="14337" width="35" customWidth="1"/>
    <col min="14338" max="14338" width="5.28515625" customWidth="1"/>
    <col min="14339" max="14339" width="5.85546875" customWidth="1"/>
    <col min="14341" max="14341" width="10" customWidth="1"/>
    <col min="14345" max="14345" width="12.42578125" customWidth="1"/>
    <col min="14346" max="14351" width="0" hidden="1" customWidth="1"/>
    <col min="14353" max="14353" width="9.5703125" customWidth="1"/>
    <col min="14593" max="14593" width="35" customWidth="1"/>
    <col min="14594" max="14594" width="5.28515625" customWidth="1"/>
    <col min="14595" max="14595" width="5.85546875" customWidth="1"/>
    <col min="14597" max="14597" width="10" customWidth="1"/>
    <col min="14601" max="14601" width="12.42578125" customWidth="1"/>
    <col min="14602" max="14607" width="0" hidden="1" customWidth="1"/>
    <col min="14609" max="14609" width="9.5703125" customWidth="1"/>
    <col min="14849" max="14849" width="35" customWidth="1"/>
    <col min="14850" max="14850" width="5.28515625" customWidth="1"/>
    <col min="14851" max="14851" width="5.85546875" customWidth="1"/>
    <col min="14853" max="14853" width="10" customWidth="1"/>
    <col min="14857" max="14857" width="12.42578125" customWidth="1"/>
    <col min="14858" max="14863" width="0" hidden="1" customWidth="1"/>
    <col min="14865" max="14865" width="9.5703125" customWidth="1"/>
    <col min="15105" max="15105" width="35" customWidth="1"/>
    <col min="15106" max="15106" width="5.28515625" customWidth="1"/>
    <col min="15107" max="15107" width="5.85546875" customWidth="1"/>
    <col min="15109" max="15109" width="10" customWidth="1"/>
    <col min="15113" max="15113" width="12.42578125" customWidth="1"/>
    <col min="15114" max="15119" width="0" hidden="1" customWidth="1"/>
    <col min="15121" max="15121" width="9.5703125" customWidth="1"/>
    <col min="15361" max="15361" width="35" customWidth="1"/>
    <col min="15362" max="15362" width="5.28515625" customWidth="1"/>
    <col min="15363" max="15363" width="5.85546875" customWidth="1"/>
    <col min="15365" max="15365" width="10" customWidth="1"/>
    <col min="15369" max="15369" width="12.42578125" customWidth="1"/>
    <col min="15370" max="15375" width="0" hidden="1" customWidth="1"/>
    <col min="15377" max="15377" width="9.5703125" customWidth="1"/>
    <col min="15617" max="15617" width="35" customWidth="1"/>
    <col min="15618" max="15618" width="5.28515625" customWidth="1"/>
    <col min="15619" max="15619" width="5.85546875" customWidth="1"/>
    <col min="15621" max="15621" width="10" customWidth="1"/>
    <col min="15625" max="15625" width="12.42578125" customWidth="1"/>
    <col min="15626" max="15631" width="0" hidden="1" customWidth="1"/>
    <col min="15633" max="15633" width="9.5703125" customWidth="1"/>
    <col min="15873" max="15873" width="35" customWidth="1"/>
    <col min="15874" max="15874" width="5.28515625" customWidth="1"/>
    <col min="15875" max="15875" width="5.85546875" customWidth="1"/>
    <col min="15877" max="15877" width="10" customWidth="1"/>
    <col min="15881" max="15881" width="12.42578125" customWidth="1"/>
    <col min="15882" max="15887" width="0" hidden="1" customWidth="1"/>
    <col min="15889" max="15889" width="9.5703125" customWidth="1"/>
    <col min="16129" max="16129" width="35" customWidth="1"/>
    <col min="16130" max="16130" width="5.28515625" customWidth="1"/>
    <col min="16131" max="16131" width="5.85546875" customWidth="1"/>
    <col min="16133" max="16133" width="10" customWidth="1"/>
    <col min="16137" max="16137" width="12.42578125" customWidth="1"/>
    <col min="16138" max="16143" width="0" hidden="1" customWidth="1"/>
    <col min="16145" max="16145" width="9.5703125" customWidth="1"/>
  </cols>
  <sheetData>
    <row r="1" spans="1:10" ht="19.5" customHeight="1" x14ac:dyDescent="0.25">
      <c r="A1" s="185"/>
      <c r="B1" s="185"/>
      <c r="C1" s="185"/>
      <c r="D1" s="185"/>
      <c r="E1" s="185"/>
      <c r="F1" s="333"/>
      <c r="G1" s="329"/>
      <c r="H1" s="333"/>
      <c r="I1" s="330" t="s">
        <v>180</v>
      </c>
      <c r="J1" s="4"/>
    </row>
    <row r="2" spans="1:10" ht="15.75" customHeight="1" x14ac:dyDescent="0.25">
      <c r="A2" s="227"/>
      <c r="B2" s="227"/>
      <c r="C2" s="227"/>
      <c r="D2" s="227"/>
      <c r="E2" s="227"/>
      <c r="F2" s="331" t="s">
        <v>181</v>
      </c>
      <c r="G2" s="331"/>
      <c r="H2" s="331"/>
      <c r="I2" s="331"/>
      <c r="J2" s="6"/>
    </row>
    <row r="3" spans="1:10" ht="14.25" customHeight="1" x14ac:dyDescent="0.25">
      <c r="A3" s="185"/>
      <c r="B3" s="185"/>
      <c r="C3" s="185"/>
      <c r="D3" s="185"/>
      <c r="E3" s="185"/>
      <c r="F3" s="332" t="s">
        <v>3</v>
      </c>
      <c r="G3" s="332"/>
      <c r="H3" s="332"/>
      <c r="I3" s="332"/>
      <c r="J3" s="4"/>
    </row>
    <row r="4" spans="1:10" ht="15" customHeight="1" x14ac:dyDescent="0.25">
      <c r="A4" s="185"/>
      <c r="B4" s="185"/>
      <c r="C4" s="185"/>
      <c r="D4" s="185"/>
      <c r="E4" s="185"/>
      <c r="F4" s="332" t="s">
        <v>182</v>
      </c>
      <c r="G4" s="332"/>
      <c r="H4" s="332"/>
      <c r="I4" s="332"/>
      <c r="J4" s="4"/>
    </row>
    <row r="5" spans="1:10" ht="19.5" customHeight="1" x14ac:dyDescent="0.25">
      <c r="A5" s="185"/>
      <c r="B5" s="185"/>
      <c r="C5" s="185"/>
      <c r="D5" s="185"/>
      <c r="F5" s="3"/>
      <c r="G5" s="3"/>
      <c r="H5" s="3"/>
      <c r="I5" s="3"/>
      <c r="J5" s="3"/>
    </row>
    <row r="6" spans="1:10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"/>
    </row>
    <row r="7" spans="1:10" ht="15" customHeight="1" x14ac:dyDescent="0.25">
      <c r="A7" s="230"/>
      <c r="B7" s="230"/>
      <c r="C7" s="230"/>
      <c r="D7" s="230"/>
      <c r="E7" s="230"/>
      <c r="F7" s="230"/>
      <c r="G7" s="230"/>
      <c r="H7" s="230"/>
      <c r="I7" s="7" t="s">
        <v>4</v>
      </c>
      <c r="J7" s="3"/>
    </row>
    <row r="8" spans="1:10" ht="12.75" customHeight="1" x14ac:dyDescent="0.25">
      <c r="A8" s="231" t="s">
        <v>5</v>
      </c>
      <c r="B8" s="231"/>
      <c r="C8" s="231"/>
      <c r="D8" s="231"/>
      <c r="E8" s="231"/>
      <c r="F8" s="231"/>
      <c r="G8" s="231"/>
      <c r="H8" s="231"/>
      <c r="I8" s="8"/>
      <c r="J8" s="9"/>
    </row>
    <row r="9" spans="1:10" ht="15" customHeight="1" x14ac:dyDescent="0.25">
      <c r="A9" s="232" t="s">
        <v>6</v>
      </c>
      <c r="B9" s="232"/>
      <c r="C9" s="232"/>
      <c r="D9" s="232"/>
      <c r="E9" s="232"/>
      <c r="F9" s="232"/>
      <c r="G9" s="232"/>
      <c r="H9" s="232"/>
      <c r="I9" s="10"/>
      <c r="J9" s="11"/>
    </row>
    <row r="10" spans="1:10" ht="17.45" customHeight="1" x14ac:dyDescent="0.25">
      <c r="A10" s="224" t="s">
        <v>7</v>
      </c>
      <c r="B10" s="225"/>
      <c r="C10" s="225"/>
      <c r="D10" s="225"/>
      <c r="E10" s="225"/>
      <c r="F10" s="225"/>
      <c r="G10" s="225" t="s">
        <v>8</v>
      </c>
      <c r="H10" s="226"/>
      <c r="I10" s="12">
        <v>44805065</v>
      </c>
      <c r="J10" s="3"/>
    </row>
    <row r="11" spans="1:10" ht="15" customHeight="1" x14ac:dyDescent="0.25">
      <c r="A11" s="218" t="s">
        <v>9</v>
      </c>
      <c r="B11" s="218"/>
      <c r="C11" s="218"/>
      <c r="D11" s="218"/>
      <c r="E11" s="218"/>
      <c r="F11" s="218"/>
      <c r="G11" s="218"/>
      <c r="H11" s="218"/>
      <c r="I11" s="7"/>
      <c r="J11" s="3"/>
    </row>
    <row r="12" spans="1:10" ht="15" customHeight="1" x14ac:dyDescent="0.25">
      <c r="A12" s="218" t="s">
        <v>10</v>
      </c>
      <c r="B12" s="218"/>
      <c r="C12" s="218"/>
      <c r="D12" s="218"/>
      <c r="E12" s="218"/>
      <c r="F12" s="218"/>
      <c r="G12" s="218"/>
      <c r="H12" s="218"/>
      <c r="I12" s="7"/>
      <c r="J12" s="3"/>
    </row>
    <row r="13" spans="1:10" ht="29.25" customHeight="1" x14ac:dyDescent="0.25">
      <c r="A13" s="219" t="s">
        <v>11</v>
      </c>
      <c r="B13" s="220"/>
      <c r="C13" s="220"/>
      <c r="D13" s="220"/>
      <c r="E13" s="220"/>
      <c r="F13" s="220"/>
      <c r="G13" s="220"/>
      <c r="H13" s="221"/>
      <c r="I13" s="7"/>
      <c r="J13" s="3"/>
    </row>
    <row r="14" spans="1:10" x14ac:dyDescent="0.25">
      <c r="A14" s="222" t="s">
        <v>12</v>
      </c>
      <c r="B14" s="222"/>
      <c r="C14" s="222"/>
      <c r="D14" s="222"/>
      <c r="E14" s="222"/>
      <c r="F14" s="222"/>
      <c r="G14" s="222"/>
      <c r="H14" s="222"/>
      <c r="I14" s="12"/>
      <c r="J14" s="3"/>
    </row>
    <row r="15" spans="1:10" x14ac:dyDescent="0.25">
      <c r="A15" s="218" t="s">
        <v>13</v>
      </c>
      <c r="B15" s="218"/>
      <c r="C15" s="218"/>
      <c r="D15" s="218"/>
      <c r="E15" s="218"/>
      <c r="F15" s="218"/>
      <c r="G15" s="218"/>
      <c r="H15" s="218"/>
      <c r="I15" s="13" t="s">
        <v>14</v>
      </c>
      <c r="J15" s="14"/>
    </row>
    <row r="16" spans="1:10" x14ac:dyDescent="0.25">
      <c r="A16" s="218" t="s">
        <v>15</v>
      </c>
      <c r="B16" s="218"/>
      <c r="C16" s="218"/>
      <c r="D16" s="218"/>
      <c r="E16" s="218"/>
      <c r="F16" s="218"/>
      <c r="G16" s="218"/>
      <c r="H16" s="218"/>
      <c r="I16" s="7"/>
      <c r="J16" s="3"/>
    </row>
    <row r="17" spans="1:13" x14ac:dyDescent="0.25">
      <c r="A17" s="218" t="s">
        <v>16</v>
      </c>
      <c r="B17" s="218"/>
      <c r="C17" s="218"/>
      <c r="D17" s="218"/>
      <c r="E17" s="218"/>
      <c r="F17" s="218"/>
      <c r="G17" s="218"/>
      <c r="H17" s="218"/>
      <c r="I17" s="7"/>
      <c r="J17" s="3"/>
      <c r="M17">
        <f>2808518*0.22</f>
        <v>617873.96</v>
      </c>
    </row>
    <row r="18" spans="1:13" x14ac:dyDescent="0.25">
      <c r="A18" s="218" t="s">
        <v>17</v>
      </c>
      <c r="B18" s="218"/>
      <c r="C18" s="218"/>
      <c r="D18" s="218"/>
      <c r="E18" s="218"/>
      <c r="F18" s="218"/>
      <c r="G18" s="218"/>
      <c r="H18" s="218"/>
      <c r="I18" s="7"/>
      <c r="J18" s="3"/>
    </row>
    <row r="19" spans="1:13" ht="15.6" customHeight="1" x14ac:dyDescent="0.25">
      <c r="A19" s="223" t="s">
        <v>18</v>
      </c>
      <c r="B19" s="223"/>
      <c r="C19" s="223"/>
      <c r="D19" s="223"/>
      <c r="E19" s="223"/>
      <c r="F19" s="223"/>
      <c r="G19" s="223"/>
      <c r="H19" s="223"/>
      <c r="I19" s="7"/>
      <c r="J19" s="3"/>
    </row>
    <row r="20" spans="1:13" x14ac:dyDescent="0.25">
      <c r="A20" s="218" t="s">
        <v>176</v>
      </c>
      <c r="B20" s="218"/>
      <c r="C20" s="218"/>
      <c r="D20" s="218"/>
      <c r="E20" s="218"/>
      <c r="F20" s="218"/>
      <c r="G20" s="218"/>
      <c r="H20" s="218"/>
      <c r="I20" s="7"/>
      <c r="J20" s="3"/>
    </row>
    <row r="21" spans="1:13" ht="51.75" customHeight="1" x14ac:dyDescent="0.25">
      <c r="A21" s="215" t="s">
        <v>178</v>
      </c>
      <c r="B21" s="215"/>
      <c r="C21" s="215"/>
      <c r="D21" s="215"/>
      <c r="E21" s="215"/>
      <c r="F21" s="215"/>
      <c r="G21" s="215"/>
      <c r="H21" s="215"/>
      <c r="I21" s="215"/>
      <c r="J21" s="15"/>
    </row>
    <row r="22" spans="1:13" ht="15" customHeight="1" x14ac:dyDescent="0.25">
      <c r="A22" s="215" t="s">
        <v>177</v>
      </c>
      <c r="B22" s="215"/>
      <c r="C22" s="215"/>
      <c r="D22" s="215"/>
      <c r="E22" s="215"/>
      <c r="F22" s="215"/>
      <c r="G22" s="215"/>
      <c r="H22" s="215"/>
      <c r="I22" s="215"/>
      <c r="J22" s="15"/>
    </row>
    <row r="23" spans="1:13" ht="18.75" customHeight="1" x14ac:dyDescent="0.25">
      <c r="A23" s="213" t="s">
        <v>20</v>
      </c>
      <c r="B23" s="213"/>
      <c r="C23" s="213"/>
      <c r="D23" s="213"/>
      <c r="E23" s="213"/>
      <c r="F23" s="213"/>
      <c r="G23" s="213"/>
      <c r="H23" s="213"/>
      <c r="I23" s="213"/>
      <c r="J23" s="16"/>
    </row>
    <row r="24" spans="1:13" ht="15" customHeight="1" x14ac:dyDescent="0.25">
      <c r="A24" s="213" t="s">
        <v>21</v>
      </c>
      <c r="B24" s="213"/>
      <c r="C24" s="213"/>
      <c r="D24" s="213"/>
      <c r="E24" s="213"/>
      <c r="F24" s="213"/>
      <c r="G24" s="213"/>
      <c r="H24" s="213"/>
      <c r="I24" s="213"/>
      <c r="J24" s="16"/>
    </row>
    <row r="25" spans="1:13" ht="15" customHeight="1" x14ac:dyDescent="0.25">
      <c r="A25" s="214"/>
      <c r="B25" s="214" t="s">
        <v>22</v>
      </c>
      <c r="C25" s="293" t="s">
        <v>166</v>
      </c>
      <c r="D25" s="293" t="s">
        <v>167</v>
      </c>
      <c r="E25" s="296" t="s">
        <v>168</v>
      </c>
      <c r="F25" s="321" t="s">
        <v>169</v>
      </c>
      <c r="G25" s="322"/>
      <c r="H25" s="321" t="s">
        <v>170</v>
      </c>
      <c r="I25" s="322"/>
      <c r="J25" s="18"/>
    </row>
    <row r="26" spans="1:13" x14ac:dyDescent="0.25">
      <c r="A26" s="214"/>
      <c r="B26" s="214"/>
      <c r="C26" s="294"/>
      <c r="D26" s="294"/>
      <c r="E26" s="297"/>
      <c r="F26" s="323"/>
      <c r="G26" s="324"/>
      <c r="H26" s="323"/>
      <c r="I26" s="324"/>
      <c r="J26" s="18"/>
    </row>
    <row r="27" spans="1:13" ht="65.25" customHeight="1" x14ac:dyDescent="0.25">
      <c r="A27" s="214"/>
      <c r="B27" s="214"/>
      <c r="C27" s="295"/>
      <c r="D27" s="295"/>
      <c r="E27" s="298"/>
      <c r="F27" s="325"/>
      <c r="G27" s="326"/>
      <c r="H27" s="325"/>
      <c r="I27" s="326"/>
      <c r="J27" s="18"/>
    </row>
    <row r="28" spans="1:13" ht="15.75" customHeight="1" x14ac:dyDescent="0.25">
      <c r="A28" s="203" t="s">
        <v>34</v>
      </c>
      <c r="B28" s="204"/>
      <c r="C28" s="203"/>
      <c r="D28" s="203"/>
      <c r="E28" s="203"/>
      <c r="F28" s="203"/>
      <c r="G28" s="203"/>
      <c r="H28" s="203"/>
      <c r="I28" s="203"/>
      <c r="J28" s="22"/>
    </row>
    <row r="29" spans="1:13" ht="25.5" customHeight="1" x14ac:dyDescent="0.25">
      <c r="A29" s="23" t="s">
        <v>35</v>
      </c>
      <c r="B29" s="205" t="s">
        <v>36</v>
      </c>
      <c r="C29" s="24"/>
      <c r="D29" s="25"/>
      <c r="E29" s="25"/>
      <c r="F29" s="313">
        <f>E30-D30</f>
        <v>-1495.84</v>
      </c>
      <c r="G29" s="314"/>
      <c r="H29" s="317">
        <f>E30/D30</f>
        <v>0</v>
      </c>
      <c r="I29" s="318"/>
      <c r="J29" s="26">
        <f>[1]послуги!G21</f>
        <v>180483</v>
      </c>
      <c r="K29" s="5">
        <f>G71</f>
        <v>0</v>
      </c>
      <c r="L29" s="27">
        <f>H71</f>
        <v>0</v>
      </c>
    </row>
    <row r="30" spans="1:13" ht="18" customHeight="1" x14ac:dyDescent="0.25">
      <c r="A30" s="28" t="s">
        <v>37</v>
      </c>
      <c r="B30" s="205"/>
      <c r="C30" s="30"/>
      <c r="D30" s="29">
        <v>1495.84</v>
      </c>
      <c r="E30" s="30">
        <v>0</v>
      </c>
      <c r="F30" s="315"/>
      <c r="G30" s="316"/>
      <c r="H30" s="319"/>
      <c r="I30" s="320"/>
      <c r="J30" s="31"/>
    </row>
    <row r="31" spans="1:13" ht="17.45" hidden="1" customHeight="1" x14ac:dyDescent="0.25">
      <c r="A31" s="32" t="s">
        <v>38</v>
      </c>
      <c r="B31" s="196"/>
      <c r="C31" s="35"/>
      <c r="D31" s="34"/>
      <c r="E31" s="35"/>
      <c r="F31" s="34"/>
      <c r="G31" s="34"/>
      <c r="H31" s="172"/>
      <c r="I31" s="173"/>
      <c r="J31" s="36"/>
      <c r="K31" s="37"/>
    </row>
    <row r="32" spans="1:13" ht="16.5" hidden="1" customHeight="1" x14ac:dyDescent="0.25">
      <c r="A32" s="38" t="s">
        <v>39</v>
      </c>
      <c r="B32" s="196"/>
      <c r="C32" s="40"/>
      <c r="D32" s="39"/>
      <c r="E32" s="40"/>
      <c r="F32" s="39"/>
      <c r="G32" s="39"/>
      <c r="H32" s="174"/>
      <c r="I32" s="175"/>
      <c r="J32" s="36">
        <f>J29-J36</f>
        <v>142108.68</v>
      </c>
      <c r="K32" s="37"/>
    </row>
    <row r="33" spans="1:14" ht="16.5" hidden="1" customHeight="1" x14ac:dyDescent="0.25">
      <c r="A33" s="38" t="s">
        <v>40</v>
      </c>
      <c r="B33" s="196"/>
      <c r="C33" s="40"/>
      <c r="D33" s="39"/>
      <c r="E33" s="40"/>
      <c r="F33" s="39"/>
      <c r="G33" s="39"/>
      <c r="H33" s="174"/>
      <c r="I33" s="175"/>
      <c r="J33" s="36"/>
      <c r="K33" s="37"/>
    </row>
    <row r="34" spans="1:14" ht="16.5" hidden="1" customHeight="1" x14ac:dyDescent="0.25">
      <c r="A34" s="38" t="s">
        <v>41</v>
      </c>
      <c r="B34" s="196"/>
      <c r="C34" s="40"/>
      <c r="D34" s="39"/>
      <c r="E34" s="40"/>
      <c r="F34" s="39"/>
      <c r="G34" s="39"/>
      <c r="H34" s="174"/>
      <c r="I34" s="175"/>
      <c r="J34" s="36"/>
      <c r="K34" s="37"/>
    </row>
    <row r="35" spans="1:14" ht="16.5" hidden="1" customHeight="1" x14ac:dyDescent="0.25">
      <c r="A35" s="38" t="s">
        <v>42</v>
      </c>
      <c r="B35" s="196"/>
      <c r="C35" s="40"/>
      <c r="D35" s="39"/>
      <c r="E35" s="40"/>
      <c r="F35" s="39"/>
      <c r="G35" s="39"/>
      <c r="H35" s="174"/>
      <c r="I35" s="175"/>
      <c r="J35" s="36"/>
      <c r="K35" s="37"/>
    </row>
    <row r="36" spans="1:14" ht="16.5" hidden="1" customHeight="1" x14ac:dyDescent="0.25">
      <c r="A36" s="41"/>
      <c r="B36" s="196"/>
      <c r="C36" s="40"/>
      <c r="D36" s="39"/>
      <c r="E36" s="40"/>
      <c r="F36" s="39"/>
      <c r="G36" s="39"/>
      <c r="H36" s="174"/>
      <c r="I36" s="174"/>
      <c r="J36" s="36">
        <f>[1]послуги!F11+[1]послуги!F9</f>
        <v>38374.32</v>
      </c>
      <c r="K36" s="37">
        <f>6006*4.15</f>
        <v>24924.9</v>
      </c>
    </row>
    <row r="37" spans="1:14" ht="17.25" hidden="1" customHeight="1" x14ac:dyDescent="0.25">
      <c r="A37" s="41"/>
      <c r="B37" s="196"/>
      <c r="C37" s="40"/>
      <c r="D37" s="39"/>
      <c r="E37" s="40"/>
      <c r="F37" s="39"/>
      <c r="G37" s="39"/>
      <c r="H37" s="174"/>
      <c r="I37" s="174"/>
      <c r="J37" s="36"/>
      <c r="K37" s="37"/>
    </row>
    <row r="38" spans="1:14" ht="15.75" customHeight="1" x14ac:dyDescent="0.25">
      <c r="A38" s="41" t="s">
        <v>43</v>
      </c>
      <c r="B38" s="33" t="s">
        <v>44</v>
      </c>
      <c r="C38" s="40"/>
      <c r="D38" s="39">
        <v>249.30699999999999</v>
      </c>
      <c r="E38" s="40">
        <v>0</v>
      </c>
      <c r="F38" s="235">
        <f>E38-D38</f>
        <v>-249.30699999999999</v>
      </c>
      <c r="G38" s="236"/>
      <c r="H38" s="237">
        <f>E38/D38</f>
        <v>0</v>
      </c>
      <c r="I38" s="238"/>
      <c r="J38" s="31"/>
      <c r="K38" s="37"/>
    </row>
    <row r="39" spans="1:14" ht="19.350000000000001" customHeight="1" x14ac:dyDescent="0.25">
      <c r="A39" s="41" t="s">
        <v>45</v>
      </c>
      <c r="B39" s="33" t="s">
        <v>46</v>
      </c>
      <c r="C39" s="39"/>
      <c r="D39" s="39"/>
      <c r="E39" s="40"/>
      <c r="F39" s="299"/>
      <c r="G39" s="300"/>
      <c r="H39" s="277"/>
      <c r="I39" s="278"/>
      <c r="J39" s="36"/>
      <c r="K39" s="37"/>
    </row>
    <row r="40" spans="1:14" ht="27" customHeight="1" x14ac:dyDescent="0.25">
      <c r="A40" s="41" t="s">
        <v>47</v>
      </c>
      <c r="B40" s="33" t="s">
        <v>48</v>
      </c>
      <c r="C40" s="39"/>
      <c r="D40" s="39"/>
      <c r="E40" s="40"/>
      <c r="F40" s="299"/>
      <c r="G40" s="300"/>
      <c r="H40" s="277"/>
      <c r="I40" s="278"/>
      <c r="J40" s="36"/>
      <c r="K40" s="37"/>
    </row>
    <row r="41" spans="1:14" ht="37.5" customHeight="1" x14ac:dyDescent="0.25">
      <c r="A41" s="42" t="s">
        <v>49</v>
      </c>
      <c r="B41" s="43" t="s">
        <v>50</v>
      </c>
      <c r="C41" s="44"/>
      <c r="D41" s="44">
        <v>1246.5329999999999</v>
      </c>
      <c r="E41" s="45">
        <v>0</v>
      </c>
      <c r="F41" s="263">
        <f>E41-D41</f>
        <v>-1246.5329999999999</v>
      </c>
      <c r="G41" s="264"/>
      <c r="H41" s="301">
        <f>E41/D41</f>
        <v>0</v>
      </c>
      <c r="I41" s="302"/>
      <c r="J41" s="26"/>
      <c r="K41" s="37"/>
    </row>
    <row r="42" spans="1:14" ht="15.75" customHeight="1" x14ac:dyDescent="0.25">
      <c r="A42" s="23" t="s">
        <v>158</v>
      </c>
      <c r="B42" s="206" t="s">
        <v>51</v>
      </c>
      <c r="C42" s="207"/>
      <c r="D42" s="207">
        <v>2.0019999999999998</v>
      </c>
      <c r="E42" s="207">
        <v>0</v>
      </c>
      <c r="F42" s="305">
        <f>E42-D42</f>
        <v>-2.0019999999999998</v>
      </c>
      <c r="G42" s="306"/>
      <c r="H42" s="309">
        <f>E42/D42</f>
        <v>0</v>
      </c>
      <c r="I42" s="310"/>
      <c r="J42" s="26">
        <f>[1]витрпайові!J73</f>
        <v>261318</v>
      </c>
      <c r="K42" s="37">
        <f>K43/1000-E42</f>
        <v>261.31799999999998</v>
      </c>
    </row>
    <row r="43" spans="1:14" ht="6.75" customHeight="1" x14ac:dyDescent="0.25">
      <c r="A43" s="47"/>
      <c r="B43" s="206"/>
      <c r="C43" s="207"/>
      <c r="D43" s="207"/>
      <c r="E43" s="207"/>
      <c r="F43" s="307"/>
      <c r="G43" s="308"/>
      <c r="H43" s="311"/>
      <c r="I43" s="312"/>
      <c r="J43" s="26"/>
      <c r="K43" s="48">
        <f>12*21776.5</f>
        <v>261318</v>
      </c>
      <c r="L43">
        <v>9000</v>
      </c>
      <c r="M43" s="49">
        <f>K43-L43</f>
        <v>252318</v>
      </c>
    </row>
    <row r="44" spans="1:14" ht="18.600000000000001" customHeight="1" x14ac:dyDescent="0.25">
      <c r="A44" s="50" t="s">
        <v>52</v>
      </c>
      <c r="B44" s="43" t="s">
        <v>53</v>
      </c>
      <c r="C44" s="51"/>
      <c r="D44" s="52"/>
      <c r="E44" s="53"/>
      <c r="F44" s="303"/>
      <c r="G44" s="304"/>
      <c r="H44" s="291"/>
      <c r="I44" s="292"/>
      <c r="J44" s="26"/>
      <c r="K44" s="48" t="e">
        <f>M91</f>
        <v>#REF!</v>
      </c>
    </row>
    <row r="45" spans="1:14" ht="27.4" customHeight="1" x14ac:dyDescent="0.25">
      <c r="A45" s="54" t="s">
        <v>54</v>
      </c>
      <c r="B45" s="194" t="s">
        <v>55</v>
      </c>
      <c r="C45" s="65"/>
      <c r="D45" s="55">
        <v>8896.39</v>
      </c>
      <c r="E45" s="56">
        <f>E83</f>
        <v>4127.5650000000005</v>
      </c>
      <c r="F45" s="283">
        <f>E45-D45</f>
        <v>-4768.8249999999989</v>
      </c>
      <c r="G45" s="284"/>
      <c r="H45" s="285">
        <f>E45/D45</f>
        <v>0.4639595386443266</v>
      </c>
      <c r="I45" s="286"/>
      <c r="J45" s="57"/>
      <c r="K45" s="37">
        <f>E69-E42</f>
        <v>4127.5650000000005</v>
      </c>
    </row>
    <row r="46" spans="1:14" ht="55.5" customHeight="1" x14ac:dyDescent="0.25">
      <c r="A46" s="58" t="s">
        <v>56</v>
      </c>
      <c r="B46" s="194"/>
      <c r="C46" s="65"/>
      <c r="D46" s="56">
        <v>7394.2740000000003</v>
      </c>
      <c r="E46" s="59">
        <f>E85</f>
        <v>3306.9770000000003</v>
      </c>
      <c r="F46" s="283">
        <f>E46-D46</f>
        <v>-4087.297</v>
      </c>
      <c r="G46" s="284"/>
      <c r="H46" s="285">
        <f>E46/D46</f>
        <v>0.44723484685582388</v>
      </c>
      <c r="I46" s="286"/>
      <c r="J46" s="31"/>
      <c r="K46" s="37">
        <f>'[1]Утримання територій'!J210</f>
        <v>9264279.0010099988</v>
      </c>
      <c r="L46" s="60" t="e">
        <f>#REF!</f>
        <v>#REF!</v>
      </c>
      <c r="M46" s="60">
        <f>M87</f>
        <v>49677</v>
      </c>
      <c r="N46" s="60">
        <f>M88</f>
        <v>9800.0000000000018</v>
      </c>
    </row>
    <row r="47" spans="1:14" ht="19.899999999999999" customHeight="1" x14ac:dyDescent="0.25">
      <c r="A47" s="61" t="s">
        <v>57</v>
      </c>
      <c r="B47" s="194"/>
      <c r="C47" s="148"/>
      <c r="D47" s="181">
        <v>7077.9920000000002</v>
      </c>
      <c r="E47" s="181">
        <f>E86</f>
        <v>3110.6970000000001</v>
      </c>
      <c r="F47" s="279">
        <f>E47-D47</f>
        <v>-3967.2950000000001</v>
      </c>
      <c r="G47" s="280"/>
      <c r="H47" s="281">
        <f>E47/D47</f>
        <v>0.43948862897838825</v>
      </c>
      <c r="I47" s="282"/>
      <c r="J47" s="36"/>
      <c r="K47" s="37" t="e">
        <f>K44-K46</f>
        <v>#REF!</v>
      </c>
    </row>
    <row r="48" spans="1:14" ht="25.5" hidden="1" customHeight="1" x14ac:dyDescent="0.25">
      <c r="A48" s="54" t="s">
        <v>58</v>
      </c>
      <c r="B48" s="194"/>
      <c r="C48" s="65"/>
      <c r="D48" s="136"/>
      <c r="E48" s="182"/>
      <c r="F48" s="151"/>
      <c r="G48" s="151"/>
      <c r="H48" s="176"/>
      <c r="I48" s="176"/>
      <c r="J48" s="36"/>
      <c r="K48" s="37"/>
    </row>
    <row r="49" spans="1:11" ht="27" hidden="1" customHeight="1" x14ac:dyDescent="0.25">
      <c r="A49" s="58" t="s">
        <v>59</v>
      </c>
      <c r="B49" s="194"/>
      <c r="C49" s="65"/>
      <c r="D49" s="136"/>
      <c r="E49" s="136"/>
      <c r="F49" s="151"/>
      <c r="G49" s="151"/>
      <c r="H49" s="176"/>
      <c r="I49" s="176"/>
      <c r="J49" s="36"/>
      <c r="K49" s="37"/>
    </row>
    <row r="50" spans="1:11" ht="27" hidden="1" customHeight="1" x14ac:dyDescent="0.25">
      <c r="A50" s="58" t="s">
        <v>60</v>
      </c>
      <c r="B50" s="194"/>
      <c r="C50" s="65"/>
      <c r="D50" s="136"/>
      <c r="E50" s="136"/>
      <c r="F50" s="151"/>
      <c r="G50" s="151"/>
      <c r="H50" s="176"/>
      <c r="I50" s="176"/>
      <c r="J50" s="36"/>
      <c r="K50" s="37"/>
    </row>
    <row r="51" spans="1:11" ht="27" hidden="1" customHeight="1" x14ac:dyDescent="0.25">
      <c r="A51" s="54" t="s">
        <v>61</v>
      </c>
      <c r="B51" s="194"/>
      <c r="C51" s="65"/>
      <c r="D51" s="136"/>
      <c r="E51" s="136"/>
      <c r="F51" s="151"/>
      <c r="G51" s="151"/>
      <c r="H51" s="176"/>
      <c r="I51" s="176"/>
      <c r="J51" s="36"/>
      <c r="K51" s="37"/>
    </row>
    <row r="52" spans="1:11" ht="41.25" hidden="1" customHeight="1" x14ac:dyDescent="0.25">
      <c r="A52" s="64" t="s">
        <v>62</v>
      </c>
      <c r="B52" s="194"/>
      <c r="C52" s="65"/>
      <c r="D52" s="136"/>
      <c r="E52" s="136"/>
      <c r="F52" s="151"/>
      <c r="G52" s="151"/>
      <c r="H52" s="176"/>
      <c r="I52" s="176"/>
      <c r="J52" s="36"/>
      <c r="K52" s="37"/>
    </row>
    <row r="53" spans="1:11" ht="21.75" hidden="1" customHeight="1" x14ac:dyDescent="0.25">
      <c r="A53" s="64" t="s">
        <v>63</v>
      </c>
      <c r="B53" s="194"/>
      <c r="C53" s="65"/>
      <c r="D53" s="136"/>
      <c r="E53" s="136"/>
      <c r="F53" s="151"/>
      <c r="G53" s="151"/>
      <c r="H53" s="176"/>
      <c r="I53" s="176"/>
      <c r="J53" s="36"/>
      <c r="K53" s="37"/>
    </row>
    <row r="54" spans="1:11" ht="41.25" hidden="1" customHeight="1" x14ac:dyDescent="0.25">
      <c r="A54" s="54" t="s">
        <v>64</v>
      </c>
      <c r="B54" s="194"/>
      <c r="C54" s="65"/>
      <c r="D54" s="136"/>
      <c r="E54" s="136"/>
      <c r="F54" s="151"/>
      <c r="G54" s="151"/>
      <c r="H54" s="176"/>
      <c r="I54" s="176"/>
      <c r="J54" s="36"/>
      <c r="K54" s="37"/>
    </row>
    <row r="55" spans="1:11" ht="26.25" hidden="1" customHeight="1" x14ac:dyDescent="0.25">
      <c r="A55" s="64" t="s">
        <v>65</v>
      </c>
      <c r="B55" s="194"/>
      <c r="C55" s="65"/>
      <c r="D55" s="136"/>
      <c r="E55" s="136"/>
      <c r="F55" s="151"/>
      <c r="G55" s="151"/>
      <c r="H55" s="176"/>
      <c r="I55" s="176"/>
      <c r="J55" s="36"/>
      <c r="K55" s="37"/>
    </row>
    <row r="56" spans="1:11" ht="28.5" hidden="1" customHeight="1" x14ac:dyDescent="0.25">
      <c r="A56" s="64" t="s">
        <v>66</v>
      </c>
      <c r="B56" s="194"/>
      <c r="C56" s="65"/>
      <c r="D56" s="136"/>
      <c r="E56" s="136"/>
      <c r="F56" s="151"/>
      <c r="G56" s="151"/>
      <c r="H56" s="176"/>
      <c r="I56" s="177"/>
      <c r="J56" s="57"/>
      <c r="K56" s="37"/>
    </row>
    <row r="57" spans="1:11" ht="16.7" customHeight="1" x14ac:dyDescent="0.25">
      <c r="A57" s="66" t="s">
        <v>67</v>
      </c>
      <c r="B57" s="194"/>
      <c r="C57" s="148"/>
      <c r="D57" s="168">
        <v>316.28199999999998</v>
      </c>
      <c r="E57" s="168">
        <f>E100</f>
        <v>196.28</v>
      </c>
      <c r="F57" s="279">
        <f>E57-D57</f>
        <v>-120.00199999999998</v>
      </c>
      <c r="G57" s="280"/>
      <c r="H57" s="281">
        <f>E57/D57</f>
        <v>0.62058542692913288</v>
      </c>
      <c r="I57" s="282"/>
      <c r="J57" s="36"/>
      <c r="K57" s="37"/>
    </row>
    <row r="58" spans="1:11" ht="31.5" customHeight="1" x14ac:dyDescent="0.25">
      <c r="A58" s="64" t="s">
        <v>66</v>
      </c>
      <c r="B58" s="194"/>
      <c r="C58" s="55"/>
      <c r="D58" s="65">
        <v>316.28199999999998</v>
      </c>
      <c r="E58" s="65">
        <f>E57</f>
        <v>196.28</v>
      </c>
      <c r="F58" s="283">
        <f>E58-D58</f>
        <v>-120.00199999999998</v>
      </c>
      <c r="G58" s="284"/>
      <c r="H58" s="285">
        <f>E58/D58</f>
        <v>0.62058542692913288</v>
      </c>
      <c r="I58" s="286"/>
      <c r="J58" s="31"/>
      <c r="K58" s="37"/>
    </row>
    <row r="59" spans="1:11" ht="37.5" hidden="1" customHeight="1" x14ac:dyDescent="0.25">
      <c r="A59" s="67" t="s">
        <v>68</v>
      </c>
      <c r="B59" s="194"/>
      <c r="C59" s="68"/>
      <c r="D59" s="68"/>
      <c r="E59" s="69"/>
      <c r="F59" s="152"/>
      <c r="G59" s="152"/>
      <c r="H59" s="178"/>
      <c r="I59" s="178"/>
      <c r="J59" s="36"/>
      <c r="K59" s="37"/>
    </row>
    <row r="60" spans="1:11" ht="18" hidden="1" customHeight="1" x14ac:dyDescent="0.25">
      <c r="A60" s="67" t="s">
        <v>69</v>
      </c>
      <c r="B60" s="194"/>
      <c r="C60" s="70"/>
      <c r="D60" s="70"/>
      <c r="E60" s="71"/>
      <c r="F60" s="139"/>
      <c r="G60" s="139"/>
      <c r="H60" s="179"/>
      <c r="I60" s="179"/>
      <c r="J60" s="36"/>
      <c r="K60" s="37"/>
    </row>
    <row r="61" spans="1:11" ht="50.25" hidden="1" customHeight="1" x14ac:dyDescent="0.25">
      <c r="A61" s="73" t="s">
        <v>70</v>
      </c>
      <c r="B61" s="194"/>
      <c r="C61" s="70"/>
      <c r="D61" s="74"/>
      <c r="E61" s="74"/>
      <c r="F61" s="140"/>
      <c r="G61" s="140"/>
      <c r="H61" s="180"/>
      <c r="I61" s="180"/>
      <c r="J61" s="31"/>
      <c r="K61" s="37"/>
    </row>
    <row r="62" spans="1:11" ht="15.75" hidden="1" customHeight="1" x14ac:dyDescent="0.25">
      <c r="A62" s="58" t="s">
        <v>57</v>
      </c>
      <c r="B62" s="194"/>
      <c r="C62" s="70"/>
      <c r="D62" s="70"/>
      <c r="E62" s="72"/>
      <c r="F62" s="139"/>
      <c r="G62" s="139"/>
      <c r="H62" s="179"/>
      <c r="I62" s="179"/>
      <c r="J62" s="36"/>
      <c r="K62" s="37"/>
    </row>
    <row r="63" spans="1:11" ht="15.75" hidden="1" customHeight="1" x14ac:dyDescent="0.25">
      <c r="A63" s="54" t="s">
        <v>71</v>
      </c>
      <c r="B63" s="194"/>
      <c r="C63" s="70"/>
      <c r="D63" s="70"/>
      <c r="E63" s="70"/>
      <c r="F63" s="139"/>
      <c r="G63" s="139"/>
      <c r="H63" s="179"/>
      <c r="I63" s="179"/>
      <c r="J63" s="36"/>
      <c r="K63" s="37">
        <f>E41</f>
        <v>0</v>
      </c>
    </row>
    <row r="64" spans="1:11" ht="64.5" customHeight="1" x14ac:dyDescent="0.25">
      <c r="A64" s="58" t="s">
        <v>159</v>
      </c>
      <c r="B64" s="138"/>
      <c r="C64" s="74"/>
      <c r="D64" s="70">
        <v>1502.116</v>
      </c>
      <c r="E64" s="140">
        <f>E112</f>
        <v>820.58799999999997</v>
      </c>
      <c r="F64" s="287">
        <f>E64-D64</f>
        <v>-681.52800000000002</v>
      </c>
      <c r="G64" s="288"/>
      <c r="H64" s="289">
        <f>E64/D64</f>
        <v>0.54628803634339818</v>
      </c>
      <c r="I64" s="290"/>
      <c r="J64" s="36"/>
      <c r="K64" s="37"/>
    </row>
    <row r="65" spans="1:15" ht="15.75" customHeight="1" x14ac:dyDescent="0.25">
      <c r="A65" s="61" t="s">
        <v>57</v>
      </c>
      <c r="B65" s="138"/>
      <c r="C65" s="70"/>
      <c r="D65" s="70">
        <v>830.62099999999998</v>
      </c>
      <c r="E65" s="139">
        <f>E113</f>
        <v>820.58799999999997</v>
      </c>
      <c r="F65" s="273">
        <f>E65-D65</f>
        <v>-10.033000000000015</v>
      </c>
      <c r="G65" s="274"/>
      <c r="H65" s="275">
        <f>E65/D65</f>
        <v>0.98792108554924563</v>
      </c>
      <c r="I65" s="276"/>
      <c r="J65" s="36"/>
      <c r="K65" s="37"/>
    </row>
    <row r="66" spans="1:15" ht="15.75" customHeight="1" x14ac:dyDescent="0.25">
      <c r="A66" s="66" t="s">
        <v>67</v>
      </c>
      <c r="B66" s="138"/>
      <c r="C66" s="70"/>
      <c r="D66" s="70">
        <v>671.495</v>
      </c>
      <c r="E66" s="139">
        <f>E114</f>
        <v>0</v>
      </c>
      <c r="F66" s="273">
        <v>-671.495</v>
      </c>
      <c r="G66" s="274"/>
      <c r="H66" s="275">
        <f>E66/D66</f>
        <v>0</v>
      </c>
      <c r="I66" s="276"/>
      <c r="J66" s="36"/>
      <c r="K66" s="37"/>
    </row>
    <row r="67" spans="1:15" ht="25.5" customHeight="1" x14ac:dyDescent="0.25">
      <c r="A67" s="64" t="s">
        <v>66</v>
      </c>
      <c r="B67" s="138"/>
      <c r="C67" s="70"/>
      <c r="D67" s="70">
        <v>671.495</v>
      </c>
      <c r="E67" s="139">
        <v>0</v>
      </c>
      <c r="F67" s="273">
        <v>-671.495</v>
      </c>
      <c r="G67" s="274"/>
      <c r="H67" s="275">
        <f>E67/D67</f>
        <v>0</v>
      </c>
      <c r="I67" s="276"/>
      <c r="J67" s="36"/>
      <c r="K67" s="37"/>
    </row>
    <row r="68" spans="1:15" ht="18" customHeight="1" x14ac:dyDescent="0.25">
      <c r="A68" s="75" t="s">
        <v>72</v>
      </c>
      <c r="B68" s="43" t="s">
        <v>73</v>
      </c>
      <c r="C68" s="46"/>
      <c r="D68" s="46"/>
      <c r="E68" s="45"/>
      <c r="F68" s="263"/>
      <c r="G68" s="264"/>
      <c r="H68" s="263"/>
      <c r="I68" s="264"/>
      <c r="J68" s="26"/>
      <c r="K68" s="37">
        <f>E42</f>
        <v>0</v>
      </c>
    </row>
    <row r="69" spans="1:15" ht="18.75" customHeight="1" x14ac:dyDescent="0.25">
      <c r="A69" s="76" t="s">
        <v>74</v>
      </c>
      <c r="B69" s="77" t="s">
        <v>75</v>
      </c>
      <c r="C69" s="78"/>
      <c r="D69" s="78">
        <f>D41+D42+D45</f>
        <v>10144.924999999999</v>
      </c>
      <c r="E69" s="78">
        <f>E41+E42+E45</f>
        <v>4127.5650000000005</v>
      </c>
      <c r="F69" s="265">
        <f t="shared" ref="F69" si="0">F41+F42+F45</f>
        <v>-6017.3599999999988</v>
      </c>
      <c r="G69" s="266"/>
      <c r="H69" s="267">
        <f>E69/D69</f>
        <v>0.40686008028644871</v>
      </c>
      <c r="I69" s="268"/>
      <c r="J69" s="79"/>
      <c r="K69" s="37" t="e">
        <f>K44/1000</f>
        <v>#REF!</v>
      </c>
    </row>
    <row r="70" spans="1:15" ht="15" customHeight="1" x14ac:dyDescent="0.25">
      <c r="A70" s="195" t="s">
        <v>76</v>
      </c>
      <c r="B70" s="195"/>
      <c r="C70" s="195"/>
      <c r="D70" s="195"/>
      <c r="E70" s="195"/>
      <c r="F70" s="195"/>
      <c r="G70" s="195"/>
      <c r="H70" s="195"/>
      <c r="I70" s="195"/>
      <c r="J70" s="81"/>
      <c r="K70" s="37"/>
    </row>
    <row r="71" spans="1:15" ht="41.25" customHeight="1" x14ac:dyDescent="0.25">
      <c r="A71" s="82" t="s">
        <v>77</v>
      </c>
      <c r="B71" s="43" t="s">
        <v>78</v>
      </c>
      <c r="C71" s="44"/>
      <c r="D71" s="44">
        <v>1241.5809999999999</v>
      </c>
      <c r="E71" s="44">
        <v>0</v>
      </c>
      <c r="F71" s="269">
        <f>E71-D71</f>
        <v>-1241.5809999999999</v>
      </c>
      <c r="G71" s="270"/>
      <c r="H71" s="271">
        <f>E71/D71</f>
        <v>0</v>
      </c>
      <c r="I71" s="272"/>
      <c r="J71" s="26">
        <f>'[1]утрим хоз'!J77+[1]витрпайові!J73</f>
        <v>441801</v>
      </c>
      <c r="K71" s="83">
        <f>E42-E71</f>
        <v>0</v>
      </c>
      <c r="O71">
        <f>3000*30.45</f>
        <v>91350</v>
      </c>
    </row>
    <row r="72" spans="1:15" ht="23.25" customHeight="1" x14ac:dyDescent="0.25">
      <c r="A72" s="84" t="s">
        <v>79</v>
      </c>
      <c r="B72" s="33" t="s">
        <v>80</v>
      </c>
      <c r="C72" s="39"/>
      <c r="D72" s="40"/>
      <c r="E72" s="40"/>
      <c r="F72" s="259"/>
      <c r="G72" s="260"/>
      <c r="H72" s="237"/>
      <c r="I72" s="238"/>
      <c r="J72" s="31">
        <f>'[1]утрим хоз'!J77</f>
        <v>180483</v>
      </c>
      <c r="K72" s="86">
        <f>'[1]утрим хоз'!J77</f>
        <v>180483</v>
      </c>
      <c r="L72" s="86">
        <f>[1]витрпайові!J73</f>
        <v>261318</v>
      </c>
      <c r="M72" s="86">
        <f>L72+K72</f>
        <v>441801</v>
      </c>
      <c r="O72" s="27">
        <f>E82-91.35</f>
        <v>-91.35</v>
      </c>
    </row>
    <row r="73" spans="1:15" ht="18" customHeight="1" x14ac:dyDescent="0.25">
      <c r="A73" s="41" t="s">
        <v>81</v>
      </c>
      <c r="B73" s="33" t="s">
        <v>82</v>
      </c>
      <c r="C73" s="39"/>
      <c r="D73" s="40"/>
      <c r="E73" s="40"/>
      <c r="F73" s="259"/>
      <c r="G73" s="260"/>
      <c r="H73" s="237"/>
      <c r="I73" s="238"/>
      <c r="J73" s="31">
        <f>[1]витрпайові!J12+[1]витрпайові!J16</f>
        <v>37974</v>
      </c>
      <c r="K73" s="86">
        <f>'[1]утрим хоз'!J18</f>
        <v>12264</v>
      </c>
      <c r="L73" s="5">
        <f>H118</f>
        <v>0</v>
      </c>
      <c r="M73" s="5">
        <f>I118</f>
        <v>0</v>
      </c>
      <c r="N73" s="5">
        <f>M73+L73+K73</f>
        <v>12264</v>
      </c>
    </row>
    <row r="74" spans="1:15" ht="18" customHeight="1" x14ac:dyDescent="0.25">
      <c r="A74" s="41" t="s">
        <v>58</v>
      </c>
      <c r="B74" s="196" t="s">
        <v>83</v>
      </c>
      <c r="C74" s="40"/>
      <c r="D74" s="40">
        <v>1240.579</v>
      </c>
      <c r="E74" s="40">
        <v>0</v>
      </c>
      <c r="F74" s="259">
        <f>E74-D74</f>
        <v>-1240.579</v>
      </c>
      <c r="G74" s="260"/>
      <c r="H74" s="237">
        <f>E74/D74</f>
        <v>0</v>
      </c>
      <c r="I74" s="238"/>
      <c r="J74" s="31">
        <f>'[1]утрим хоз'!J12+'[1]утрим хоз'!J16</f>
        <v>168219</v>
      </c>
      <c r="K74" s="86">
        <f>'[1]фзп хоз'!T26+'[1]фзп хоз'!T24</f>
        <v>206189.17439999999</v>
      </c>
    </row>
    <row r="75" spans="1:15" ht="13.7" customHeight="1" x14ac:dyDescent="0.25">
      <c r="A75" s="88" t="s">
        <v>84</v>
      </c>
      <c r="B75" s="196"/>
      <c r="C75" s="134"/>
      <c r="D75" s="39">
        <v>134.61600000000001</v>
      </c>
      <c r="E75" s="134">
        <v>0</v>
      </c>
      <c r="F75" s="259">
        <f>E75-D75</f>
        <v>-134.61600000000001</v>
      </c>
      <c r="G75" s="260"/>
      <c r="H75" s="237">
        <f>E75/D75</f>
        <v>0</v>
      </c>
      <c r="I75" s="238"/>
      <c r="J75" s="36"/>
      <c r="K75" s="86"/>
    </row>
    <row r="76" spans="1:15" ht="13.7" customHeight="1" x14ac:dyDescent="0.25">
      <c r="A76" s="88" t="s">
        <v>165</v>
      </c>
      <c r="B76" s="196"/>
      <c r="C76" s="134"/>
      <c r="D76" s="39">
        <v>882.25199999999995</v>
      </c>
      <c r="E76" s="134">
        <v>0</v>
      </c>
      <c r="F76" s="259">
        <f>E76-D76</f>
        <v>-882.25199999999995</v>
      </c>
      <c r="G76" s="260"/>
      <c r="H76" s="237">
        <f>E76/D76</f>
        <v>0</v>
      </c>
      <c r="I76" s="238"/>
      <c r="J76" s="36"/>
      <c r="K76" s="86">
        <f>'[1]фзп хоз'!T24</f>
        <v>169007.52</v>
      </c>
      <c r="L76" s="49">
        <f>[1]витрпайові!J12</f>
        <v>31126</v>
      </c>
    </row>
    <row r="77" spans="1:15" ht="13.7" hidden="1" customHeight="1" x14ac:dyDescent="0.25">
      <c r="A77" s="90" t="s">
        <v>85</v>
      </c>
      <c r="B77" s="33"/>
      <c r="C77" s="39"/>
      <c r="D77" s="39"/>
      <c r="E77" s="39"/>
      <c r="F77" s="259"/>
      <c r="G77" s="260"/>
      <c r="H77" s="237"/>
      <c r="I77" s="238"/>
      <c r="J77" s="36"/>
      <c r="K77" s="86"/>
    </row>
    <row r="78" spans="1:15" ht="17.25" customHeight="1" x14ac:dyDescent="0.25">
      <c r="A78" s="41" t="s">
        <v>61</v>
      </c>
      <c r="B78" s="33" t="s">
        <v>86</v>
      </c>
      <c r="C78" s="40"/>
      <c r="D78" s="40">
        <v>223.71100000000001</v>
      </c>
      <c r="E78" s="40">
        <v>0</v>
      </c>
      <c r="F78" s="259">
        <f>E78-D78</f>
        <v>-223.71100000000001</v>
      </c>
      <c r="G78" s="260"/>
      <c r="H78" s="237">
        <f>E78/D78</f>
        <v>0</v>
      </c>
      <c r="I78" s="238"/>
      <c r="J78" s="31"/>
      <c r="K78" s="86">
        <f>'[1]фзп хоз'!T26</f>
        <v>37181.654399999999</v>
      </c>
      <c r="L78" s="49">
        <f>[1]витрпайові!J16</f>
        <v>6848</v>
      </c>
    </row>
    <row r="79" spans="1:15" ht="16.5" customHeight="1" x14ac:dyDescent="0.25">
      <c r="A79" s="82" t="s">
        <v>87</v>
      </c>
      <c r="B79" s="43" t="s">
        <v>88</v>
      </c>
      <c r="C79" s="43"/>
      <c r="D79" s="92"/>
      <c r="E79" s="44"/>
      <c r="F79" s="259"/>
      <c r="G79" s="260"/>
      <c r="H79" s="237"/>
      <c r="I79" s="238"/>
      <c r="J79" s="26"/>
      <c r="K79" s="86"/>
    </row>
    <row r="80" spans="1:15" ht="16.149999999999999" customHeight="1" x14ac:dyDescent="0.25">
      <c r="A80" s="41" t="s">
        <v>89</v>
      </c>
      <c r="B80" s="33" t="s">
        <v>90</v>
      </c>
      <c r="C80" s="33"/>
      <c r="D80" s="33"/>
      <c r="E80" s="40"/>
      <c r="F80" s="259"/>
      <c r="G80" s="260"/>
      <c r="H80" s="237"/>
      <c r="I80" s="238"/>
      <c r="J80" s="36"/>
      <c r="K80" s="86">
        <f>60000/130</f>
        <v>461.53846153846155</v>
      </c>
      <c r="L80">
        <f>K80/4</f>
        <v>115.38461538461539</v>
      </c>
      <c r="M80">
        <f>L80/1.1</f>
        <v>104.89510489510489</v>
      </c>
    </row>
    <row r="81" spans="1:17" ht="18" customHeight="1" x14ac:dyDescent="0.25">
      <c r="A81" s="41" t="s">
        <v>92</v>
      </c>
      <c r="B81" s="196" t="s">
        <v>93</v>
      </c>
      <c r="C81" s="95"/>
      <c r="D81" s="40">
        <v>1.002</v>
      </c>
      <c r="E81" s="40">
        <v>0</v>
      </c>
      <c r="F81" s="259">
        <f>E81-D81</f>
        <v>-1.002</v>
      </c>
      <c r="G81" s="260"/>
      <c r="H81" s="237">
        <f>E81/D81</f>
        <v>0</v>
      </c>
      <c r="I81" s="238"/>
      <c r="J81" s="31">
        <f>[1]витрпайові!J73-[1]витрпайові!J12-[1]витрпайові!J16</f>
        <v>223344</v>
      </c>
      <c r="K81" s="86">
        <f>K43</f>
        <v>261318</v>
      </c>
      <c r="L81" s="93" t="e">
        <f>K81-#REF!*1000</f>
        <v>#REF!</v>
      </c>
      <c r="M81">
        <v>91350</v>
      </c>
      <c r="N81" s="27" t="e">
        <f>L81-M81</f>
        <v>#REF!</v>
      </c>
    </row>
    <row r="82" spans="1:17" ht="16.149999999999999" customHeight="1" x14ac:dyDescent="0.25">
      <c r="A82" s="84" t="s">
        <v>94</v>
      </c>
      <c r="B82" s="196"/>
      <c r="C82" s="135"/>
      <c r="D82" s="183">
        <v>1.002</v>
      </c>
      <c r="E82" s="134">
        <v>0</v>
      </c>
      <c r="F82" s="259">
        <f>E82-D82</f>
        <v>-1.002</v>
      </c>
      <c r="G82" s="260"/>
      <c r="H82" s="237">
        <f>E82/D82</f>
        <v>0</v>
      </c>
      <c r="I82" s="238"/>
      <c r="J82" s="36">
        <f>[1]витрпайові!J73-[1]витрпайові!J72-[1]витрпайові!J12-[1]витрпайові!J16</f>
        <v>99414</v>
      </c>
      <c r="K82" s="86">
        <f>10*1.1*31</f>
        <v>341</v>
      </c>
      <c r="M82" t="e">
        <f>#REF!/1.1</f>
        <v>#REF!</v>
      </c>
      <c r="N82">
        <f>N84+N85</f>
        <v>2296927.0014850004</v>
      </c>
    </row>
    <row r="83" spans="1:17" ht="18.75" customHeight="1" x14ac:dyDescent="0.25">
      <c r="A83" s="82" t="s">
        <v>95</v>
      </c>
      <c r="B83" s="43" t="s">
        <v>96</v>
      </c>
      <c r="C83" s="53"/>
      <c r="D83" s="44">
        <f>D85+D112</f>
        <v>8896.3900000000012</v>
      </c>
      <c r="E83" s="44">
        <f>E85+E112</f>
        <v>4127.5650000000005</v>
      </c>
      <c r="F83" s="259">
        <f>E83-D83</f>
        <v>-4768.8250000000007</v>
      </c>
      <c r="G83" s="260"/>
      <c r="H83" s="237">
        <f>E83/D83</f>
        <v>0.46395953864432649</v>
      </c>
      <c r="I83" s="238"/>
      <c r="J83" s="26"/>
      <c r="K83" s="86"/>
      <c r="L83" s="86"/>
      <c r="M83" s="86"/>
    </row>
    <row r="84" spans="1:17" ht="27.75" customHeight="1" x14ac:dyDescent="0.25">
      <c r="A84" s="41" t="s">
        <v>97</v>
      </c>
      <c r="B84" s="197" t="s">
        <v>98</v>
      </c>
      <c r="C84" s="147"/>
      <c r="D84" s="142"/>
      <c r="E84" s="95"/>
      <c r="F84" s="259"/>
      <c r="G84" s="260"/>
      <c r="H84" s="237"/>
      <c r="I84" s="238"/>
      <c r="J84" s="81"/>
      <c r="K84" s="86">
        <f>'[1]Утримання територій'!I209*10*1.1*120</f>
        <v>95330.400000000009</v>
      </c>
      <c r="M84">
        <f>270*2</f>
        <v>540</v>
      </c>
      <c r="N84">
        <f>297*3</f>
        <v>891</v>
      </c>
    </row>
    <row r="85" spans="1:17" ht="54.75" customHeight="1" x14ac:dyDescent="0.25">
      <c r="A85" s="84" t="s">
        <v>56</v>
      </c>
      <c r="B85" s="197"/>
      <c r="C85" s="149"/>
      <c r="D85" s="143">
        <f>D86+D100</f>
        <v>7394.2740000000013</v>
      </c>
      <c r="E85" s="95">
        <f>E86+E100</f>
        <v>3306.9770000000003</v>
      </c>
      <c r="F85" s="259">
        <f>E85-D85</f>
        <v>-4087.2970000000009</v>
      </c>
      <c r="G85" s="260"/>
      <c r="H85" s="237">
        <f>E85/D85</f>
        <v>0.44723484685582382</v>
      </c>
      <c r="I85" s="238"/>
      <c r="J85" s="31"/>
      <c r="K85" s="86">
        <f>'[1]Утримання територій'!K210+'[1]Утримання територій'!L210+'[1]Утримання територій'!M210</f>
        <v>2791901.0015249997</v>
      </c>
      <c r="L85" s="2">
        <f>'[1]Утримання територій'!N210+'[1]Утримання територій'!O210+'[1]Утримання територій'!P210</f>
        <v>2174381.9999000002</v>
      </c>
      <c r="M85" s="2">
        <f>'[1]Утримання територій'!Q210+'[1]Утримання територій'!R210+'[1]Утримання територій'!S210</f>
        <v>2001959.9999000002</v>
      </c>
      <c r="N85" s="49">
        <f>'[1]Утримання територій'!T210+'[1]Утримання територій'!U210+'[1]Утримання територій'!V210</f>
        <v>2296036.0014850004</v>
      </c>
      <c r="O85" s="96">
        <f>K85+L85+M85+N85</f>
        <v>9264279.0028100014</v>
      </c>
    </row>
    <row r="86" spans="1:17" ht="15.6" customHeight="1" x14ac:dyDescent="0.25">
      <c r="A86" s="38" t="s">
        <v>57</v>
      </c>
      <c r="B86" s="197"/>
      <c r="C86" s="149"/>
      <c r="D86" s="143">
        <f>D87+D94+D95+D97+D98+D91</f>
        <v>7077.9920000000011</v>
      </c>
      <c r="E86" s="143">
        <f>E87+E94+E95+E97+E98+E91</f>
        <v>3110.6970000000001</v>
      </c>
      <c r="F86" s="259">
        <f>E86-D86</f>
        <v>-3967.295000000001</v>
      </c>
      <c r="G86" s="260"/>
      <c r="H86" s="237">
        <f>E86/D86</f>
        <v>0.4394886289783882</v>
      </c>
      <c r="I86" s="238"/>
      <c r="J86" s="31"/>
      <c r="K86" s="49" t="e">
        <f>#REF!+K87+K91+#REF!+K90</f>
        <v>#REF!</v>
      </c>
      <c r="L86" s="86"/>
      <c r="M86" s="97" t="e">
        <f>K86+L86</f>
        <v>#REF!</v>
      </c>
      <c r="Q86" s="27"/>
    </row>
    <row r="87" spans="1:17" ht="15.6" customHeight="1" x14ac:dyDescent="0.25">
      <c r="A87" s="41" t="s">
        <v>99</v>
      </c>
      <c r="B87" s="197"/>
      <c r="C87" s="149"/>
      <c r="D87" s="143">
        <f>D88+D89</f>
        <v>1468.8789999999999</v>
      </c>
      <c r="E87" s="95">
        <f>E88+E89</f>
        <v>1468.65</v>
      </c>
      <c r="F87" s="259">
        <f>E87-D87</f>
        <v>-0.22899999999981446</v>
      </c>
      <c r="G87" s="260"/>
      <c r="H87" s="237">
        <f>E87/D87</f>
        <v>0.99984409879915237</v>
      </c>
      <c r="I87" s="238"/>
      <c r="J87" s="31"/>
      <c r="K87" s="96">
        <f>'[1]Утримання територій'!J12-'[1]Утримання територій'!J15</f>
        <v>6188193</v>
      </c>
      <c r="M87" s="49">
        <f>[1]тварини!H51</f>
        <v>49677</v>
      </c>
    </row>
    <row r="88" spans="1:17" ht="15.6" customHeight="1" x14ac:dyDescent="0.25">
      <c r="A88" s="88" t="s">
        <v>171</v>
      </c>
      <c r="B88" s="197"/>
      <c r="C88" s="150"/>
      <c r="D88" s="116">
        <v>320.86700000000002</v>
      </c>
      <c r="E88" s="135">
        <v>320.78500000000003</v>
      </c>
      <c r="F88" s="259">
        <f>E88-D88</f>
        <v>-8.1999999999993634E-2</v>
      </c>
      <c r="G88" s="260"/>
      <c r="H88" s="237">
        <f>E88/D88</f>
        <v>0.99974444240136884</v>
      </c>
      <c r="I88" s="238"/>
      <c r="J88" s="36"/>
      <c r="K88" s="86">
        <f>'[1]Утримання територій'!J13</f>
        <v>1980222</v>
      </c>
      <c r="L88" s="2">
        <f>'[1]Утримання територій'!J12+'[1]Утримання територій'!J16</f>
        <v>8075016.9978</v>
      </c>
      <c r="M88" s="49">
        <f>[1]води!H50</f>
        <v>9800.0000000000018</v>
      </c>
    </row>
    <row r="89" spans="1:17" ht="15.6" customHeight="1" x14ac:dyDescent="0.25">
      <c r="A89" s="88" t="s">
        <v>175</v>
      </c>
      <c r="B89" s="197"/>
      <c r="C89" s="150"/>
      <c r="D89" s="116">
        <v>1148.0119999999999</v>
      </c>
      <c r="E89" s="135">
        <v>1147.865</v>
      </c>
      <c r="F89" s="259">
        <f>E89-D89</f>
        <v>-0.14699999999993452</v>
      </c>
      <c r="G89" s="260"/>
      <c r="H89" s="237">
        <f>E89/D89</f>
        <v>0.99987195255798722</v>
      </c>
      <c r="I89" s="238"/>
      <c r="J89" s="36"/>
      <c r="K89" s="86">
        <f>'[1]Утримання територій'!J14</f>
        <v>4207971</v>
      </c>
      <c r="M89" s="49">
        <f>[1]растения!I35+15000</f>
        <v>15000</v>
      </c>
    </row>
    <row r="90" spans="1:17" ht="15.6" customHeight="1" x14ac:dyDescent="0.25">
      <c r="A90" s="90" t="s">
        <v>85</v>
      </c>
      <c r="B90" s="197"/>
      <c r="C90" s="147"/>
      <c r="D90" s="116"/>
      <c r="E90" s="33"/>
      <c r="F90" s="259"/>
      <c r="G90" s="260"/>
      <c r="H90" s="237"/>
      <c r="I90" s="238"/>
      <c r="J90" s="36"/>
      <c r="K90" s="96">
        <f>'[1]Утримання територій'!J15</f>
        <v>430673</v>
      </c>
      <c r="M90" s="49" t="e">
        <f>[1]Амброзія!#REF!</f>
        <v>#REF!</v>
      </c>
    </row>
    <row r="91" spans="1:17" ht="15.6" customHeight="1" x14ac:dyDescent="0.25">
      <c r="A91" s="41" t="s">
        <v>100</v>
      </c>
      <c r="B91" s="197"/>
      <c r="C91" s="147"/>
      <c r="D91" s="144">
        <v>323.15300000000002</v>
      </c>
      <c r="E91" s="95">
        <v>297.709</v>
      </c>
      <c r="F91" s="259">
        <f>E91-D91</f>
        <v>-25.444000000000017</v>
      </c>
      <c r="G91" s="260"/>
      <c r="H91" s="237">
        <f>E91/D91</f>
        <v>0.92126330252233457</v>
      </c>
      <c r="I91" s="238"/>
      <c r="J91" s="31"/>
      <c r="K91" s="96">
        <f>'[1]Утримання територій'!J16</f>
        <v>1456150.9978000002</v>
      </c>
      <c r="M91" s="97" t="e">
        <f>SUM(M86:M90)</f>
        <v>#REF!</v>
      </c>
    </row>
    <row r="92" spans="1:17" ht="15.6" hidden="1" customHeight="1" x14ac:dyDescent="0.25">
      <c r="A92" s="41" t="s">
        <v>59</v>
      </c>
      <c r="B92" s="197"/>
      <c r="C92" s="147"/>
      <c r="D92" s="116"/>
      <c r="E92" s="33"/>
      <c r="F92" s="259"/>
      <c r="G92" s="260"/>
      <c r="H92" s="237"/>
      <c r="I92" s="238"/>
      <c r="J92" s="36"/>
      <c r="K92" s="86" t="e">
        <f>#REF!</f>
        <v>#REF!</v>
      </c>
      <c r="L92" s="2" t="e">
        <f>K92/1000-E92</f>
        <v>#REF!</v>
      </c>
    </row>
    <row r="93" spans="1:17" ht="15.6" hidden="1" customHeight="1" x14ac:dyDescent="0.25">
      <c r="A93" s="41" t="s">
        <v>60</v>
      </c>
      <c r="B93" s="197"/>
      <c r="C93" s="147"/>
      <c r="D93" s="116"/>
      <c r="E93" s="33"/>
      <c r="F93" s="259"/>
      <c r="G93" s="260"/>
      <c r="H93" s="237"/>
      <c r="I93" s="238"/>
      <c r="J93" s="36"/>
      <c r="K93" s="86" t="e">
        <f>#REF!</f>
        <v>#REF!</v>
      </c>
      <c r="L93" s="2" t="e">
        <f>K93/1000-E93</f>
        <v>#REF!</v>
      </c>
    </row>
    <row r="94" spans="1:17" ht="15.6" customHeight="1" x14ac:dyDescent="0.25">
      <c r="A94" s="41" t="s">
        <v>81</v>
      </c>
      <c r="B94" s="197"/>
      <c r="C94" s="149"/>
      <c r="D94" s="144">
        <v>219.333</v>
      </c>
      <c r="E94" s="95">
        <v>154.501</v>
      </c>
      <c r="F94" s="259">
        <f>E94-D94</f>
        <v>-64.831999999999994</v>
      </c>
      <c r="G94" s="260"/>
      <c r="H94" s="237">
        <f>E94/D94</f>
        <v>0.70441292463970318</v>
      </c>
      <c r="I94" s="238"/>
      <c r="J94" s="36"/>
      <c r="K94" s="96">
        <f>'[1]Утримання територій'!J16</f>
        <v>1456150.9978000002</v>
      </c>
      <c r="M94" s="49">
        <f>'[1]тех паспорти'!F53</f>
        <v>0</v>
      </c>
      <c r="Q94" s="27"/>
    </row>
    <row r="95" spans="1:17" ht="15.6" customHeight="1" x14ac:dyDescent="0.25">
      <c r="A95" s="115" t="s">
        <v>154</v>
      </c>
      <c r="B95" s="197"/>
      <c r="C95" s="149"/>
      <c r="D95" s="144">
        <v>390.79700000000003</v>
      </c>
      <c r="E95" s="95">
        <v>303.899</v>
      </c>
      <c r="F95" s="259">
        <f>E95-D95</f>
        <v>-86.898000000000025</v>
      </c>
      <c r="G95" s="260"/>
      <c r="H95" s="237">
        <f>E95/D95</f>
        <v>0.77763902998231815</v>
      </c>
      <c r="I95" s="238"/>
      <c r="J95" s="36"/>
      <c r="K95" s="96">
        <f>'[1]Утримання територій'!J188</f>
        <v>84939</v>
      </c>
    </row>
    <row r="96" spans="1:17" ht="27.75" hidden="1" customHeight="1" x14ac:dyDescent="0.25">
      <c r="A96" s="137"/>
      <c r="B96" s="197"/>
      <c r="C96" s="149"/>
      <c r="D96" s="144"/>
      <c r="E96" s="95"/>
      <c r="F96" s="259"/>
      <c r="G96" s="260"/>
      <c r="H96" s="237"/>
      <c r="I96" s="238"/>
      <c r="J96" s="100"/>
      <c r="K96" s="96">
        <f>'[1]тех паспорти'!F55</f>
        <v>81220</v>
      </c>
    </row>
    <row r="97" spans="1:12" ht="15.75" customHeight="1" x14ac:dyDescent="0.25">
      <c r="A97" s="121" t="s">
        <v>156</v>
      </c>
      <c r="B97" s="197"/>
      <c r="C97" s="149"/>
      <c r="D97" s="144">
        <v>4669.2700000000004</v>
      </c>
      <c r="E97" s="95">
        <v>879.37800000000004</v>
      </c>
      <c r="F97" s="259">
        <f>E97-D97</f>
        <v>-3789.8920000000003</v>
      </c>
      <c r="G97" s="260"/>
      <c r="H97" s="237">
        <f>E97/D97</f>
        <v>0.18833307990328252</v>
      </c>
      <c r="I97" s="238"/>
      <c r="J97" s="100"/>
      <c r="K97" s="96">
        <f>'[1]Утримання територій'!J201</f>
        <v>66735.999960000001</v>
      </c>
    </row>
    <row r="98" spans="1:12" ht="28.5" customHeight="1" x14ac:dyDescent="0.25">
      <c r="A98" s="41" t="s">
        <v>101</v>
      </c>
      <c r="B98" s="197"/>
      <c r="C98" s="149"/>
      <c r="D98" s="144">
        <v>6.56</v>
      </c>
      <c r="E98" s="95">
        <v>6.56</v>
      </c>
      <c r="F98" s="259">
        <f>E98-D98</f>
        <v>0</v>
      </c>
      <c r="G98" s="260"/>
      <c r="H98" s="237">
        <f>E98/D98</f>
        <v>1</v>
      </c>
      <c r="I98" s="238"/>
      <c r="J98" s="100"/>
      <c r="K98" s="86"/>
      <c r="L98" s="2"/>
    </row>
    <row r="99" spans="1:12" ht="27" customHeight="1" x14ac:dyDescent="0.25">
      <c r="A99" s="41" t="s">
        <v>66</v>
      </c>
      <c r="B99" s="197"/>
      <c r="C99" s="149"/>
      <c r="D99" s="116"/>
      <c r="E99" s="95"/>
      <c r="F99" s="259"/>
      <c r="G99" s="260"/>
      <c r="H99" s="237"/>
      <c r="I99" s="238"/>
      <c r="J99" s="100"/>
      <c r="K99" s="86"/>
    </row>
    <row r="100" spans="1:12" ht="14.85" customHeight="1" x14ac:dyDescent="0.25">
      <c r="A100" s="80" t="s">
        <v>102</v>
      </c>
      <c r="B100" s="197"/>
      <c r="C100" s="149"/>
      <c r="D100" s="144">
        <v>316.28199999999998</v>
      </c>
      <c r="E100" s="95">
        <v>196.28</v>
      </c>
      <c r="F100" s="259">
        <f>E100-D100</f>
        <v>-120.00199999999998</v>
      </c>
      <c r="G100" s="260"/>
      <c r="H100" s="237">
        <f>E100/D100</f>
        <v>0.62058542692913288</v>
      </c>
      <c r="I100" s="238"/>
      <c r="J100" s="105"/>
      <c r="K100" s="86"/>
    </row>
    <row r="101" spans="1:12" ht="63.75" hidden="1" customHeight="1" x14ac:dyDescent="0.25">
      <c r="A101" s="84" t="s">
        <v>56</v>
      </c>
      <c r="B101" s="197"/>
      <c r="C101" s="149"/>
      <c r="D101" s="145"/>
      <c r="E101" s="102"/>
      <c r="F101" s="261"/>
      <c r="G101" s="262"/>
      <c r="H101" s="237"/>
      <c r="I101" s="238"/>
      <c r="J101" s="105"/>
      <c r="K101" s="86"/>
    </row>
    <row r="102" spans="1:12" ht="15.75" hidden="1" customHeight="1" x14ac:dyDescent="0.25">
      <c r="A102" s="84" t="s">
        <v>103</v>
      </c>
      <c r="B102" s="197"/>
      <c r="C102" s="149"/>
      <c r="D102" s="116"/>
      <c r="E102" s="103"/>
      <c r="F102" s="261"/>
      <c r="G102" s="262"/>
      <c r="H102" s="237"/>
      <c r="I102" s="238"/>
      <c r="J102" s="100"/>
      <c r="K102" s="86"/>
    </row>
    <row r="103" spans="1:12" ht="15.75" hidden="1" customHeight="1" x14ac:dyDescent="0.25">
      <c r="A103" s="107" t="s">
        <v>67</v>
      </c>
      <c r="B103" s="197"/>
      <c r="C103" s="149"/>
      <c r="D103" s="144"/>
      <c r="E103" s="104"/>
      <c r="F103" s="261"/>
      <c r="G103" s="262"/>
      <c r="H103" s="237"/>
      <c r="I103" s="238"/>
      <c r="J103" s="105"/>
      <c r="K103" s="86">
        <f>[1]растения!G34</f>
        <v>152739</v>
      </c>
    </row>
    <row r="104" spans="1:12" ht="39" hidden="1" customHeight="1" x14ac:dyDescent="0.25">
      <c r="A104" s="108" t="s">
        <v>68</v>
      </c>
      <c r="B104" s="197"/>
      <c r="C104" s="149"/>
      <c r="D104" s="116"/>
      <c r="E104" s="98"/>
      <c r="F104" s="261"/>
      <c r="G104" s="262"/>
      <c r="H104" s="237"/>
      <c r="I104" s="238"/>
      <c r="J104" s="100"/>
      <c r="K104" s="96">
        <f>[1]растения!G10+[1]растения!G14</f>
        <v>77550</v>
      </c>
    </row>
    <row r="105" spans="1:12" ht="19.5" hidden="1" customHeight="1" x14ac:dyDescent="0.25">
      <c r="A105" s="108" t="s">
        <v>69</v>
      </c>
      <c r="B105" s="197"/>
      <c r="C105" s="149"/>
      <c r="D105" s="116"/>
      <c r="E105" s="98"/>
      <c r="F105" s="261"/>
      <c r="G105" s="262"/>
      <c r="H105" s="237"/>
      <c r="I105" s="238"/>
      <c r="J105" s="100"/>
      <c r="K105" s="96">
        <f>[1]растения!G16+[1]растения!G19</f>
        <v>75189</v>
      </c>
    </row>
    <row r="106" spans="1:12" ht="55.5" hidden="1" customHeight="1" x14ac:dyDescent="0.25">
      <c r="A106" s="101" t="s">
        <v>70</v>
      </c>
      <c r="B106" s="197"/>
      <c r="C106" s="149"/>
      <c r="D106" s="144"/>
      <c r="E106" s="95"/>
      <c r="F106" s="261"/>
      <c r="G106" s="262"/>
      <c r="H106" s="237"/>
      <c r="I106" s="238"/>
      <c r="J106" s="31"/>
      <c r="K106" s="96">
        <f>[1]Амброзія!G57</f>
        <v>56266</v>
      </c>
    </row>
    <row r="107" spans="1:12" ht="15.75" hidden="1" customHeight="1" x14ac:dyDescent="0.25">
      <c r="A107" s="84" t="s">
        <v>57</v>
      </c>
      <c r="B107" s="197"/>
      <c r="C107" s="149"/>
      <c r="D107" s="116"/>
      <c r="E107" s="110"/>
      <c r="F107" s="261"/>
      <c r="G107" s="262"/>
      <c r="H107" s="237"/>
      <c r="I107" s="238"/>
      <c r="J107" s="36"/>
      <c r="K107" s="86"/>
    </row>
    <row r="108" spans="1:12" ht="15" hidden="1" customHeight="1" x14ac:dyDescent="0.25">
      <c r="A108" s="41" t="s">
        <v>104</v>
      </c>
      <c r="B108" s="197"/>
      <c r="C108" s="149"/>
      <c r="D108" s="116"/>
      <c r="E108" s="110"/>
      <c r="F108" s="261"/>
      <c r="G108" s="262"/>
      <c r="H108" s="237"/>
      <c r="I108" s="238"/>
      <c r="J108" s="36"/>
      <c r="K108" s="86"/>
    </row>
    <row r="109" spans="1:12" ht="15.75" hidden="1" customHeight="1" x14ac:dyDescent="0.25">
      <c r="A109" s="41" t="s">
        <v>105</v>
      </c>
      <c r="B109" s="197"/>
      <c r="C109" s="149"/>
      <c r="D109" s="116"/>
      <c r="E109" s="110"/>
      <c r="F109" s="261"/>
      <c r="G109" s="262"/>
      <c r="H109" s="237"/>
      <c r="I109" s="238"/>
      <c r="J109" s="36"/>
      <c r="K109" s="86"/>
    </row>
    <row r="110" spans="1:12" ht="15.75" hidden="1" customHeight="1" x14ac:dyDescent="0.25">
      <c r="A110" s="41" t="s">
        <v>106</v>
      </c>
      <c r="B110" s="197"/>
      <c r="C110" s="149"/>
      <c r="D110" s="116"/>
      <c r="E110" s="110"/>
      <c r="F110" s="261"/>
      <c r="G110" s="262"/>
      <c r="H110" s="237"/>
      <c r="I110" s="238"/>
      <c r="J110" s="36"/>
      <c r="K110" s="86"/>
    </row>
    <row r="111" spans="1:12" ht="15.75" hidden="1" customHeight="1" x14ac:dyDescent="0.25">
      <c r="A111" s="41" t="s">
        <v>107</v>
      </c>
      <c r="B111" s="197"/>
      <c r="C111" s="149"/>
      <c r="D111" s="116"/>
      <c r="E111" s="33"/>
      <c r="F111" s="261"/>
      <c r="G111" s="262"/>
      <c r="H111" s="237"/>
      <c r="I111" s="238"/>
      <c r="J111" s="36"/>
      <c r="K111" s="86">
        <f>[1]Амброзія!G57</f>
        <v>56266</v>
      </c>
    </row>
    <row r="112" spans="1:12" ht="65.25" customHeight="1" x14ac:dyDescent="0.25">
      <c r="A112" s="58" t="s">
        <v>159</v>
      </c>
      <c r="B112" s="141"/>
      <c r="C112" s="149"/>
      <c r="D112" s="144">
        <v>1502.116</v>
      </c>
      <c r="E112" s="140">
        <v>820.58799999999997</v>
      </c>
      <c r="F112" s="259">
        <f>E112-D112</f>
        <v>-681.52800000000002</v>
      </c>
      <c r="G112" s="260"/>
      <c r="H112" s="237">
        <f>E112/D112</f>
        <v>0.54628803634339818</v>
      </c>
      <c r="I112" s="238"/>
      <c r="J112" s="36"/>
      <c r="K112" s="86"/>
    </row>
    <row r="113" spans="1:15" ht="15.75" customHeight="1" x14ac:dyDescent="0.25">
      <c r="A113" s="61" t="s">
        <v>57</v>
      </c>
      <c r="B113" s="141"/>
      <c r="C113" s="147"/>
      <c r="D113" s="116">
        <v>830.62099999999998</v>
      </c>
      <c r="E113" s="139">
        <v>820.58799999999997</v>
      </c>
      <c r="F113" s="259">
        <f>E113-D113</f>
        <v>-10.033000000000015</v>
      </c>
      <c r="G113" s="260"/>
      <c r="H113" s="237">
        <f>E113/D113</f>
        <v>0.98792108554924563</v>
      </c>
      <c r="I113" s="238"/>
      <c r="J113" s="36"/>
      <c r="K113" s="86"/>
    </row>
    <row r="114" spans="1:15" ht="15.75" customHeight="1" x14ac:dyDescent="0.25">
      <c r="A114" s="66" t="s">
        <v>67</v>
      </c>
      <c r="B114" s="141"/>
      <c r="C114" s="147"/>
      <c r="D114" s="116">
        <v>671.495</v>
      </c>
      <c r="E114" s="139">
        <v>0</v>
      </c>
      <c r="F114" s="259">
        <f>E114-D114</f>
        <v>-671.495</v>
      </c>
      <c r="G114" s="260"/>
      <c r="H114" s="237">
        <f>E114/D114</f>
        <v>0</v>
      </c>
      <c r="I114" s="238"/>
      <c r="J114" s="36"/>
      <c r="K114" s="86"/>
    </row>
    <row r="115" spans="1:15" ht="26.25" customHeight="1" x14ac:dyDescent="0.25">
      <c r="A115" s="64" t="s">
        <v>66</v>
      </c>
      <c r="B115" s="141"/>
      <c r="C115" s="147"/>
      <c r="D115" s="116">
        <v>671.495</v>
      </c>
      <c r="E115" s="139">
        <v>0</v>
      </c>
      <c r="F115" s="259">
        <f>E115-D115</f>
        <v>-671.495</v>
      </c>
      <c r="G115" s="260"/>
      <c r="H115" s="237">
        <f>E115/D115</f>
        <v>0</v>
      </c>
      <c r="I115" s="238"/>
      <c r="J115" s="36"/>
      <c r="K115" s="86"/>
    </row>
    <row r="116" spans="1:15" ht="19.5" customHeight="1" x14ac:dyDescent="0.25">
      <c r="A116" s="41" t="s">
        <v>108</v>
      </c>
      <c r="B116" s="33" t="s">
        <v>109</v>
      </c>
      <c r="C116" s="146"/>
      <c r="D116" s="33"/>
      <c r="E116" s="33"/>
      <c r="F116" s="261"/>
      <c r="G116" s="262"/>
      <c r="H116" s="237"/>
      <c r="I116" s="238"/>
      <c r="J116" s="81"/>
      <c r="K116" s="86">
        <f>[1]тварини!H51</f>
        <v>49677</v>
      </c>
    </row>
    <row r="117" spans="1:15" ht="18.75" customHeight="1" x14ac:dyDescent="0.25">
      <c r="A117" s="76" t="s">
        <v>110</v>
      </c>
      <c r="B117" s="77" t="s">
        <v>111</v>
      </c>
      <c r="C117" s="112">
        <v>0</v>
      </c>
      <c r="D117" s="113">
        <v>10137.971</v>
      </c>
      <c r="E117" s="113">
        <f>E71+E83</f>
        <v>4127.5650000000005</v>
      </c>
      <c r="F117" s="255">
        <f>F71+F83</f>
        <v>-6010.4060000000009</v>
      </c>
      <c r="G117" s="256"/>
      <c r="H117" s="257">
        <f>E117/D117</f>
        <v>0.40713916029154162</v>
      </c>
      <c r="I117" s="258"/>
      <c r="J117" s="79"/>
      <c r="K117" s="86" t="e">
        <f>K118+K119+#REF!+#REF!+K120+K121</f>
        <v>#REF!</v>
      </c>
      <c r="L117" s="27">
        <f>E71</f>
        <v>0</v>
      </c>
    </row>
    <row r="118" spans="1:15" ht="18.600000000000001" customHeight="1" x14ac:dyDescent="0.25">
      <c r="A118" s="114" t="s">
        <v>112</v>
      </c>
      <c r="B118" s="33" t="s">
        <v>113</v>
      </c>
      <c r="C118" s="95"/>
      <c r="D118" s="95">
        <f>D69-D117</f>
        <v>6.9539999999997235</v>
      </c>
      <c r="E118" s="95">
        <f>E69-E117</f>
        <v>0</v>
      </c>
      <c r="F118" s="233">
        <f>F69-F117</f>
        <v>-6.9539999999979045</v>
      </c>
      <c r="G118" s="234"/>
      <c r="H118" s="241">
        <f>E118/D118</f>
        <v>0</v>
      </c>
      <c r="I118" s="242"/>
      <c r="J118" s="31">
        <f>E117-E69</f>
        <v>0</v>
      </c>
      <c r="K118" s="86">
        <f>[1]растения!G34/1000</f>
        <v>152.739</v>
      </c>
    </row>
    <row r="119" spans="1:15" ht="14.25" customHeight="1" x14ac:dyDescent="0.25">
      <c r="A119" s="115" t="s">
        <v>114</v>
      </c>
      <c r="B119" s="116" t="s">
        <v>115</v>
      </c>
      <c r="C119" s="95"/>
      <c r="D119" s="117"/>
      <c r="E119" s="95"/>
      <c r="F119" s="235"/>
      <c r="G119" s="236"/>
      <c r="H119" s="241"/>
      <c r="I119" s="242"/>
      <c r="J119" s="81"/>
      <c r="K119" s="86">
        <f>'[1]Утримання територій'!J210/1000</f>
        <v>9264.279001009998</v>
      </c>
      <c r="L119" s="118"/>
      <c r="M119" s="118"/>
      <c r="N119" s="118"/>
      <c r="O119" s="118"/>
    </row>
    <row r="120" spans="1:15" ht="23.65" customHeight="1" x14ac:dyDescent="0.25">
      <c r="A120" s="119" t="s">
        <v>116</v>
      </c>
      <c r="B120" s="198" t="s">
        <v>117</v>
      </c>
      <c r="C120" s="199"/>
      <c r="D120" s="200"/>
      <c r="E120" s="201"/>
      <c r="F120" s="243"/>
      <c r="G120" s="244"/>
      <c r="H120" s="249"/>
      <c r="I120" s="250"/>
      <c r="J120" s="81"/>
      <c r="K120" s="86">
        <f>[1]тварини!H51/1000</f>
        <v>49.677</v>
      </c>
    </row>
    <row r="121" spans="1:15" ht="14.25" customHeight="1" x14ac:dyDescent="0.25">
      <c r="A121" s="41" t="s">
        <v>118</v>
      </c>
      <c r="B121" s="198"/>
      <c r="C121" s="199"/>
      <c r="D121" s="200"/>
      <c r="E121" s="201"/>
      <c r="F121" s="245"/>
      <c r="G121" s="246"/>
      <c r="H121" s="251"/>
      <c r="I121" s="252"/>
      <c r="J121" s="81"/>
      <c r="K121" s="86">
        <f>[1]води!H50/1000</f>
        <v>9.8000000000000025</v>
      </c>
      <c r="L121" s="118"/>
      <c r="M121" s="118"/>
      <c r="N121" s="118"/>
      <c r="O121" s="118"/>
    </row>
    <row r="122" spans="1:15" ht="14.25" customHeight="1" x14ac:dyDescent="0.25">
      <c r="A122" s="41" t="s">
        <v>119</v>
      </c>
      <c r="B122" s="198"/>
      <c r="C122" s="199"/>
      <c r="D122" s="200"/>
      <c r="E122" s="201"/>
      <c r="F122" s="247"/>
      <c r="G122" s="248"/>
      <c r="H122" s="253"/>
      <c r="I122" s="254"/>
      <c r="J122" s="81"/>
      <c r="K122" s="86"/>
    </row>
    <row r="123" spans="1:15" ht="24.95" customHeight="1" x14ac:dyDescent="0.25">
      <c r="A123" s="107" t="s">
        <v>120</v>
      </c>
      <c r="B123" s="198" t="s">
        <v>121</v>
      </c>
      <c r="C123" s="95"/>
      <c r="D123" s="98"/>
      <c r="E123" s="104"/>
      <c r="F123" s="235"/>
      <c r="G123" s="236"/>
      <c r="H123" s="239"/>
      <c r="I123" s="240"/>
      <c r="J123" s="100"/>
      <c r="K123" s="86"/>
    </row>
    <row r="124" spans="1:15" x14ac:dyDescent="0.25">
      <c r="A124" s="41" t="s">
        <v>118</v>
      </c>
      <c r="B124" s="198"/>
      <c r="C124" s="95"/>
      <c r="D124" s="98">
        <v>6.9539999999999997</v>
      </c>
      <c r="E124" s="104">
        <v>0</v>
      </c>
      <c r="F124" s="235">
        <v>0</v>
      </c>
      <c r="G124" s="236"/>
      <c r="H124" s="239">
        <v>0</v>
      </c>
      <c r="I124" s="240"/>
      <c r="J124" s="100"/>
      <c r="K124" s="86"/>
    </row>
    <row r="125" spans="1:15" x14ac:dyDescent="0.25">
      <c r="A125" s="41" t="s">
        <v>119</v>
      </c>
      <c r="B125" s="198"/>
      <c r="C125" s="95"/>
      <c r="D125" s="33"/>
      <c r="E125" s="104"/>
      <c r="F125" s="235"/>
      <c r="G125" s="236"/>
      <c r="H125" s="239"/>
      <c r="I125" s="240"/>
      <c r="J125" s="100"/>
      <c r="K125" s="86"/>
    </row>
    <row r="126" spans="1:15" ht="24.75" customHeight="1" x14ac:dyDescent="0.25">
      <c r="A126" s="119" t="s">
        <v>122</v>
      </c>
      <c r="B126" s="33" t="s">
        <v>123</v>
      </c>
      <c r="C126" s="95"/>
      <c r="D126" s="104">
        <v>1.252</v>
      </c>
      <c r="E126" s="104">
        <v>0</v>
      </c>
      <c r="F126" s="235">
        <v>0</v>
      </c>
      <c r="G126" s="236"/>
      <c r="H126" s="239">
        <v>0</v>
      </c>
      <c r="I126" s="240"/>
      <c r="J126" s="105"/>
      <c r="K126" s="86"/>
    </row>
    <row r="127" spans="1:15" ht="16.5" customHeight="1" x14ac:dyDescent="0.25">
      <c r="A127" s="114" t="s">
        <v>124</v>
      </c>
      <c r="B127" s="116" t="s">
        <v>125</v>
      </c>
      <c r="C127" s="95"/>
      <c r="D127" s="98">
        <v>5.702</v>
      </c>
      <c r="E127" s="104">
        <v>0</v>
      </c>
      <c r="F127" s="235">
        <v>0</v>
      </c>
      <c r="G127" s="236"/>
      <c r="H127" s="239">
        <v>0</v>
      </c>
      <c r="I127" s="240"/>
      <c r="J127" s="100"/>
      <c r="K127" s="86"/>
    </row>
    <row r="128" spans="1:15" x14ac:dyDescent="0.25">
      <c r="A128" s="121" t="s">
        <v>118</v>
      </c>
      <c r="B128" s="33" t="s">
        <v>126</v>
      </c>
      <c r="C128" s="33"/>
      <c r="D128" s="33"/>
      <c r="E128" s="106"/>
      <c r="F128" s="235"/>
      <c r="G128" s="236"/>
      <c r="H128" s="239"/>
      <c r="I128" s="240"/>
      <c r="J128" s="100"/>
      <c r="K128" s="86"/>
    </row>
    <row r="129" spans="1:15" x14ac:dyDescent="0.25">
      <c r="A129" s="41" t="s">
        <v>119</v>
      </c>
      <c r="B129" s="33" t="s">
        <v>127</v>
      </c>
      <c r="C129" s="33"/>
      <c r="D129" s="33"/>
      <c r="E129" s="120"/>
      <c r="F129" s="235"/>
      <c r="G129" s="236"/>
      <c r="H129" s="239"/>
      <c r="I129" s="240"/>
      <c r="J129" s="123"/>
      <c r="K129" s="86"/>
    </row>
    <row r="130" spans="1:15" ht="15" customHeight="1" x14ac:dyDescent="0.25">
      <c r="A130" s="189" t="s">
        <v>128</v>
      </c>
      <c r="B130" s="189"/>
      <c r="C130" s="189"/>
      <c r="D130" s="189"/>
      <c r="E130" s="189"/>
      <c r="F130" s="189"/>
      <c r="G130" s="189"/>
      <c r="H130" s="189"/>
      <c r="I130" s="189"/>
      <c r="J130" s="124"/>
      <c r="K130" s="86"/>
    </row>
    <row r="131" spans="1:15" ht="16.5" customHeight="1" x14ac:dyDescent="0.25">
      <c r="A131" s="41" t="s">
        <v>129</v>
      </c>
      <c r="B131" s="33" t="s">
        <v>130</v>
      </c>
      <c r="C131" s="33"/>
      <c r="D131" s="33"/>
      <c r="E131" s="125"/>
      <c r="F131" s="235"/>
      <c r="G131" s="236"/>
      <c r="H131" s="237"/>
      <c r="I131" s="238"/>
      <c r="J131" s="81"/>
      <c r="K131" s="86"/>
    </row>
    <row r="132" spans="1:15" ht="21" customHeight="1" x14ac:dyDescent="0.25">
      <c r="A132" s="41" t="s">
        <v>131</v>
      </c>
      <c r="B132" s="33" t="s">
        <v>132</v>
      </c>
      <c r="C132" s="95"/>
      <c r="D132" s="39">
        <v>1.1399999999999999</v>
      </c>
      <c r="E132" s="40">
        <v>0</v>
      </c>
      <c r="F132" s="235">
        <v>0</v>
      </c>
      <c r="G132" s="236"/>
      <c r="H132" s="237">
        <v>0</v>
      </c>
      <c r="I132" s="238"/>
      <c r="J132" s="36"/>
      <c r="K132" s="86"/>
    </row>
    <row r="133" spans="1:15" ht="18" customHeight="1" x14ac:dyDescent="0.25">
      <c r="A133" s="41" t="s">
        <v>133</v>
      </c>
      <c r="B133" s="33" t="s">
        <v>134</v>
      </c>
      <c r="C133" s="95"/>
      <c r="D133" s="39">
        <v>4.5620000000000003</v>
      </c>
      <c r="E133" s="40">
        <v>0</v>
      </c>
      <c r="F133" s="235">
        <v>0</v>
      </c>
      <c r="G133" s="236"/>
      <c r="H133" s="237">
        <v>0</v>
      </c>
      <c r="I133" s="238"/>
      <c r="J133" s="36"/>
      <c r="K133" s="86"/>
    </row>
    <row r="134" spans="1:15" ht="37.35" customHeight="1" x14ac:dyDescent="0.25">
      <c r="A134" s="80" t="s">
        <v>135</v>
      </c>
      <c r="B134" s="33" t="s">
        <v>136</v>
      </c>
      <c r="C134" s="33"/>
      <c r="D134" s="33"/>
      <c r="E134" s="125"/>
      <c r="F134" s="235"/>
      <c r="G134" s="236"/>
      <c r="H134" s="237"/>
      <c r="I134" s="238"/>
      <c r="J134" s="81"/>
      <c r="K134" s="86"/>
    </row>
    <row r="135" spans="1:15" ht="15.75" customHeight="1" x14ac:dyDescent="0.25">
      <c r="A135" s="189" t="s">
        <v>137</v>
      </c>
      <c r="B135" s="189"/>
      <c r="C135" s="189"/>
      <c r="D135" s="189"/>
      <c r="E135" s="189"/>
      <c r="F135" s="189"/>
      <c r="G135" s="189"/>
      <c r="H135" s="189"/>
      <c r="I135" s="189"/>
      <c r="J135" s="124"/>
      <c r="K135" s="86"/>
    </row>
    <row r="136" spans="1:15" ht="16.5" customHeight="1" x14ac:dyDescent="0.25">
      <c r="A136" s="80" t="s">
        <v>138</v>
      </c>
      <c r="B136" s="33" t="s">
        <v>139</v>
      </c>
      <c r="C136" s="33"/>
      <c r="D136" s="33"/>
      <c r="E136" s="120"/>
      <c r="F136" s="233"/>
      <c r="G136" s="234"/>
      <c r="H136" s="233"/>
      <c r="I136" s="234"/>
      <c r="J136" s="31"/>
      <c r="K136" s="5">
        <f>(E127-E139)*0.2</f>
        <v>0</v>
      </c>
      <c r="L136" s="118">
        <f>(F127-F139)*0.2</f>
        <v>0</v>
      </c>
      <c r="M136" s="118">
        <f>(G127-G139)*0.2</f>
        <v>0</v>
      </c>
      <c r="N136" s="118">
        <f>(H127-H139)*0.2</f>
        <v>0</v>
      </c>
      <c r="O136" s="118">
        <f>(I127-I139)*0.2</f>
        <v>0</v>
      </c>
    </row>
    <row r="137" spans="1:15" ht="16.5" customHeight="1" x14ac:dyDescent="0.25">
      <c r="A137" s="80" t="s">
        <v>140</v>
      </c>
      <c r="B137" s="33" t="s">
        <v>141</v>
      </c>
      <c r="C137" s="33"/>
      <c r="D137" s="33"/>
      <c r="E137" s="125"/>
      <c r="F137" s="233"/>
      <c r="G137" s="234"/>
      <c r="H137" s="233"/>
      <c r="I137" s="234"/>
      <c r="J137" s="126"/>
      <c r="K137" s="5">
        <f>(E128-E139)*0.8</f>
        <v>0</v>
      </c>
      <c r="L137">
        <f>(F128-F139)*0.8</f>
        <v>0</v>
      </c>
      <c r="M137">
        <f>(G128-G139)*0.8</f>
        <v>0</v>
      </c>
      <c r="N137">
        <f>(H128-H139)*0.8</f>
        <v>0</v>
      </c>
      <c r="O137">
        <f>(I128-I139)*0.8</f>
        <v>0</v>
      </c>
    </row>
    <row r="138" spans="1:15" ht="16.5" customHeight="1" x14ac:dyDescent="0.25">
      <c r="A138" s="80" t="s">
        <v>142</v>
      </c>
      <c r="B138" s="33" t="s">
        <v>143</v>
      </c>
      <c r="C138" s="120"/>
      <c r="D138" s="120"/>
      <c r="E138" s="125"/>
      <c r="F138" s="233"/>
      <c r="G138" s="234"/>
      <c r="H138" s="233"/>
      <c r="I138" s="234"/>
      <c r="J138" s="126"/>
      <c r="K138" s="5">
        <f>K136+K137+E139</f>
        <v>0</v>
      </c>
      <c r="L138" s="118">
        <f>L136+L137+F139</f>
        <v>0</v>
      </c>
      <c r="M138" s="118">
        <f>M136+M137+G139</f>
        <v>0</v>
      </c>
      <c r="N138" s="118">
        <f>N136+N137+H139</f>
        <v>0</v>
      </c>
      <c r="O138" s="118">
        <f>O136+O137+I139</f>
        <v>0</v>
      </c>
    </row>
    <row r="139" spans="1:15" ht="16.5" customHeight="1" x14ac:dyDescent="0.25">
      <c r="A139" s="41" t="s">
        <v>144</v>
      </c>
      <c r="B139" s="33" t="s">
        <v>145</v>
      </c>
      <c r="C139" s="117"/>
      <c r="D139" s="39"/>
      <c r="E139" s="40"/>
      <c r="F139" s="233"/>
      <c r="G139" s="234"/>
      <c r="H139" s="233"/>
      <c r="I139" s="234"/>
      <c r="J139" s="36"/>
    </row>
    <row r="140" spans="1:15" ht="15.75" customHeight="1" x14ac:dyDescent="0.25">
      <c r="A140" s="41" t="s">
        <v>146</v>
      </c>
      <c r="B140" s="33" t="s">
        <v>147</v>
      </c>
      <c r="C140" s="33"/>
      <c r="D140" s="33"/>
      <c r="E140" s="125"/>
      <c r="F140" s="233"/>
      <c r="G140" s="234"/>
      <c r="H140" s="233"/>
      <c r="I140" s="234"/>
      <c r="J140" s="123"/>
    </row>
    <row r="141" spans="1:15" ht="27" customHeight="1" x14ac:dyDescent="0.25">
      <c r="A141" s="193"/>
      <c r="B141" s="193"/>
      <c r="C141" s="193"/>
      <c r="D141" s="193"/>
      <c r="E141" s="193"/>
      <c r="F141" s="193"/>
      <c r="G141" s="193"/>
      <c r="H141" s="193"/>
      <c r="I141" s="193"/>
      <c r="J141" s="127"/>
      <c r="K141" s="5">
        <f>(D127-D139)*0.2</f>
        <v>1.1404000000000001</v>
      </c>
    </row>
    <row r="142" spans="1:15" ht="15" customHeight="1" x14ac:dyDescent="0.25">
      <c r="A142" s="185" t="s">
        <v>179</v>
      </c>
      <c r="B142" s="185"/>
      <c r="C142" s="185"/>
      <c r="D142" s="185"/>
      <c r="E142" s="185"/>
      <c r="F142" s="185"/>
      <c r="G142" s="185"/>
      <c r="H142" s="185"/>
      <c r="I142" s="185"/>
      <c r="J142" s="131"/>
      <c r="K142" s="5">
        <f>(D127-D139)*0.8</f>
        <v>4.5616000000000003</v>
      </c>
    </row>
    <row r="143" spans="1:15" ht="13.5" customHeight="1" x14ac:dyDescent="0.25">
      <c r="A143" s="185"/>
      <c r="B143" s="185"/>
      <c r="C143" s="185"/>
      <c r="D143" s="185"/>
      <c r="E143" s="185"/>
      <c r="F143" s="185"/>
      <c r="G143" s="185"/>
      <c r="H143" s="185"/>
      <c r="I143" s="185"/>
    </row>
    <row r="144" spans="1:15" ht="15" hidden="1" customHeight="1" x14ac:dyDescent="0.25">
      <c r="A144" s="185"/>
      <c r="B144" s="185"/>
      <c r="C144" s="185"/>
      <c r="D144" s="185"/>
      <c r="E144" s="185"/>
      <c r="F144" s="185"/>
      <c r="G144" s="185"/>
      <c r="H144" s="185"/>
      <c r="I144" s="185"/>
      <c r="J144" s="131"/>
      <c r="K144" s="5">
        <f>D139+D133+D132+D126</f>
        <v>6.9539999999999997</v>
      </c>
      <c r="L144" s="118">
        <f>E139+E133+E132+E126</f>
        <v>0</v>
      </c>
      <c r="M144" s="118">
        <f>F139+F133+F132+F126</f>
        <v>0</v>
      </c>
      <c r="N144" s="118">
        <f>G139+G133+G132+G126</f>
        <v>0</v>
      </c>
      <c r="O144" s="118">
        <f>H139+H133+H132+H126</f>
        <v>0</v>
      </c>
    </row>
    <row r="145" spans="1:10" ht="10.5" hidden="1" customHeight="1" x14ac:dyDescent="0.25">
      <c r="A145" s="185"/>
      <c r="B145" s="185"/>
      <c r="C145" s="185"/>
      <c r="D145" s="185"/>
      <c r="E145" s="185"/>
      <c r="F145" s="185"/>
      <c r="G145" s="185"/>
      <c r="H145" s="185"/>
      <c r="I145" s="185"/>
      <c r="J145" s="132"/>
    </row>
    <row r="146" spans="1:10" ht="15" hidden="1" customHeight="1" x14ac:dyDescent="0.25">
      <c r="A146" s="185"/>
      <c r="B146" s="185"/>
      <c r="C146" s="185"/>
      <c r="D146" s="185"/>
      <c r="E146" s="185"/>
      <c r="F146" s="185"/>
      <c r="G146" s="185"/>
      <c r="H146" s="185"/>
      <c r="I146" s="185"/>
      <c r="J146" s="14"/>
    </row>
    <row r="147" spans="1:10" ht="12.75" hidden="1" customHeight="1" x14ac:dyDescent="0.25">
      <c r="A147" s="185"/>
      <c r="B147" s="185"/>
      <c r="C147" s="185"/>
      <c r="D147" s="185"/>
      <c r="E147" s="185"/>
      <c r="F147" s="185"/>
      <c r="G147" s="185"/>
      <c r="H147" s="185"/>
      <c r="I147" s="185"/>
      <c r="J147" s="132"/>
    </row>
    <row r="148" spans="1:10" x14ac:dyDescent="0.25">
      <c r="A148" s="185"/>
      <c r="B148" s="185"/>
      <c r="C148" s="185"/>
      <c r="D148" s="185"/>
      <c r="E148" s="185"/>
      <c r="F148" s="185"/>
      <c r="G148" s="185"/>
      <c r="H148" s="185"/>
      <c r="I148" s="185"/>
    </row>
    <row r="149" spans="1:10" x14ac:dyDescent="0.25">
      <c r="A149" s="128"/>
      <c r="C149" s="327"/>
      <c r="D149" s="327"/>
      <c r="E149" s="327"/>
      <c r="F149" s="185"/>
      <c r="G149" s="185"/>
      <c r="H149" s="185"/>
    </row>
    <row r="150" spans="1:10" x14ac:dyDescent="0.25">
      <c r="C150" s="328"/>
      <c r="D150" s="328"/>
      <c r="E150" s="328"/>
    </row>
  </sheetData>
  <mergeCells count="226">
    <mergeCell ref="A142:I148"/>
    <mergeCell ref="A1:E1"/>
    <mergeCell ref="A2:E2"/>
    <mergeCell ref="F2:I2"/>
    <mergeCell ref="A3:E3"/>
    <mergeCell ref="F3:I3"/>
    <mergeCell ref="A4:E4"/>
    <mergeCell ref="F4:I4"/>
    <mergeCell ref="A11:H11"/>
    <mergeCell ref="A12:H12"/>
    <mergeCell ref="A13:H13"/>
    <mergeCell ref="A14:H14"/>
    <mergeCell ref="A15:H15"/>
    <mergeCell ref="A16:H16"/>
    <mergeCell ref="A5:D5"/>
    <mergeCell ref="A6:I6"/>
    <mergeCell ref="A7:H7"/>
    <mergeCell ref="A8:H8"/>
    <mergeCell ref="A9:H9"/>
    <mergeCell ref="A10:F10"/>
    <mergeCell ref="G10:H10"/>
    <mergeCell ref="A23:I23"/>
    <mergeCell ref="A24:I24"/>
    <mergeCell ref="A25:A27"/>
    <mergeCell ref="B25:B27"/>
    <mergeCell ref="H25:I27"/>
    <mergeCell ref="F25:G27"/>
    <mergeCell ref="A17:H17"/>
    <mergeCell ref="A18:H18"/>
    <mergeCell ref="A19:H19"/>
    <mergeCell ref="A20:H20"/>
    <mergeCell ref="A21:I21"/>
    <mergeCell ref="A22:I22"/>
    <mergeCell ref="B81:B82"/>
    <mergeCell ref="B84:B111"/>
    <mergeCell ref="B120:B122"/>
    <mergeCell ref="C120:C122"/>
    <mergeCell ref="D120:D122"/>
    <mergeCell ref="E120:E122"/>
    <mergeCell ref="A28:I28"/>
    <mergeCell ref="B29:B37"/>
    <mergeCell ref="B42:B43"/>
    <mergeCell ref="C42:C43"/>
    <mergeCell ref="D42:D43"/>
    <mergeCell ref="E42:E43"/>
    <mergeCell ref="F40:G40"/>
    <mergeCell ref="H40:I40"/>
    <mergeCell ref="F41:G41"/>
    <mergeCell ref="H41:I41"/>
    <mergeCell ref="F44:G44"/>
    <mergeCell ref="F42:G43"/>
    <mergeCell ref="H42:I43"/>
    <mergeCell ref="F29:G30"/>
    <mergeCell ref="H29:I30"/>
    <mergeCell ref="F38:G38"/>
    <mergeCell ref="H38:I38"/>
    <mergeCell ref="F39:G39"/>
    <mergeCell ref="C149:E149"/>
    <mergeCell ref="F149:H149"/>
    <mergeCell ref="C150:E150"/>
    <mergeCell ref="C25:C27"/>
    <mergeCell ref="D25:D27"/>
    <mergeCell ref="E25:E27"/>
    <mergeCell ref="A141:I141"/>
    <mergeCell ref="B123:B125"/>
    <mergeCell ref="A130:I130"/>
    <mergeCell ref="A135:I135"/>
    <mergeCell ref="F124:G124"/>
    <mergeCell ref="F125:G125"/>
    <mergeCell ref="F126:G126"/>
    <mergeCell ref="F127:G127"/>
    <mergeCell ref="B45:B63"/>
    <mergeCell ref="A70:I70"/>
    <mergeCell ref="B74:B76"/>
    <mergeCell ref="H39:I39"/>
    <mergeCell ref="F57:G57"/>
    <mergeCell ref="H57:I57"/>
    <mergeCell ref="F58:G58"/>
    <mergeCell ref="H58:I58"/>
    <mergeCell ref="F64:G64"/>
    <mergeCell ref="H64:I64"/>
    <mergeCell ref="F45:G45"/>
    <mergeCell ref="H45:I45"/>
    <mergeCell ref="H44:I44"/>
    <mergeCell ref="F46:G46"/>
    <mergeCell ref="H46:I46"/>
    <mergeCell ref="F47:G47"/>
    <mergeCell ref="H47:I47"/>
    <mergeCell ref="F68:G68"/>
    <mergeCell ref="H68:I68"/>
    <mergeCell ref="F69:G69"/>
    <mergeCell ref="H69:I69"/>
    <mergeCell ref="F71:G71"/>
    <mergeCell ref="H71:I71"/>
    <mergeCell ref="F65:G65"/>
    <mergeCell ref="H65:I65"/>
    <mergeCell ref="F66:G66"/>
    <mergeCell ref="H66:I66"/>
    <mergeCell ref="F67:G67"/>
    <mergeCell ref="H67:I67"/>
    <mergeCell ref="F78:G78"/>
    <mergeCell ref="F79:G79"/>
    <mergeCell ref="F80:G80"/>
    <mergeCell ref="F81:G81"/>
    <mergeCell ref="F82:G82"/>
    <mergeCell ref="F83:G83"/>
    <mergeCell ref="F72:G72"/>
    <mergeCell ref="F73:G73"/>
    <mergeCell ref="F74:G74"/>
    <mergeCell ref="F75:G75"/>
    <mergeCell ref="F76:G76"/>
    <mergeCell ref="F77:G77"/>
    <mergeCell ref="H78:I78"/>
    <mergeCell ref="H79:I79"/>
    <mergeCell ref="H80:I80"/>
    <mergeCell ref="H81:I81"/>
    <mergeCell ref="H82:I82"/>
    <mergeCell ref="H83:I83"/>
    <mergeCell ref="H72:I72"/>
    <mergeCell ref="H73:I73"/>
    <mergeCell ref="H74:I74"/>
    <mergeCell ref="H75:I75"/>
    <mergeCell ref="H76:I76"/>
    <mergeCell ref="H77:I77"/>
    <mergeCell ref="F84:G84"/>
    <mergeCell ref="F85:G85"/>
    <mergeCell ref="F86:G86"/>
    <mergeCell ref="F87:G87"/>
    <mergeCell ref="F88:G88"/>
    <mergeCell ref="F89:G89"/>
    <mergeCell ref="F90:G90"/>
    <mergeCell ref="H90:I90"/>
    <mergeCell ref="H91:I91"/>
    <mergeCell ref="H84:I84"/>
    <mergeCell ref="H85:I85"/>
    <mergeCell ref="H86:I86"/>
    <mergeCell ref="H87:I87"/>
    <mergeCell ref="H88:I88"/>
    <mergeCell ref="H89:I89"/>
    <mergeCell ref="F91:G91"/>
    <mergeCell ref="F92:G92"/>
    <mergeCell ref="F93:G93"/>
    <mergeCell ref="F94:G94"/>
    <mergeCell ref="F95:G95"/>
    <mergeCell ref="F96:G96"/>
    <mergeCell ref="H96:I96"/>
    <mergeCell ref="H97:I97"/>
    <mergeCell ref="H98:I98"/>
    <mergeCell ref="H92:I92"/>
    <mergeCell ref="H93:I93"/>
    <mergeCell ref="H94:I94"/>
    <mergeCell ref="H95:I95"/>
    <mergeCell ref="F97:G97"/>
    <mergeCell ref="F98:G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F109:G109"/>
    <mergeCell ref="F103:G103"/>
    <mergeCell ref="F104:G104"/>
    <mergeCell ref="F105:G105"/>
    <mergeCell ref="F106:G106"/>
    <mergeCell ref="F107:G107"/>
    <mergeCell ref="F108:G108"/>
    <mergeCell ref="F99:G99"/>
    <mergeCell ref="F100:G100"/>
    <mergeCell ref="F101:G101"/>
    <mergeCell ref="F102:G102"/>
    <mergeCell ref="H113:I113"/>
    <mergeCell ref="H114:I114"/>
    <mergeCell ref="H115:I115"/>
    <mergeCell ref="H116:I116"/>
    <mergeCell ref="F117:G117"/>
    <mergeCell ref="H117:I117"/>
    <mergeCell ref="H107:I107"/>
    <mergeCell ref="H108:I108"/>
    <mergeCell ref="H109:I109"/>
    <mergeCell ref="H110:I110"/>
    <mergeCell ref="H111:I111"/>
    <mergeCell ref="H112:I112"/>
    <mergeCell ref="F115:G115"/>
    <mergeCell ref="F116:G116"/>
    <mergeCell ref="F110:G110"/>
    <mergeCell ref="F111:G111"/>
    <mergeCell ref="F112:G112"/>
    <mergeCell ref="F113:G113"/>
    <mergeCell ref="F114:G114"/>
    <mergeCell ref="H118:I118"/>
    <mergeCell ref="H119:I119"/>
    <mergeCell ref="F120:G122"/>
    <mergeCell ref="H120:I122"/>
    <mergeCell ref="H123:I123"/>
    <mergeCell ref="H124:I124"/>
    <mergeCell ref="H125:I125"/>
    <mergeCell ref="H126:I126"/>
    <mergeCell ref="F118:G118"/>
    <mergeCell ref="F119:G119"/>
    <mergeCell ref="F123:G123"/>
    <mergeCell ref="F134:G134"/>
    <mergeCell ref="H131:I131"/>
    <mergeCell ref="H132:I132"/>
    <mergeCell ref="H133:I133"/>
    <mergeCell ref="H134:I134"/>
    <mergeCell ref="F136:G136"/>
    <mergeCell ref="H127:I127"/>
    <mergeCell ref="H128:I128"/>
    <mergeCell ref="H129:I129"/>
    <mergeCell ref="F131:G131"/>
    <mergeCell ref="F132:G132"/>
    <mergeCell ref="F133:G133"/>
    <mergeCell ref="F128:G128"/>
    <mergeCell ref="F129:G129"/>
    <mergeCell ref="F137:G137"/>
    <mergeCell ref="F138:G138"/>
    <mergeCell ref="F139:G139"/>
    <mergeCell ref="F140:G140"/>
    <mergeCell ref="H136:I136"/>
    <mergeCell ref="H137:I137"/>
    <mergeCell ref="H138:I138"/>
    <mergeCell ref="H139:I139"/>
    <mergeCell ref="H140:I140"/>
  </mergeCells>
  <pageMargins left="0.51181102362204722" right="0.11811023622047245" top="0.15748031496062992" bottom="0.15748031496062992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новий финплан</vt:lpstr>
      <vt:lpstr>звіт до фінплану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2023-04-28T09:27:45Z</dcterms:modified>
</cp:coreProperties>
</file>