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-1-FIN-OTDEL\share\БЮДЖЕТ 2023 рік\РІШЕННЯ 2023 рік\ПРОЄКТ Ріш від .05.2023р № -VIII\89,6 Міськвиконком Зміни до бюджету\"/>
    </mc:Choice>
  </mc:AlternateContent>
  <bookViews>
    <workbookView xWindow="-120" yWindow="-120" windowWidth="29040" windowHeight="15840" tabRatio="767"/>
  </bookViews>
  <sheets>
    <sheet name="дод 1 Доходи" sheetId="18" r:id="rId1"/>
    <sheet name="дод 2 Джерела" sheetId="16" r:id="rId2"/>
    <sheet name="дод 3 Видатки" sheetId="19" r:id="rId3"/>
    <sheet name="дод 5 Трансферти" sheetId="20" r:id="rId4"/>
    <sheet name="дод 7 Програми" sheetId="11" r:id="rId5"/>
    <sheet name="дод 10 Бюдж розвитку" sheetId="17" r:id="rId6"/>
  </sheets>
  <definedNames>
    <definedName name="_xlnm.Print_Titles" localSheetId="0">'дод 1 Доходи'!$17:$20</definedName>
    <definedName name="_xlnm.Print_Titles" localSheetId="5">'дод 10 Бюдж розвитку'!$18:$20</definedName>
    <definedName name="_xlnm.Print_Titles" localSheetId="2">'дод 3 Видатки'!$18:$22</definedName>
    <definedName name="_xlnm.Print_Titles" localSheetId="4">'дод 7 Програми'!$20:$22</definedName>
    <definedName name="_xlnm.Print_Area" localSheetId="0">'дод 1 Доходи'!$A$1:$F$88</definedName>
    <definedName name="_xlnm.Print_Area" localSheetId="1">'дод 2 Джерела'!$A$1:$F$40</definedName>
    <definedName name="_xlnm.Print_Area" localSheetId="2">'дод 3 Видатки'!$A$1:$P$133</definedName>
    <definedName name="_xlnm.Print_Area" localSheetId="3">'дод 5 Трансферти'!$A$1:$D$69</definedName>
    <definedName name="_xlnm.Print_Area" localSheetId="4">'дод 7 Програми'!$A$1:$J$102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7" l="1"/>
  <c r="F37" i="19"/>
  <c r="D54" i="20"/>
  <c r="O37" i="19"/>
  <c r="E28" i="16"/>
  <c r="D28" i="16"/>
  <c r="F28" i="16" l="1"/>
  <c r="D26" i="16" l="1"/>
  <c r="I24" i="11"/>
  <c r="H24" i="11"/>
  <c r="J40" i="11"/>
  <c r="J24" i="11" s="1"/>
  <c r="G40" i="11"/>
  <c r="H39" i="11"/>
  <c r="D60" i="20"/>
  <c r="D66" i="20" s="1"/>
  <c r="G60" i="11" l="1"/>
  <c r="G75" i="11"/>
  <c r="H75" i="11"/>
  <c r="G84" i="11"/>
  <c r="J22" i="17" l="1"/>
  <c r="J98" i="19"/>
  <c r="J39" i="17"/>
  <c r="J70" i="17"/>
  <c r="I95" i="11"/>
  <c r="I84" i="11" s="1"/>
  <c r="G90" i="11"/>
  <c r="G89" i="11"/>
  <c r="J89" i="11"/>
  <c r="J39" i="11"/>
  <c r="O110" i="19"/>
  <c r="O98" i="19" s="1"/>
  <c r="J104" i="19"/>
  <c r="P104" i="19"/>
  <c r="K104" i="19"/>
  <c r="H25" i="19"/>
  <c r="D56" i="20"/>
  <c r="D23" i="20"/>
  <c r="D69" i="18"/>
  <c r="F33" i="16" l="1"/>
  <c r="I41" i="17"/>
  <c r="I45" i="17"/>
  <c r="E26" i="16"/>
  <c r="J31" i="17"/>
  <c r="J44" i="11"/>
  <c r="H44" i="11"/>
  <c r="O42" i="19"/>
  <c r="F126" i="19"/>
  <c r="E42" i="19"/>
  <c r="F42" i="19"/>
  <c r="H42" i="19"/>
  <c r="H33" i="11" l="1"/>
  <c r="F33" i="19"/>
  <c r="I97" i="11" l="1"/>
  <c r="H78" i="11"/>
  <c r="H32" i="11"/>
  <c r="O111" i="19"/>
  <c r="F93" i="19"/>
  <c r="F32" i="19"/>
  <c r="K121" i="19" l="1"/>
  <c r="J78" i="17"/>
  <c r="J59" i="17"/>
  <c r="J57" i="17"/>
  <c r="I57" i="17"/>
  <c r="J30" i="17"/>
  <c r="J23" i="17"/>
  <c r="I82" i="11"/>
  <c r="I91" i="11"/>
  <c r="I90" i="11"/>
  <c r="J42" i="11"/>
  <c r="I44" i="11"/>
  <c r="I42" i="11" s="1"/>
  <c r="H80" i="11"/>
  <c r="H69" i="11"/>
  <c r="H55" i="11"/>
  <c r="H42" i="11"/>
  <c r="H43" i="11"/>
  <c r="D32" i="20"/>
  <c r="D22" i="20"/>
  <c r="D44" i="20" s="1"/>
  <c r="O89" i="19"/>
  <c r="J96" i="19"/>
  <c r="P118" i="19"/>
  <c r="P119" i="19"/>
  <c r="P123" i="19"/>
  <c r="J119" i="19"/>
  <c r="O119" i="19"/>
  <c r="K119" i="19"/>
  <c r="L119" i="19"/>
  <c r="J123" i="19"/>
  <c r="O121" i="19"/>
  <c r="O106" i="19"/>
  <c r="L98" i="19"/>
  <c r="M98" i="19"/>
  <c r="N98" i="19"/>
  <c r="P105" i="19"/>
  <c r="J105" i="19"/>
  <c r="K105" i="19"/>
  <c r="O39" i="19"/>
  <c r="J42" i="19"/>
  <c r="K42" i="19"/>
  <c r="K39" i="19" s="1"/>
  <c r="O25" i="19"/>
  <c r="E119" i="19"/>
  <c r="F119" i="19"/>
  <c r="E123" i="19"/>
  <c r="E122" i="19"/>
  <c r="F123" i="19"/>
  <c r="G99" i="19"/>
  <c r="F94" i="19"/>
  <c r="F72" i="19"/>
  <c r="F83" i="19"/>
  <c r="F66" i="19"/>
  <c r="F39" i="19"/>
  <c r="P52" i="19"/>
  <c r="E52" i="19"/>
  <c r="F25" i="19"/>
  <c r="D72" i="18"/>
  <c r="C72" i="18"/>
  <c r="C67" i="18" s="1"/>
  <c r="C76" i="18"/>
  <c r="D67" i="18"/>
  <c r="D66" i="18" s="1"/>
  <c r="C68" i="18"/>
  <c r="C70" i="18"/>
  <c r="D68" i="18"/>
  <c r="C69" i="18"/>
  <c r="H37" i="17" l="1"/>
  <c r="D52" i="20" l="1"/>
  <c r="I74" i="17" l="1"/>
  <c r="H72" i="17"/>
  <c r="I68" i="17"/>
  <c r="I65" i="17"/>
  <c r="I63" i="17"/>
  <c r="I61" i="17"/>
  <c r="I59" i="17"/>
  <c r="I55" i="17"/>
  <c r="I53" i="17"/>
  <c r="I47" i="17"/>
  <c r="I46" i="17"/>
  <c r="I44" i="17"/>
  <c r="I42" i="17" l="1"/>
  <c r="I40" i="17"/>
  <c r="I37" i="17"/>
  <c r="J77" i="17" l="1"/>
  <c r="J76" i="17" s="1"/>
  <c r="J66" i="17"/>
  <c r="J65" i="17"/>
  <c r="J42" i="17"/>
  <c r="J38" i="17" s="1"/>
  <c r="J35" i="17"/>
  <c r="J34" i="17" s="1"/>
  <c r="J29" i="17"/>
  <c r="J21" i="17"/>
  <c r="J80" i="17" l="1"/>
  <c r="C26" i="16"/>
  <c r="C25" i="16" s="1"/>
  <c r="E25" i="16"/>
  <c r="E32" i="16" s="1"/>
  <c r="E33" i="16"/>
  <c r="D50" i="18"/>
  <c r="E50" i="18"/>
  <c r="F50" i="18"/>
  <c r="C50" i="18"/>
  <c r="D56" i="18"/>
  <c r="E56" i="18"/>
  <c r="F56" i="18"/>
  <c r="C56" i="18"/>
  <c r="D60" i="18"/>
  <c r="E60" i="18"/>
  <c r="F60" i="18"/>
  <c r="C60" i="18"/>
  <c r="D62" i="18"/>
  <c r="E62" i="18"/>
  <c r="F62" i="18"/>
  <c r="C62" i="18"/>
  <c r="D21" i="18"/>
  <c r="E21" i="18"/>
  <c r="F21" i="18"/>
  <c r="C21" i="18"/>
  <c r="D45" i="18" l="1"/>
  <c r="C45" i="18"/>
  <c r="E45" i="18"/>
  <c r="E65" i="18" s="1"/>
  <c r="E84" i="18" s="1"/>
  <c r="F45" i="18"/>
  <c r="F65" i="18" s="1"/>
  <c r="F84" i="18" s="1"/>
  <c r="D65" i="18"/>
  <c r="C65" i="18"/>
  <c r="L118" i="19"/>
  <c r="J120" i="19" l="1"/>
  <c r="M119" i="19"/>
  <c r="N119" i="19"/>
  <c r="O113" i="19"/>
  <c r="L113" i="19"/>
  <c r="M113" i="19"/>
  <c r="N113" i="19"/>
  <c r="K113" i="19"/>
  <c r="K103" i="19"/>
  <c r="K107" i="19"/>
  <c r="K108" i="19"/>
  <c r="K110" i="19"/>
  <c r="K98" i="19" s="1"/>
  <c r="K100" i="19"/>
  <c r="K95" i="19"/>
  <c r="K54" i="19"/>
  <c r="K37" i="19"/>
  <c r="K29" i="19"/>
  <c r="K35" i="19"/>
  <c r="K27" i="19"/>
  <c r="K26" i="19"/>
  <c r="F75" i="19"/>
  <c r="G31" i="11" l="1"/>
  <c r="J97" i="11"/>
  <c r="G97" i="11"/>
  <c r="J96" i="11"/>
  <c r="G96" i="11"/>
  <c r="J95" i="11"/>
  <c r="J84" i="11" s="1"/>
  <c r="G95" i="11"/>
  <c r="I94" i="11"/>
  <c r="J93" i="11"/>
  <c r="G93" i="11"/>
  <c r="J92" i="11"/>
  <c r="G92" i="11"/>
  <c r="J91" i="11"/>
  <c r="G88" i="11"/>
  <c r="I87" i="11"/>
  <c r="J87" i="11" s="1"/>
  <c r="I86" i="11"/>
  <c r="J85" i="11"/>
  <c r="G85" i="11"/>
  <c r="I75" i="11"/>
  <c r="J75" i="11"/>
  <c r="G81" i="11"/>
  <c r="G38" i="11"/>
  <c r="G35" i="11"/>
  <c r="G73" i="11"/>
  <c r="G72" i="11"/>
  <c r="H71" i="11"/>
  <c r="H70" i="11"/>
  <c r="H68" i="11"/>
  <c r="H66" i="11"/>
  <c r="H62" i="11"/>
  <c r="H52" i="11"/>
  <c r="G24" i="11"/>
  <c r="G39" i="11"/>
  <c r="G37" i="11"/>
  <c r="G32" i="11"/>
  <c r="G87" i="11" l="1"/>
  <c r="G91" i="11"/>
  <c r="J88" i="11"/>
  <c r="H60" i="11"/>
  <c r="J31" i="19" l="1"/>
  <c r="P31" i="19" s="1"/>
  <c r="O24" i="19"/>
  <c r="L112" i="19"/>
  <c r="O112" i="19"/>
  <c r="N112" i="19"/>
  <c r="M112" i="19"/>
  <c r="K112" i="19"/>
  <c r="J121" i="19"/>
  <c r="G121" i="19"/>
  <c r="K111" i="19"/>
  <c r="O109" i="19"/>
  <c r="K109" i="19" s="1"/>
  <c r="K106" i="19"/>
  <c r="O102" i="19"/>
  <c r="K102" i="19" s="1"/>
  <c r="J110" i="19"/>
  <c r="P98" i="19" s="1"/>
  <c r="J108" i="19"/>
  <c r="J107" i="19"/>
  <c r="J103" i="19"/>
  <c r="E111" i="19"/>
  <c r="E110" i="19"/>
  <c r="E108" i="19"/>
  <c r="E107" i="19"/>
  <c r="E106" i="19"/>
  <c r="E103" i="19"/>
  <c r="E102" i="19"/>
  <c r="O101" i="19"/>
  <c r="K101" i="19" s="1"/>
  <c r="J100" i="19"/>
  <c r="E100" i="19"/>
  <c r="J95" i="19"/>
  <c r="E95" i="19"/>
  <c r="P95" i="19" s="1"/>
  <c r="J106" i="19" l="1"/>
  <c r="P100" i="19"/>
  <c r="P107" i="19"/>
  <c r="J102" i="19"/>
  <c r="P102" i="19" s="1"/>
  <c r="P121" i="19"/>
  <c r="P103" i="19"/>
  <c r="P110" i="19"/>
  <c r="J111" i="19"/>
  <c r="P111" i="19" s="1"/>
  <c r="P108" i="19"/>
  <c r="J54" i="19"/>
  <c r="P54" i="19" s="1"/>
  <c r="J37" i="19"/>
  <c r="J29" i="19"/>
  <c r="E29" i="19"/>
  <c r="P29" i="19" s="1"/>
  <c r="J35" i="19"/>
  <c r="E35" i="19"/>
  <c r="J122" i="19"/>
  <c r="J87" i="19"/>
  <c r="J86" i="19"/>
  <c r="J64" i="19"/>
  <c r="J61" i="19"/>
  <c r="J60" i="19"/>
  <c r="J27" i="19"/>
  <c r="J26" i="19"/>
  <c r="E120" i="19"/>
  <c r="P122" i="19"/>
  <c r="E87" i="19"/>
  <c r="E86" i="19"/>
  <c r="F85" i="19"/>
  <c r="F84" i="19"/>
  <c r="F82" i="19"/>
  <c r="F80" i="19"/>
  <c r="F76" i="19"/>
  <c r="F41" i="19"/>
  <c r="P106" i="19" l="1"/>
  <c r="P86" i="19"/>
  <c r="P87" i="19"/>
  <c r="P35" i="19"/>
  <c r="G42" i="19"/>
  <c r="G41" i="19"/>
  <c r="F24" i="19"/>
  <c r="E37" i="19"/>
  <c r="P37" i="19" s="1"/>
  <c r="E32" i="19"/>
  <c r="P32" i="19" s="1"/>
  <c r="F56" i="19"/>
  <c r="E60" i="19"/>
  <c r="P60" i="19" s="1"/>
  <c r="E61" i="19"/>
  <c r="P61" i="19" s="1"/>
  <c r="E64" i="19"/>
  <c r="P64" i="19" s="1"/>
  <c r="E50" i="19"/>
  <c r="P50" i="19" s="1"/>
  <c r="E51" i="19"/>
  <c r="P51" i="19" s="1"/>
  <c r="E48" i="19"/>
  <c r="E43" i="19"/>
  <c r="C71" i="18"/>
  <c r="C79" i="18"/>
  <c r="C78" i="18"/>
  <c r="C77" i="18"/>
  <c r="C75" i="18"/>
  <c r="C74" i="18"/>
  <c r="C73" i="18"/>
  <c r="D70" i="18"/>
  <c r="C66" i="18" l="1"/>
  <c r="C84" i="18" s="1"/>
  <c r="D84" i="18"/>
  <c r="H79" i="11" l="1"/>
  <c r="C37" i="18" l="1"/>
  <c r="C38" i="18"/>
  <c r="C39" i="18"/>
  <c r="C40" i="18"/>
  <c r="D36" i="18"/>
  <c r="C36" i="18" s="1"/>
  <c r="C32" i="18"/>
  <c r="C33" i="18"/>
  <c r="C34" i="18"/>
  <c r="C35" i="18"/>
  <c r="D31" i="18"/>
  <c r="C31" i="18" s="1"/>
  <c r="M74" i="19" l="1"/>
  <c r="M42" i="19"/>
  <c r="G126" i="19" l="1"/>
  <c r="G120" i="19"/>
  <c r="G117" i="19"/>
  <c r="G114" i="19"/>
  <c r="G90" i="19"/>
  <c r="G84" i="19"/>
  <c r="G82" i="19"/>
  <c r="G79" i="19"/>
  <c r="G78" i="19"/>
  <c r="G77" i="19"/>
  <c r="G76" i="19"/>
  <c r="G74" i="19"/>
  <c r="G73" i="19"/>
  <c r="G69" i="19"/>
  <c r="G65" i="19"/>
  <c r="G62" i="19"/>
  <c r="G57" i="19"/>
  <c r="G53" i="19"/>
  <c r="G49" i="19"/>
  <c r="G47" i="19"/>
  <c r="G45" i="19"/>
  <c r="G44" i="19"/>
  <c r="G40" i="19"/>
  <c r="G25" i="19"/>
  <c r="G39" i="19" l="1"/>
  <c r="G38" i="19" s="1"/>
  <c r="G94" i="11"/>
  <c r="G58" i="11"/>
  <c r="J128" i="19"/>
  <c r="E128" i="19"/>
  <c r="J127" i="19"/>
  <c r="E127" i="19"/>
  <c r="J126" i="19"/>
  <c r="E126" i="19"/>
  <c r="O125" i="19"/>
  <c r="N125" i="19"/>
  <c r="M125" i="19"/>
  <c r="L125" i="19"/>
  <c r="K125" i="19"/>
  <c r="K124" i="19" s="1"/>
  <c r="I125" i="19"/>
  <c r="I124" i="19" s="1"/>
  <c r="H125" i="19"/>
  <c r="H124" i="19" s="1"/>
  <c r="G125" i="19"/>
  <c r="G124" i="19" s="1"/>
  <c r="F125" i="19"/>
  <c r="F124" i="19" s="1"/>
  <c r="E118" i="19"/>
  <c r="O118" i="19"/>
  <c r="N118" i="19"/>
  <c r="M118" i="19"/>
  <c r="K118" i="19"/>
  <c r="I119" i="19"/>
  <c r="I118" i="19" s="1"/>
  <c r="H119" i="19"/>
  <c r="H118" i="19" s="1"/>
  <c r="G119" i="19"/>
  <c r="G118" i="19" s="1"/>
  <c r="F118" i="19"/>
  <c r="J117" i="19"/>
  <c r="J116" i="19" s="1"/>
  <c r="J115" i="19" s="1"/>
  <c r="E117" i="19"/>
  <c r="O116" i="19"/>
  <c r="O115" i="19" s="1"/>
  <c r="N116" i="19"/>
  <c r="N115" i="19" s="1"/>
  <c r="M116" i="19"/>
  <c r="M115" i="19" s="1"/>
  <c r="L116" i="19"/>
  <c r="L115" i="19" s="1"/>
  <c r="K116" i="19"/>
  <c r="K115" i="19" s="1"/>
  <c r="I116" i="19"/>
  <c r="I115" i="19" s="1"/>
  <c r="H116" i="19"/>
  <c r="H115" i="19" s="1"/>
  <c r="G116" i="19"/>
  <c r="G115" i="19" s="1"/>
  <c r="F116" i="19"/>
  <c r="F115" i="19" s="1"/>
  <c r="J114" i="19"/>
  <c r="J113" i="19" s="1"/>
  <c r="J112" i="19" s="1"/>
  <c r="E114" i="19"/>
  <c r="E113" i="19" s="1"/>
  <c r="I113" i="19"/>
  <c r="I112" i="19" s="1"/>
  <c r="H113" i="19"/>
  <c r="H112" i="19" s="1"/>
  <c r="G113" i="19"/>
  <c r="G112" i="19" s="1"/>
  <c r="F113" i="19"/>
  <c r="F112" i="19" s="1"/>
  <c r="J109" i="19"/>
  <c r="E109" i="19"/>
  <c r="J101" i="19"/>
  <c r="E101" i="19"/>
  <c r="J99" i="19"/>
  <c r="E99" i="19"/>
  <c r="O97" i="19"/>
  <c r="N97" i="19"/>
  <c r="M97" i="19"/>
  <c r="L97" i="19"/>
  <c r="K97" i="19"/>
  <c r="I98" i="19"/>
  <c r="I97" i="19" s="1"/>
  <c r="H98" i="19"/>
  <c r="H97" i="19" s="1"/>
  <c r="G98" i="19"/>
  <c r="G97" i="19" s="1"/>
  <c r="F98" i="19"/>
  <c r="E96" i="19"/>
  <c r="J94" i="19"/>
  <c r="E94" i="19"/>
  <c r="J93" i="19"/>
  <c r="E93" i="19"/>
  <c r="J92" i="19"/>
  <c r="E92" i="19"/>
  <c r="J91" i="19"/>
  <c r="J89" i="19" s="1"/>
  <c r="E91" i="19"/>
  <c r="K90" i="19"/>
  <c r="J90" i="19"/>
  <c r="E90" i="19"/>
  <c r="O88" i="19"/>
  <c r="N89" i="19"/>
  <c r="N88" i="19" s="1"/>
  <c r="M89" i="19"/>
  <c r="M88" i="19" s="1"/>
  <c r="L89" i="19"/>
  <c r="L88" i="19" s="1"/>
  <c r="I89" i="19"/>
  <c r="I88" i="19" s="1"/>
  <c r="H89" i="19"/>
  <c r="H88" i="19" s="1"/>
  <c r="G89" i="19"/>
  <c r="G88" i="19" s="1"/>
  <c r="F89" i="19"/>
  <c r="F88" i="19" s="1"/>
  <c r="J85" i="19"/>
  <c r="E85" i="19"/>
  <c r="J84" i="19"/>
  <c r="E84" i="19"/>
  <c r="J83" i="19"/>
  <c r="E83" i="19"/>
  <c r="J82" i="19"/>
  <c r="E82" i="19"/>
  <c r="J81" i="19"/>
  <c r="E81" i="19"/>
  <c r="J80" i="19"/>
  <c r="E80" i="19"/>
  <c r="J79" i="19"/>
  <c r="E79" i="19"/>
  <c r="J78" i="19"/>
  <c r="E78" i="19"/>
  <c r="J77" i="19"/>
  <c r="E77" i="19"/>
  <c r="J76" i="19"/>
  <c r="E76" i="19"/>
  <c r="J75" i="19"/>
  <c r="E75" i="19"/>
  <c r="J74" i="19"/>
  <c r="E74" i="19"/>
  <c r="J73" i="19"/>
  <c r="E73" i="19"/>
  <c r="O72" i="19"/>
  <c r="O71" i="19" s="1"/>
  <c r="N72" i="19"/>
  <c r="N71" i="19" s="1"/>
  <c r="M72" i="19"/>
  <c r="M71" i="19" s="1"/>
  <c r="L72" i="19"/>
  <c r="L71" i="19" s="1"/>
  <c r="K72" i="19"/>
  <c r="K71" i="19" s="1"/>
  <c r="I72" i="19"/>
  <c r="I71" i="19" s="1"/>
  <c r="H72" i="19"/>
  <c r="H71" i="19" s="1"/>
  <c r="G72" i="19"/>
  <c r="G71" i="19" s="1"/>
  <c r="F71" i="19"/>
  <c r="J70" i="19"/>
  <c r="E70" i="19"/>
  <c r="J69" i="19"/>
  <c r="E69" i="19"/>
  <c r="O68" i="19"/>
  <c r="O67" i="19" s="1"/>
  <c r="N68" i="19"/>
  <c r="N67" i="19" s="1"/>
  <c r="M68" i="19"/>
  <c r="M67" i="19" s="1"/>
  <c r="L68" i="19"/>
  <c r="L67" i="19" s="1"/>
  <c r="K68" i="19"/>
  <c r="K67" i="19" s="1"/>
  <c r="I68" i="19"/>
  <c r="I67" i="19" s="1"/>
  <c r="H68" i="19"/>
  <c r="H67" i="19" s="1"/>
  <c r="G68" i="19"/>
  <c r="G67" i="19" s="1"/>
  <c r="F68" i="19"/>
  <c r="F67" i="19" s="1"/>
  <c r="J66" i="19"/>
  <c r="E66" i="19"/>
  <c r="J65" i="19"/>
  <c r="E65" i="19"/>
  <c r="J63" i="19"/>
  <c r="E63" i="19"/>
  <c r="J62" i="19"/>
  <c r="E62" i="19"/>
  <c r="J59" i="19"/>
  <c r="E59" i="19"/>
  <c r="J58" i="19"/>
  <c r="E58" i="19"/>
  <c r="J57" i="19"/>
  <c r="E57" i="19"/>
  <c r="O56" i="19"/>
  <c r="O55" i="19" s="1"/>
  <c r="N56" i="19"/>
  <c r="N55" i="19" s="1"/>
  <c r="M56" i="19"/>
  <c r="M55" i="19" s="1"/>
  <c r="L56" i="19"/>
  <c r="L55" i="19" s="1"/>
  <c r="K56" i="19"/>
  <c r="K55" i="19" s="1"/>
  <c r="I56" i="19"/>
  <c r="I55" i="19" s="1"/>
  <c r="H56" i="19"/>
  <c r="H55" i="19" s="1"/>
  <c r="G56" i="19"/>
  <c r="G55" i="19" s="1"/>
  <c r="F55" i="19"/>
  <c r="E53" i="19"/>
  <c r="P53" i="19" s="1"/>
  <c r="E49" i="19"/>
  <c r="P49" i="19" s="1"/>
  <c r="J48" i="19"/>
  <c r="E47" i="19"/>
  <c r="P47" i="19" s="1"/>
  <c r="E46" i="19"/>
  <c r="P46" i="19" s="1"/>
  <c r="E45" i="19"/>
  <c r="P45" i="19" s="1"/>
  <c r="E44" i="19"/>
  <c r="P44" i="19" s="1"/>
  <c r="J43" i="19"/>
  <c r="P42" i="19"/>
  <c r="J41" i="19"/>
  <c r="E41" i="19"/>
  <c r="J40" i="19"/>
  <c r="E40" i="19"/>
  <c r="O38" i="19"/>
  <c r="N39" i="19"/>
  <c r="N38" i="19" s="1"/>
  <c r="M39" i="19"/>
  <c r="M38" i="19" s="1"/>
  <c r="L39" i="19"/>
  <c r="L38" i="19" s="1"/>
  <c r="K38" i="19"/>
  <c r="I39" i="19"/>
  <c r="I38" i="19" s="1"/>
  <c r="H39" i="19"/>
  <c r="H38" i="19" s="1"/>
  <c r="F38" i="19"/>
  <c r="E36" i="19"/>
  <c r="P36" i="19" s="1"/>
  <c r="E34" i="19"/>
  <c r="P34" i="19" s="1"/>
  <c r="E33" i="19"/>
  <c r="P33" i="19" s="1"/>
  <c r="E30" i="19"/>
  <c r="P30" i="19" s="1"/>
  <c r="E28" i="19"/>
  <c r="P28" i="19" s="1"/>
  <c r="E27" i="19"/>
  <c r="P27" i="19" s="1"/>
  <c r="E26" i="19"/>
  <c r="P26" i="19" s="1"/>
  <c r="K25" i="19"/>
  <c r="K24" i="19" s="1"/>
  <c r="K23" i="19" s="1"/>
  <c r="J25" i="19"/>
  <c r="E25" i="19"/>
  <c r="O23" i="19"/>
  <c r="N24" i="19"/>
  <c r="N23" i="19" s="1"/>
  <c r="M24" i="19"/>
  <c r="M23" i="19" s="1"/>
  <c r="L24" i="19"/>
  <c r="J24" i="19" s="1"/>
  <c r="J23" i="19" s="1"/>
  <c r="I24" i="19"/>
  <c r="I23" i="19" s="1"/>
  <c r="H24" i="19"/>
  <c r="H23" i="19" s="1"/>
  <c r="G24" i="19"/>
  <c r="G23" i="19" s="1"/>
  <c r="F23" i="19"/>
  <c r="E39" i="19" l="1"/>
  <c r="E24" i="19"/>
  <c r="J97" i="19"/>
  <c r="J39" i="19"/>
  <c r="J38" i="19" s="1"/>
  <c r="M129" i="19"/>
  <c r="J88" i="19"/>
  <c r="E112" i="19"/>
  <c r="P112" i="19" s="1"/>
  <c r="P113" i="19"/>
  <c r="K89" i="19"/>
  <c r="K88" i="19" s="1"/>
  <c r="K129" i="19" s="1"/>
  <c r="O129" i="19"/>
  <c r="E72" i="19"/>
  <c r="P91" i="19"/>
  <c r="P57" i="19"/>
  <c r="E56" i="19"/>
  <c r="G129" i="19"/>
  <c r="P59" i="19"/>
  <c r="E38" i="19"/>
  <c r="P127" i="19"/>
  <c r="P90" i="19"/>
  <c r="J56" i="19"/>
  <c r="J55" i="19" s="1"/>
  <c r="P73" i="19"/>
  <c r="P75" i="19"/>
  <c r="P77" i="19"/>
  <c r="P79" i="19"/>
  <c r="P81" i="19"/>
  <c r="P78" i="19"/>
  <c r="P85" i="19"/>
  <c r="P25" i="19"/>
  <c r="P43" i="19"/>
  <c r="P58" i="19"/>
  <c r="P65" i="19"/>
  <c r="P82" i="19"/>
  <c r="P114" i="19"/>
  <c r="P128" i="19"/>
  <c r="P40" i="19"/>
  <c r="P66" i="19"/>
  <c r="P126" i="19"/>
  <c r="P76" i="19"/>
  <c r="P94" i="19"/>
  <c r="P41" i="19"/>
  <c r="P99" i="19"/>
  <c r="P80" i="19"/>
  <c r="P48" i="19"/>
  <c r="P69" i="19"/>
  <c r="P74" i="19"/>
  <c r="P83" i="19"/>
  <c r="P117" i="19"/>
  <c r="J125" i="19"/>
  <c r="J124" i="19" s="1"/>
  <c r="P63" i="19"/>
  <c r="P109" i="19"/>
  <c r="P120" i="19"/>
  <c r="P62" i="19"/>
  <c r="P84" i="19"/>
  <c r="P93" i="19"/>
  <c r="P96" i="19"/>
  <c r="E98" i="19"/>
  <c r="H129" i="19"/>
  <c r="P70" i="19"/>
  <c r="J68" i="19"/>
  <c r="J67" i="19" s="1"/>
  <c r="J118" i="19"/>
  <c r="L23" i="19"/>
  <c r="L129" i="19" s="1"/>
  <c r="P101" i="19"/>
  <c r="I129" i="19"/>
  <c r="E68" i="19"/>
  <c r="J72" i="19"/>
  <c r="J71" i="19" s="1"/>
  <c r="P92" i="19"/>
  <c r="E89" i="19"/>
  <c r="P89" i="19" s="1"/>
  <c r="E116" i="19"/>
  <c r="E125" i="19"/>
  <c r="P39" i="19" l="1"/>
  <c r="P38" i="19"/>
  <c r="E97" i="19"/>
  <c r="N129" i="19"/>
  <c r="E88" i="19"/>
  <c r="P88" i="19" s="1"/>
  <c r="E124" i="19"/>
  <c r="P124" i="19" s="1"/>
  <c r="P125" i="19"/>
  <c r="J129" i="19"/>
  <c r="E71" i="19"/>
  <c r="P71" i="19" s="1"/>
  <c r="P72" i="19"/>
  <c r="E23" i="19"/>
  <c r="P23" i="19" s="1"/>
  <c r="P24" i="19"/>
  <c r="E55" i="19"/>
  <c r="P55" i="19" s="1"/>
  <c r="P56" i="19"/>
  <c r="P116" i="19"/>
  <c r="E115" i="19"/>
  <c r="P115" i="19" s="1"/>
  <c r="P68" i="19"/>
  <c r="E67" i="19"/>
  <c r="P67" i="19" s="1"/>
  <c r="E129" i="19" l="1"/>
  <c r="P129" i="19" s="1"/>
  <c r="F97" i="19"/>
  <c r="F129" i="19" s="1"/>
  <c r="P97" i="19"/>
  <c r="J86" i="11" l="1"/>
  <c r="H84" i="11"/>
  <c r="J94" i="11"/>
  <c r="G86" i="11"/>
  <c r="G82" i="11" l="1"/>
  <c r="G80" i="11"/>
  <c r="G79" i="11"/>
  <c r="G78" i="11"/>
  <c r="G77" i="11"/>
  <c r="G76" i="11"/>
  <c r="J60" i="11"/>
  <c r="I60" i="11"/>
  <c r="G71" i="11"/>
  <c r="G70" i="11"/>
  <c r="G69" i="11"/>
  <c r="G68" i="11"/>
  <c r="G67" i="11"/>
  <c r="G66" i="11"/>
  <c r="G65" i="11"/>
  <c r="G64" i="11"/>
  <c r="G63" i="11"/>
  <c r="G62" i="11"/>
  <c r="G61" i="11"/>
  <c r="I52" i="11"/>
  <c r="J52" i="11"/>
  <c r="G55" i="11"/>
  <c r="G54" i="11"/>
  <c r="G53" i="11"/>
  <c r="G44" i="11"/>
  <c r="G45" i="11"/>
  <c r="G46" i="11"/>
  <c r="G47" i="11"/>
  <c r="G48" i="11"/>
  <c r="G49" i="11"/>
  <c r="G43" i="11"/>
  <c r="G28" i="11" l="1"/>
  <c r="G29" i="11"/>
  <c r="G30" i="11"/>
  <c r="G33" i="11"/>
  <c r="G34" i="11"/>
  <c r="G36" i="11"/>
  <c r="G27" i="11"/>
  <c r="G26" i="11"/>
  <c r="D50" i="20" l="1"/>
  <c r="D65" i="20" l="1"/>
  <c r="D64" i="20" s="1"/>
  <c r="D43" i="20"/>
  <c r="D25" i="16" l="1"/>
  <c r="D24" i="16" s="1"/>
  <c r="D31" i="16" s="1"/>
  <c r="E35" i="16" l="1"/>
  <c r="D35" i="16"/>
  <c r="C32" i="16" l="1"/>
  <c r="C24" i="16"/>
  <c r="C31" i="16" s="1"/>
  <c r="D33" i="16"/>
  <c r="C33" i="16" s="1"/>
  <c r="F25" i="16"/>
  <c r="F32" i="16" s="1"/>
  <c r="E24" i="16"/>
  <c r="F35" i="16" l="1"/>
  <c r="F24" i="16"/>
  <c r="F31" i="16" s="1"/>
  <c r="C29" i="16"/>
  <c r="C36" i="16" s="1"/>
  <c r="E29" i="16"/>
  <c r="E36" i="16" s="1"/>
  <c r="E31" i="16"/>
  <c r="D32" i="16"/>
  <c r="F29" i="16" l="1"/>
  <c r="F36" i="16" s="1"/>
  <c r="D29" i="16"/>
  <c r="D36" i="16" s="1"/>
  <c r="H50" i="11" l="1"/>
  <c r="H41" i="11" l="1"/>
  <c r="G50" i="11"/>
  <c r="J74" i="11"/>
  <c r="I74" i="11"/>
  <c r="J59" i="11"/>
  <c r="H59" i="11"/>
  <c r="J57" i="11"/>
  <c r="J56" i="11" s="1"/>
  <c r="I57" i="11"/>
  <c r="I56" i="11" s="1"/>
  <c r="H57" i="11"/>
  <c r="J51" i="11"/>
  <c r="H51" i="11"/>
  <c r="J41" i="11"/>
  <c r="J23" i="11" s="1"/>
  <c r="H56" i="11" l="1"/>
  <c r="G56" i="11" s="1"/>
  <c r="G57" i="11"/>
  <c r="I59" i="11"/>
  <c r="G59" i="11" s="1"/>
  <c r="J83" i="11"/>
  <c r="J98" i="11" s="1"/>
  <c r="I83" i="11"/>
  <c r="G52" i="11"/>
  <c r="I51" i="11"/>
  <c r="G51" i="11" s="1"/>
  <c r="H83" i="11"/>
  <c r="G42" i="11"/>
  <c r="I41" i="11"/>
  <c r="G25" i="11" l="1"/>
  <c r="G41" i="11"/>
  <c r="H23" i="11"/>
  <c r="G83" i="11"/>
  <c r="H74" i="11"/>
  <c r="G74" i="11" s="1"/>
  <c r="I23" i="11" l="1"/>
  <c r="I98" i="11" s="1"/>
  <c r="H98" i="11"/>
  <c r="G23" i="11" l="1"/>
  <c r="G98" i="11" s="1"/>
</calcChain>
</file>

<file path=xl/sharedStrings.xml><?xml version="1.0" encoding="utf-8"?>
<sst xmlns="http://schemas.openxmlformats.org/spreadsheetml/2006/main" count="1475" uniqueCount="618">
  <si>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</si>
  <si>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</si>
  <si>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</si>
  <si>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</si>
  <si>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</si>
  <si>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</si>
  <si>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</si>
  <si>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</si>
  <si>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  рішення Южненської міської ради</t>
  </si>
  <si>
    <t xml:space="preserve">"Про  бюджет Южненської міської 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</si>
  <si>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</si>
  <si>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</si>
  <si>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</si>
  <si>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</si>
  <si>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</si>
  <si>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видатки споживання</t>
  </si>
  <si>
    <t>0200000</t>
  </si>
  <si>
    <t/>
  </si>
  <si>
    <t>Виконавчий комітет Южненської міської ради Одеського району Одеської області</t>
  </si>
  <si>
    <t>0210000</t>
  </si>
  <si>
    <t>0111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</si>
  <si>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</si>
  <si>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</si>
  <si>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</si>
  <si>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</si>
  <si>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</si>
  <si>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</si>
  <si>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</si>
  <si>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</si>
  <si>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6030</t>
  </si>
  <si>
    <t>0620</t>
  </si>
  <si>
    <t>Організація благоустрою населених пунктів</t>
  </si>
  <si>
    <t>0217530</t>
  </si>
  <si>
    <t>7530</t>
  </si>
  <si>
    <t>0460</t>
  </si>
  <si>
    <t>Інші заходи у сфері зв`язку, телекомунікації та інформатики</t>
  </si>
  <si>
    <t>0218220</t>
  </si>
  <si>
    <t>8220</t>
  </si>
  <si>
    <t>0380</t>
  </si>
  <si>
    <t>Заходи та роботи з мобілізаційної підготовки місцевого значення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</si>
  <si>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</si>
  <si>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</si>
  <si>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</si>
  <si>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</si>
  <si>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</si>
  <si>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Южненської міської ради Одеського районого Одеської області</t>
  </si>
  <si>
    <t>0610000</t>
  </si>
  <si>
    <t>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</si>
  <si>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</si>
  <si>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</si>
  <si>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</si>
  <si>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</si>
  <si>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</si>
  <si>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</si>
  <si>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</si>
  <si>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</si>
  <si>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</si>
  <si>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</si>
  <si>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</si>
  <si>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</si>
  <si>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</si>
  <si>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</si>
  <si>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</si>
  <si>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</si>
  <si>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</si>
  <si>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</si>
  <si>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</si>
  <si>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</si>
  <si>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</si>
  <si>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</si>
  <si>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</si>
  <si>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</si>
  <si>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</si>
  <si>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</si>
  <si>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соціальної політики Южненської міської ради Одеського району Одеської області</t>
  </si>
  <si>
    <t>0810000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</si>
  <si>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</si>
  <si>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</si>
  <si>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</si>
  <si>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</si>
  <si>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</si>
  <si>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</si>
  <si>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</si>
  <si>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1090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</si>
  <si>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</si>
  <si>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</si>
  <si>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</si>
  <si>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</si>
  <si>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Южненської міської ради Одеського району Одеської області</t>
  </si>
  <si>
    <t>0910000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</si>
  <si>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</si>
  <si>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</si>
  <si>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</si>
  <si>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</si>
  <si>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Управління культури, спорту та молодіжної політики Южненської міської ради Одеського району Одеської області</t>
  </si>
  <si>
    <t>1010000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</si>
  <si>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</si>
  <si>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</si>
  <si>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</si>
  <si>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</si>
  <si>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</si>
  <si>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</si>
  <si>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</si>
  <si>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</si>
  <si>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</si>
  <si>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</si>
  <si>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</si>
  <si>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</si>
  <si>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</si>
  <si>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</si>
  <si>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</si>
  <si>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</si>
  <si>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</si>
  <si>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</si>
  <si>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</si>
  <si>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</si>
  <si>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</si>
  <si>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</si>
  <si>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</si>
  <si>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</si>
  <si>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</si>
  <si>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</si>
  <si>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</si>
  <si>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</si>
  <si>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</si>
  <si>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</si>
  <si>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</si>
  <si>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</si>
  <si>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</si>
  <si>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</si>
  <si>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</si>
  <si>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Южненської міської ради Одеського району Одеської області</t>
  </si>
  <si>
    <t>1210000</t>
  </si>
  <si>
    <t>1210160</t>
  </si>
  <si>
    <t>1213210</t>
  </si>
  <si>
    <t>3210</t>
  </si>
  <si>
    <t>1050</t>
  </si>
  <si>
    <t>Організація та проведення громадських робіт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</si>
  <si>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</si>
  <si>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</si>
  <si>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</si>
  <si>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</si>
  <si>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</si>
  <si>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</si>
  <si>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</si>
  <si>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</si>
  <si>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</si>
  <si>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8340</t>
  </si>
  <si>
    <t>0540</t>
  </si>
  <si>
    <t>Природоохоронні заходи за рахунок цільових фондів</t>
  </si>
  <si>
    <t>1500000</t>
  </si>
  <si>
    <t>Управління капітального будівництва Южненської міської ради Одеського району Одеської області</t>
  </si>
  <si>
    <t>1510000</t>
  </si>
  <si>
    <t>0443</t>
  </si>
  <si>
    <t>1517330</t>
  </si>
  <si>
    <t>7330</t>
  </si>
  <si>
    <t>Будівництво інших об`єктів комунальної власності</t>
  </si>
  <si>
    <t>3719110</t>
  </si>
  <si>
    <t>9110</t>
  </si>
  <si>
    <t>Реверсна дотація</t>
  </si>
  <si>
    <t>УСЬОГО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</si>
  <si>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</si>
  <si>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</si>
  <si>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Програма розвитку та підтримки первинної медико-санітарної допомоги Южненської міської територіальної громади  на 2021-2023 роки</t>
  </si>
  <si>
    <t>Програма сприяння оборонній і мобілізаційній готовності Южненської міської територіальної громади на 2022-2024 роки</t>
  </si>
  <si>
    <t>Міська програма підтримки аудіовізуальних засобів масової інформації (КОМУНАЛЬНЕ ПІДПРИЄМСТВО ЮЖНЕНСЬКА МІСЬКА СТУДІЯ ТЕЛЕБАЧЕННЯ "МИГ"), засновником яких є Южненська міська рада, на 2021-2023 роки</t>
  </si>
  <si>
    <t>Програма розвитку освіти Южненської міської територіальної громади  на 2022-2024 роки</t>
  </si>
  <si>
    <t>Програма розвитку освіти Южненської міської територіальної громади на 2022-2024 роки</t>
  </si>
  <si>
    <t>Програма оздоровлення та відпочинку дітей Южненської міської територіальної громади на період 2022-2024 роки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</si>
  <si>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2021-2023 роки</t>
  </si>
  <si>
    <t>Рішення ЮМР від 18.06.2020 року № 1760-VII з внесеними змінами від 25.02.2021 року  № 216 -VIIІ шляхом викладення у новій редакції</t>
  </si>
  <si>
    <t>Цільова соціальна програма Молодь Южненської міської територіальної громади на 2022-2024 роки</t>
  </si>
  <si>
    <t>Програма соціального захисту окремих категорій населення Южненської міської територіальної громади на 2021-2023 роки</t>
  </si>
  <si>
    <t>Програма  плану дій щодо реалізації  Конвенції ООН  про права дитини на період до 2023 року Южненської міської територіальної громади</t>
  </si>
  <si>
    <t>Програма розвитку культури в Южненській міській територіальній  громаді на 2022-2024 роки</t>
  </si>
  <si>
    <t>Програма розвитку фізичної культури і спорту в Южненській міській територіальній  громаді на 2021-2023 роки</t>
  </si>
  <si>
    <t>Програма реформування і розвитку житлово-комунального господарства Южненської міської територіальної громади на 2020-2024 роки</t>
  </si>
  <si>
    <t xml:space="preserve"> Програма з локалізації та ліквідації амброзії полинолистої на територій Южненської міської територіальної громади на  2020-2024 роки</t>
  </si>
  <si>
    <t xml:space="preserve"> Екологічна програма заходів з охорони навколишнього природного середовища Южненської міської територіальної громади на 2021-2023 роки</t>
  </si>
  <si>
    <t>Програма розвитку інфраструктури Южненської міської територіальної громади на 2020-2024 роки</t>
  </si>
  <si>
    <t>1511021</t>
  </si>
  <si>
    <t>Рішення ЮМР від 22.07.2021 року № 476-VІІІ з внесеними змінами від 23.12.2021 року  № 903 -VIIІ шляхом викладення у новій редакції</t>
  </si>
  <si>
    <t>Заходи та роботи з територіальної оборони</t>
  </si>
  <si>
    <t>0218230</t>
  </si>
  <si>
    <t>Інші заходи громадського порядку та безпеки</t>
  </si>
  <si>
    <t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</si>
  <si>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</si>
  <si>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</si>
  <si>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</si>
  <si>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</si>
  <si>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</si>
  <si>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</si>
  <si>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</si>
  <si>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</si>
  <si>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</si>
  <si>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</si>
  <si>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</si>
  <si>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</si>
  <si>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</si>
  <si>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</si>
  <si>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</si>
  <si>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</si>
  <si>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</si>
  <si>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</si>
  <si>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</si>
  <si>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</si>
  <si>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</si>
  <si>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</si>
  <si>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до рішення Южненської міської ради</t>
  </si>
  <si>
    <t xml:space="preserve">"Про бюджет  Южненської міської  </t>
  </si>
  <si>
    <t>Код 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</si>
  <si>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</si>
  <si>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 xml:space="preserve">Найменування  об'єкта  будівництва/вид будівельних робіт, у тому числі проектні роботи </t>
  </si>
  <si>
    <t>Загальна тривалість будівництва       ( рік початку і закінчення)</t>
  </si>
  <si>
    <t xml:space="preserve">Загальна вартість робіт, гривень </t>
  </si>
  <si>
    <t>Обсяг видатків бюджету розвитку, які спрямовані на будівництво об'єкта на початок бюджетного періоду, гривень</t>
  </si>
  <si>
    <t>Рівень виконання робіт на початок бюджетного періоду,%</t>
  </si>
  <si>
    <t>Обсяг видатків бюджету розвитку, які спрямовуються на будівництво об'єкта у бюджетному періоді, гривень</t>
  </si>
  <si>
    <t>Рівень  готовності об'єкта на кінець бюджетного періоду, %</t>
  </si>
  <si>
    <t>1</t>
  </si>
  <si>
    <t>2</t>
  </si>
  <si>
    <t>3</t>
  </si>
  <si>
    <t>5</t>
  </si>
  <si>
    <t>6</t>
  </si>
  <si>
    <t>7</t>
  </si>
  <si>
    <t>8</t>
  </si>
  <si>
    <t>9</t>
  </si>
  <si>
    <t>10</t>
  </si>
  <si>
    <t xml:space="preserve">Виконавчий комітет Южненської міської ради Одеського району Одеської області </t>
  </si>
  <si>
    <t>Придбання обладнання і предметів довгострокового користування</t>
  </si>
  <si>
    <t xml:space="preserve">Управління житлово-комунального господарства Южненської міської ради Одеського району Одеської області </t>
  </si>
  <si>
    <t>Керівництво і управління у відповідній сфері у містах (місті Києві), селищах, селах,  територіальних громадах</t>
  </si>
  <si>
    <t xml:space="preserve">Управління капітального будівництва Южненської міської ради Одеського району Одеської області </t>
  </si>
  <si>
    <t xml:space="preserve">2022-2023 роки </t>
  </si>
  <si>
    <t>проектно-вишукувальні роботи</t>
  </si>
  <si>
    <t>х</t>
  </si>
  <si>
    <t>Секретар Южненської міської ради</t>
  </si>
  <si>
    <t>Оксана ВОРОТНІКОВА</t>
  </si>
  <si>
    <t>Утримання та фінансова підтримка спортивних споруд</t>
  </si>
  <si>
    <t>Рішення ЮМР від 18.06.2020 року № 1771-VIІ  з внесеними змінами від 28.10.2022 року  № 1096 -VIIІ шляхом викладення у новій редакції</t>
  </si>
  <si>
    <t xml:space="preserve">                                                                                                                                до  рішення Южненської міської ради</t>
  </si>
  <si>
    <t xml:space="preserve">                                                                                                                            "Про  бюджет Южненської міської 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</si>
  <si>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</si>
  <si>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</si>
  <si>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</si>
  <si>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</si>
  <si>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</si>
  <si>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</si>
  <si>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</si>
  <si>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</si>
  <si>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</si>
  <si>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</si>
  <si>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</si>
  <si>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 (пільгове медичне обслуговування громадян, які постраждали внаслідок Чорнобильської катастрофи)</t>
  </si>
  <si>
    <t>15100000000</t>
  </si>
  <si>
    <t>Інші субвенції з місцевого бюджету (видатки на поховання учасників бойових дій та осіб з інвалідністю внаслідок війни)</t>
  </si>
  <si>
    <t>Інші субвенції з місцевого бюджету (компенсаційні виплати особам з інвалідністю на бензин,ремонт,технічне обслуговування автомобілів, мотоколясок і на транспортне обслуговування)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</si>
  <si>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</si>
  <si>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</si>
  <si>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</si>
  <si>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</si>
  <si>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</si>
  <si>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</si>
  <si>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</si>
  <si>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</si>
  <si>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</si>
  <si>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Районий бюджет Одеського району </t>
  </si>
  <si>
    <t>ІІ. Трансферти із спеціального фонду бюджету</t>
  </si>
  <si>
    <t xml:space="preserve">"Про  бюджет Южненської міської 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</si>
  <si>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</si>
  <si>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</si>
  <si>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</si>
  <si>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Надходження коштів пайової участі у розвитку інфраструктури населеного пункту</t>
  </si>
  <si>
    <t>Кошти від відчуження майна, що належить Автономній Республіці Крим та майна, що перебуває в комунальній власності  </t>
  </si>
  <si>
    <t>Розподіл витрат місцевого бюджету на реалізацію місцевих програм у 2023 році</t>
  </si>
  <si>
    <t>територіальної громади  на 2023 рік"</t>
  </si>
  <si>
    <t>Програма місцевих стимулів для працівників Комунального некомерційного підприємства"Южненська міська лікарня" Южненської міської ради на 2023-2025 роки</t>
  </si>
  <si>
    <t>Програма підтримки та розвитку вторинної медичної допомоги Южненської міської територіальної громади на  період 2023-2025 роки</t>
  </si>
  <si>
    <t xml:space="preserve">Рішення ЮМР від 28.10.2022 року            №1091 -VIIІ </t>
  </si>
  <si>
    <t xml:space="preserve"> Комплексна цільова програма "Електронна громада" на 2021-2023 роки</t>
  </si>
  <si>
    <t>Програма забезпечення діяльності Южненського комунального підприємства "Муніципальна варта" на 2022-2024 роки</t>
  </si>
  <si>
    <t>Рішення ЮМР від 22.07.2021 року № 479-VIIІ з внесеними змінами від 28.10.2022 року № 1113-VIIІ шляхом викладення у новій редакції</t>
  </si>
  <si>
    <t>територіальної громади на 2023 рік"</t>
  </si>
  <si>
    <t xml:space="preserve">Розподіл коштів бюджету розвитку на   2023 рік </t>
  </si>
  <si>
    <t>Додаток 1</t>
  </si>
  <si>
    <t>Доходи місцевого бюджету на 2023 рік</t>
  </si>
  <si>
    <t>1559100000</t>
  </si>
  <si>
    <t>Найменування згідно з Класифікацією доходів бюджету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</si>
  <si>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</si>
  <si>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</si>
  <si>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</si>
  <si>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</si>
  <si>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</si>
  <si>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</si>
  <si>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</si>
  <si>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</si>
  <si>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</si>
  <si>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</si>
  <si>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</si>
  <si>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</si>
  <si>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</si>
  <si>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</si>
  <si>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</si>
  <si>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</si>
  <si>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</si>
  <si>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</si>
  <si>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</si>
  <si>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</si>
  <si>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</si>
  <si>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</si>
  <si>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</si>
  <si>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</si>
  <si>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</si>
  <si>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</si>
  <si>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</si>
  <si>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</si>
  <si>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</si>
  <si>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</si>
  <si>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</si>
  <si>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</si>
  <si>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</si>
  <si>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</si>
  <si>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</si>
  <si>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</si>
  <si>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21081700</t>
  </si>
  <si>
    <t>Плата за встановлення земельного сервітуту</t>
  </si>
  <si>
    <t>22000000</t>
  </si>
  <si>
    <t>Адміністративні збори та платежі, доходи від некомерційної господарської діяльності 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</si>
  <si>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</si>
  <si>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</si>
  <si>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</si>
  <si>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22012600</t>
  </si>
  <si>
    <t>22080400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</si>
  <si>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</si>
  <si>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</si>
  <si>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</si>
  <si>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</si>
  <si>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</si>
  <si>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</si>
  <si>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24062200</t>
  </si>
  <si>
    <t>24170000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</si>
  <si>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</si>
  <si>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</si>
  <si>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</si>
  <si>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</si>
  <si>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30000000</t>
  </si>
  <si>
    <t>Доходи від операцій з капіталом  </t>
  </si>
  <si>
    <t>31030000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</si>
  <si>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</si>
  <si>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</si>
  <si>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</si>
  <si>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</si>
  <si>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</si>
  <si>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</si>
  <si>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</si>
  <si>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</si>
  <si>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</si>
  <si>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Разом доходів</t>
  </si>
  <si>
    <t>Додаток 2</t>
  </si>
  <si>
    <t>Фінансування місцевого бюджету на 2023 рік</t>
  </si>
  <si>
    <t xml:space="preserve">                                                                                                                              територіальної громади  на 2023 рік"</t>
  </si>
  <si>
    <t>Додаток 3</t>
  </si>
  <si>
    <t>РОЗПОДІЛ</t>
  </si>
  <si>
    <t>видатків місцевого бюджету на 2023 рік</t>
  </si>
  <si>
    <t>РАЗОМ</t>
  </si>
  <si>
    <t>з них</t>
  </si>
  <si>
    <t>видатки розвитку</t>
  </si>
  <si>
    <t>комунальні послуги та енергоносії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</si>
  <si>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</si>
  <si>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</si>
  <si>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</si>
  <si>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0217680</t>
  </si>
  <si>
    <t>7680</t>
  </si>
  <si>
    <t>0490</t>
  </si>
  <si>
    <t>Членські внески до асоціацій органів місцевого самоврядування</t>
  </si>
  <si>
    <t>8230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</si>
  <si>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</si>
  <si>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</si>
  <si>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0611031</t>
  </si>
  <si>
    <t>1031</t>
  </si>
  <si>
    <t>0611141</t>
  </si>
  <si>
    <t>1141</t>
  </si>
  <si>
    <t>Забезпечення діяльності інших закладів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</si>
  <si>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</si>
  <si>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</si>
  <si>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</si>
  <si>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0810160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</si>
  <si>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</si>
  <si>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</si>
  <si>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</si>
  <si>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</si>
  <si>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</si>
  <si>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</si>
  <si>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</si>
  <si>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</si>
  <si>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</si>
  <si>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0910160</t>
  </si>
  <si>
    <t>1010160</t>
  </si>
  <si>
    <t>1014081</t>
  </si>
  <si>
    <t>4081</t>
  </si>
  <si>
    <t>Забезпечення діяльності інших закладів в галузі культури і мистецтва</t>
  </si>
  <si>
    <t>1015041</t>
  </si>
  <si>
    <t>5041</t>
  </si>
  <si>
    <t>1510160</t>
  </si>
  <si>
    <t>1600000</t>
  </si>
  <si>
    <t>Управління архітектури та містобудування Южненської міської ради Одеського району Одеської області</t>
  </si>
  <si>
    <t>1610000</t>
  </si>
  <si>
    <t>1610160</t>
  </si>
  <si>
    <t>2700000</t>
  </si>
  <si>
    <t>Управління економіки Южненської міської ради Одеського району Одеської області</t>
  </si>
  <si>
    <t>2710000</t>
  </si>
  <si>
    <t>2710160</t>
  </si>
  <si>
    <t>3100000</t>
  </si>
  <si>
    <t>Фонд комунального майна Южненської міської ради Одеського району Одеської області</t>
  </si>
  <si>
    <t>3110000</t>
  </si>
  <si>
    <t>3110160</t>
  </si>
  <si>
    <t>3700000</t>
  </si>
  <si>
    <t>Фінансове управління Южненської міської ради Одеського району Одеської області</t>
  </si>
  <si>
    <t>3710000</t>
  </si>
  <si>
    <t>3710160</t>
  </si>
  <si>
    <t>3718710</t>
  </si>
  <si>
    <t>8710</t>
  </si>
  <si>
    <t>0133</t>
  </si>
  <si>
    <t>Резервний фонд місцевого бюджету</t>
  </si>
  <si>
    <t>0180</t>
  </si>
  <si>
    <t>( пункт 2)</t>
  </si>
  <si>
    <t>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області, в т.ч.:</t>
  </si>
  <si>
    <t>Додаток 6</t>
  </si>
  <si>
    <t>Міжбюджетні трансферти на 2023 рік</t>
  </si>
  <si>
    <t>Реконструкція нежитлових приміщень № 2-7, № 9-13 та № 17-39 в житлові, які розташовані на першому поверсі гуртожитку  для розміщення внутрішньо переміщених (евакуйованих) осіб за адресою: Одеська область, Одеський район, м. Южне, вул. Новобілярська, 26-Б</t>
  </si>
  <si>
    <t>оплата праці з нарахуваннями 2110/2120</t>
  </si>
  <si>
    <t>від  07 грудня  2022 року</t>
  </si>
  <si>
    <t>№ 1187-VIII</t>
  </si>
  <si>
    <t>від 07 грудня  2022 року</t>
  </si>
  <si>
    <t>№  1187 -VIІІ</t>
  </si>
  <si>
    <t>№  1187 - VIІІ</t>
  </si>
  <si>
    <r>
      <t xml:space="preserve">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від 07 грудня  2022 року</t>
    </r>
  </si>
  <si>
    <r>
      <t xml:space="preserve">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№ 1187 -VIІІ</t>
    </r>
  </si>
  <si>
    <t>№ 1187 -VIІІ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</si>
  <si>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</si>
  <si>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</si>
  <si>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</si>
  <si>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</si>
  <si>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Плата за землю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</si>
  <si>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</si>
  <si>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</si>
  <si>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</si>
  <si>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</si>
  <si>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Податок на нерухоме майно, відмінне від земельної ділянки</t>
  </si>
  <si>
    <t xml:space="preserve">Секретар Южненської міської ради                                                                                                       Оксана ВОРОТНІКОВА                                                         </t>
  </si>
  <si>
    <t>"Додаток 1</t>
  </si>
  <si>
    <t>(пункт 1)"</t>
  </si>
  <si>
    <t>( пункт 1.1)</t>
  </si>
  <si>
    <t>"Додаток 2</t>
  </si>
  <si>
    <t>( пункт 1)"</t>
  </si>
  <si>
    <t>( пункт 1.2)</t>
  </si>
  <si>
    <t>"Додаток 3</t>
  </si>
  <si>
    <t>( пункт 2)"</t>
  </si>
  <si>
    <t xml:space="preserve">                                                                           до рішення Южненської міської ради</t>
  </si>
  <si>
    <t xml:space="preserve">                                                                                         Додаток 4</t>
  </si>
  <si>
    <t xml:space="preserve">                                          ( пункт 3)"</t>
  </si>
  <si>
    <t>Додаток 5</t>
  </si>
  <si>
    <t>(пункт 4)"</t>
  </si>
  <si>
    <t>(пункт 5)"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</si>
  <si>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</si>
  <si>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 освітньої субвенції</t>
  </si>
  <si>
    <t>41050000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</si>
  <si>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</si>
  <si>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</si>
  <si>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</si>
  <si>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</si>
  <si>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</si>
  <si>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</si>
  <si>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</si>
  <si>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</si>
  <si>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</si>
  <si>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</si>
  <si>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0813090</t>
  </si>
  <si>
    <t>3090</t>
  </si>
  <si>
    <t>Видатки на поховання учасників бойових дій та осіб з інвалідністю внаслідок війни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</si>
  <si>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</si>
  <si>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</si>
  <si>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</si>
  <si>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0218110</t>
  </si>
  <si>
    <t>0320</t>
  </si>
  <si>
    <t>Заходи із запобігання та ліквідації надзввичайних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</si>
  <si>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</si>
  <si>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</si>
  <si>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Заходи із запобігання та ліквідації надзвичайних ситуацій та наслідків стихійного лиха</t>
  </si>
  <si>
    <t>Інші субвенції з місцевого бюджету</t>
  </si>
  <si>
    <t>3117693</t>
  </si>
  <si>
    <t>7693</t>
  </si>
  <si>
    <t>0218240</t>
  </si>
  <si>
    <t>8240</t>
  </si>
  <si>
    <t xml:space="preserve"> 
Заходи та роботи з територіальної оборони</t>
  </si>
  <si>
    <t>0217650</t>
  </si>
  <si>
    <t>7650</t>
  </si>
  <si>
    <t>Проведення експертної грошової оцінки земельної ділянки чи права на неї</t>
  </si>
  <si>
    <t>0618110</t>
  </si>
  <si>
    <t>8110</t>
  </si>
  <si>
    <t>1217640</t>
  </si>
  <si>
    <t>7640</t>
  </si>
  <si>
    <t>0470</t>
  </si>
  <si>
    <t>Заходи з енергозбереження</t>
  </si>
  <si>
    <t>1512010</t>
  </si>
  <si>
    <t>1514060</t>
  </si>
  <si>
    <t>Забезпечення діяльності палаців і будинків культури, клубів, центрів дозвілля та інших клубних закладів</t>
  </si>
  <si>
    <t>1516030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</si>
  <si>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</si>
  <si>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</si>
  <si>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</si>
  <si>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</si>
  <si>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</si>
  <si>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</si>
  <si>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1517461</t>
  </si>
  <si>
    <t>1517693</t>
  </si>
  <si>
    <t>Інші заходи, пов'язані з економічною діяльністю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</si>
  <si>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</si>
  <si>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</si>
  <si>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</si>
  <si>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</si>
  <si>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</si>
  <si>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</si>
  <si>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області, у т.ч.:</t>
  </si>
  <si>
    <t>коригування проектно-вишукувальної документації</t>
  </si>
  <si>
    <t>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області, у т.ч.: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</si>
  <si>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Хіміків, 1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</si>
  <si>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Будівельників, 19</t>
  </si>
  <si>
    <t>Капітальний ремонт котельні селищного клубу розташованого за адресою: вул. Театральна, 4, смт Нові Білярі, Одеського району, Одеської області, в т.ч.:</t>
  </si>
  <si>
    <t>проектні роботи</t>
  </si>
  <si>
    <t>Реконструкція внутрішньоквартального проїзду від проспекту Миру до проспекту Григорівського десанту м. Южного Одеської області, в т.ч.: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</si>
  <si>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</si>
  <si>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Реконструкція благоустрою загальноміських територій з влаштуванням дитячого майданчику на території Приморського парку м. Южного Одеської області</t>
  </si>
  <si>
    <t>Реконструкція благоустрою загальноміських територій з влаштуванням дитячого майданчику між житловими будинками по просп.Григорівського десанту,12 та просп.Григорівського десанту,14 м.Южного Одеської області</t>
  </si>
  <si>
    <t>Проектно-вишукувальні роботи "Реконструкція будівлі з прибудовою та надбудовою додаткових приміщень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 м. Южного Одеської області"</t>
  </si>
  <si>
    <t>Реконструкція системи газопостачання в Сичавському будинку культури Одеського району Одеської області, за адресою: с.Сичавка, вул.Цветаєва 2А, в т.ч.:</t>
  </si>
  <si>
    <t>Реконструкція будівлі адміністративного приміщення для розміщення внутрішньо переміщених (евакуйованих) осіб зі створенням  на другому та третьому поверхах гуртожитку за адресою: Одеська область, Одеський район, смт. Нові Білярі, вул. Лиманна,  2, в т.ч.:</t>
  </si>
  <si>
    <t>Реконструкція проїжджої частини дороги за ПК "Дружба" м.Южного Одеської області в т.ч.:</t>
  </si>
  <si>
    <t>Капітальний ремонт автоматичної системи протипожежного захисту в будівлі комунальної власності по вул. Новобілярській, буд. 26-Б, м.Южного Одеської області</t>
  </si>
  <si>
    <t>Проектно-вишукувальні роботи "Капітальний ремонт частини будівлі та прибудинкової території за адресою: вул. Хіміків, 17, м.Южного Одеської області"</t>
  </si>
  <si>
    <t>Виготовлення проектів землеустрою щодо відведення земельних ділянок для продажу їх оренди на земельних торгах</t>
  </si>
  <si>
    <t xml:space="preserve">2021-2023 роки </t>
  </si>
  <si>
    <t xml:space="preserve">2020-2023 роки </t>
  </si>
  <si>
    <t>Программа підтримки органу самоорганізації населення в місті Южному на 2023-2025 роки</t>
  </si>
  <si>
    <t xml:space="preserve">Програма розвитку цивільного захисту, техногенної та пожежної безпеки на території Южненської  міської територіальної громади на 2022-2026 роки </t>
  </si>
  <si>
    <t xml:space="preserve">Програма підвищення ефективності діяльності підрозділів Одеського прикордонного загону на 2022-2024 роки </t>
  </si>
  <si>
    <t xml:space="preserve"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 </t>
  </si>
  <si>
    <t>Програма розвитку цивільного захисту, техногенної та пожежної безпеки на території Южненської  міської територіальної громади на 2022-2026 роки</t>
  </si>
  <si>
    <t>Програма надання фінансової підтримки об`єднанням співвласників багатоквартирних будинків Южненської міської територіальної громади-учасникам Програми підтримки енергомодернізації багатоквартирних будинків "Енергодім" на 2022-2025 роки"</t>
  </si>
  <si>
    <t xml:space="preserve">Програма розвитку інфраструктури Южненської міської територіальної громади на 2020-2024 роки  </t>
  </si>
  <si>
    <t xml:space="preserve">Рішення ЮМР від 30.09.2021 року № 604-VIІІ з внесеними змінами  від 01.12.2022 року №  1133  -VIII шляхом викладення  у новій редакції  </t>
  </si>
  <si>
    <t>Програма зміцнення законності, безпеки та порядку на території Южненської міської територіальної громади Одеського району Одеської області на 2022-2024 роки</t>
  </si>
  <si>
    <t>Рішення ЮМР від 22.12.2020 року №49 -VIIІ</t>
  </si>
  <si>
    <t xml:space="preserve">Рішення ЮМР від  01.12.2022 року   №1170 -VIIІ </t>
  </si>
  <si>
    <t>Рішення ЮМР від 07.12.2022року               №1177-VIIІ</t>
  </si>
  <si>
    <t xml:space="preserve">Видатки на проведення експертної грошової оцінки земельних ділянок, що підлягають продажу </t>
  </si>
  <si>
    <t>"Додаток 7</t>
  </si>
  <si>
    <t>"Додаток  10</t>
  </si>
  <si>
    <t xml:space="preserve">                                                                                                            "Додаток 5</t>
  </si>
  <si>
    <t>Капітальний ремонт з теплоізоляції огороджувальних конструкцій та внутрішніх інженерних систем багатоквартирного будинку за адресою: №26 по проспекту Миру, м.Южне, Одеської області (на умовах співфінансування  з місцевого бюджету у розмірі 10%)</t>
  </si>
  <si>
    <t>(на погашення кредиторської заборгованості  станом на 01.01.23 р.)</t>
  </si>
  <si>
    <t>Інші субвенції  з місцевого бюджету</t>
  </si>
  <si>
    <t>1019770</t>
  </si>
  <si>
    <t>Рішення ЮМР від 22.12.2020 року № 58 - VIIІ з внесеними змінами від 07.03. 2023 року   № 1229 -VIIІ шляхом викладення у новій редакції</t>
  </si>
  <si>
    <t xml:space="preserve">Рішення ЮМР від 22.12.2020 року № 64-VIIІ з внесеними змінами   від  07.03. 2023 року № 1227 -VIIІ шляхом викладення у новій редакції </t>
  </si>
  <si>
    <t xml:space="preserve">Рішення ЮМР від 22.07.2021 року № 474-VІІІ з внесеним змінами від  09.03. 2023 року № 1306 -VІІІ шляхом викладення у новій редакції        </t>
  </si>
  <si>
    <t>Рішення ЮМР від 22.07.2021 року № 473-VІІІ з внесеними змінами від 09.03. 2023 року № 1304  -VІІІ шляхом викладення у новій редакції</t>
  </si>
  <si>
    <t>Рішення ЮМР від 22.12.2020 року № 42-VIІI з внесеними змінами  від 09.03. 2023 року  № 1308 -VIІI шляхом викладення у новій редакції</t>
  </si>
  <si>
    <t xml:space="preserve">Рішення ЮМР від 22.09.2022  року  № 1078-VIIІз внесеними змінами від 07.03.2023 року № 1217 -VIIІ шляхом викладення у новій редакції      </t>
  </si>
  <si>
    <t>Рішення ЮМР від 28.10.2022 року           №1092-VIIІ з внесеними змінами від                                07.03. 2023 року   № 1232 -VIII шляхом викладення у новій редакції</t>
  </si>
  <si>
    <t>3118311</t>
  </si>
  <si>
    <t>Охорона та раціональне використання природних ресурсів</t>
  </si>
  <si>
    <t>0511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</si>
  <si>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</si>
  <si>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</si>
  <si>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</si>
  <si>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</si>
  <si>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</si>
  <si>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</si>
  <si>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</si>
  <si>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8311</t>
  </si>
  <si>
    <t>1516013</t>
  </si>
  <si>
    <t>Проектні роботи "Нове будівництво мереж зливової каналізації з відновленням благоустрою біля будівлі за адресою: Одеська область, Одеський район, м.Южне, вул. Приморська, 19-Б"</t>
  </si>
  <si>
    <t>2023 рік</t>
  </si>
  <si>
    <t>Проектні роботи: "Капітальний ремонт частини приміщень нежитлової будівлі , яка розташована за адресою: Одеська область, Одеський район, м. Южне, проспект Григорівського десанту, 25"</t>
  </si>
  <si>
    <t xml:space="preserve">                                     ( пункт 2)</t>
  </si>
  <si>
    <t>Рішення ЮМР від 23.12.2021 року  №  900-VIIІ з внесеними змінами від  04.05. 2023 року № 1327 -VIIІ шляхом викладення у новій редакції</t>
  </si>
  <si>
    <t>Рішення ЮМР від 22.07.2021 року № 470-VІІІ з внесеними змінами  від 04.05.2023 року № 1317 -VIIІ  , шляхом викладення у новій редакції</t>
  </si>
  <si>
    <t xml:space="preserve">Рішення ЮМР від 18.06.2020 року № 1758-VII з внесеними змінами  від 04.05. 2023 року   № 1321 -VIIІ  шляхом викладення у новій редакції </t>
  </si>
  <si>
    <t>Рішення ЮМР від 20.08.2020 року №1853-VІI з внесеними змінами від 04.05.2023 року  №1341 -VIIІ шляхом викладення у новій редакції</t>
  </si>
  <si>
    <t>Рішення Южненської міської ради від 19.09.2019 року № 1529-VII з внесеними змінами від  04.05. 2023року  № 1337  -VIIІ шляхом викладення у новій редакції</t>
  </si>
  <si>
    <t>Рішення ЮМР від 22.07.2021 року №480-VIІІ з внесеними змінами від 04.05.2023 року № 1325-VIII  шляхом викладення  у новій редакції</t>
  </si>
  <si>
    <t>від                   2023 року</t>
  </si>
  <si>
    <t xml:space="preserve">№               -VIII                                                </t>
  </si>
  <si>
    <r>
      <t xml:space="preserve">                                                                   </t>
    </r>
    <r>
      <rPr>
        <u/>
        <sz val="14"/>
        <rFont val="Times New Roman"/>
        <family val="1"/>
        <charset val="204"/>
      </rPr>
      <t xml:space="preserve"> від                         2023 року</t>
    </r>
  </si>
  <si>
    <r>
      <t xml:space="preserve">                                              </t>
    </r>
    <r>
      <rPr>
        <u/>
        <sz val="14"/>
        <rFont val="Times New Roman"/>
        <family val="1"/>
        <charset val="204"/>
      </rPr>
      <t xml:space="preserve"> №         - VIII </t>
    </r>
  </si>
  <si>
    <t>Забезпечення діяльності з виробництва, транспортування, постачання теплової енергії</t>
  </si>
  <si>
    <t>1516012</t>
  </si>
  <si>
    <t>6012</t>
  </si>
  <si>
    <t>15816012</t>
  </si>
  <si>
    <t>коригування проектної документації</t>
  </si>
  <si>
    <t>2020,2023 роки</t>
  </si>
  <si>
    <t>від                       2023 року</t>
  </si>
  <si>
    <t>№                 -VIІІ</t>
  </si>
  <si>
    <t>№                    -VIІІ</t>
  </si>
  <si>
    <t>від                           2023 року</t>
  </si>
  <si>
    <t>№             -VIІІ</t>
  </si>
  <si>
    <t>Рішення ЮМР від 25.07.2019 року №1438-VII з внесеними змінами  від                    2023  року №               -VIII, шляхом викладення у новій редакції</t>
  </si>
  <si>
    <t>Рішення ЮМР від 21.10.2021 року                                  № 706-VIIІ з внесеними змінами  від                    2023  року №               -VIII, шляхом викладення у новій редакції</t>
  </si>
  <si>
    <t>від                  2023 року</t>
  </si>
  <si>
    <t xml:space="preserve">№             - VIII </t>
  </si>
  <si>
    <t>( пункти 1.3)</t>
  </si>
  <si>
    <t>( пункт 1.4)</t>
  </si>
  <si>
    <t xml:space="preserve">Рішення ЮМР від  04.03.2022 року  № 948-VIIІ з внесеними змінами від             2023 року №          -VIIІ шляхом викладення у новій редакції </t>
  </si>
  <si>
    <t>Програма протидії злочинності та посилення публічної безпеки на території Южненської  міської територіальної громади Одеського району Одеської області на 2021-2023 роки</t>
  </si>
  <si>
    <t>Рішення ЮМР від 30.07.2021 року № 510-VIIІ з внесеними змінами  від               2023 року №   - VIIІ  , шляхом викладення у новій редакції</t>
  </si>
  <si>
    <t>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області,в т.ч.:</t>
  </si>
  <si>
    <t>Капітальний ремонт дороги по пр.Григорівського десанту від світлофору по вул. Хіміків до знаку "Якір" м.Южного Одеської області, в.т.ч.: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</si>
</sst>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\-#,##0;#,&quot;-&quot;"/>
    <numFmt numFmtId="165" formatCode="_-* #,##0.00\ _г_р_н_._-;\-* #,##0.00\ _г_р_н_._-;_-* &quot;-&quot;??\ _г_р_н_._-;_-@_-"/>
    <numFmt numFmtId="166" formatCode="_-* #,##0\ _г_р_н_._-;\-* #,##0\ _г_р_н_._-;_-* &quot;-&quot;??\ _г_р_н_._-;_-@_-"/>
    <numFmt numFmtId="167" formatCode="0.0%"/>
    <numFmt numFmtId="168" formatCode="#,##0.00;\-#,##0.00;#,&quot;-&quot;"/>
    <numFmt numFmtId="169" formatCode="#,##0.00;[Red]#,##0.00"/>
  </numFmts>
  <fonts count="52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3" fillId="0" borderId="0"/>
    <xf numFmtId="0" fontId="11" fillId="0" borderId="0"/>
  </cellStyleXfs>
  <cellXfs count="8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center" wrapText="1"/>
    </xf>
    <xf numFmtId="164" fontId="5" fillId="2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2" xfId="0" quotePrefix="1" applyFont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49" fontId="7" fillId="0" borderId="9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2" borderId="5" xfId="0" quotePrefix="1" applyFont="1" applyFill="1" applyBorder="1" applyAlignment="1">
      <alignment vertical="center" wrapText="1"/>
    </xf>
    <xf numFmtId="164" fontId="6" fillId="2" borderId="25" xfId="0" applyNumberFormat="1" applyFont="1" applyFill="1" applyBorder="1" applyAlignment="1">
      <alignment horizontal="right" vertical="center"/>
    </xf>
    <xf numFmtId="0" fontId="5" fillId="0" borderId="32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7" fillId="2" borderId="10" xfId="0" applyNumberFormat="1" applyFont="1" applyFill="1" applyBorder="1" applyAlignment="1">
      <alignment horizontal="right"/>
    </xf>
    <xf numFmtId="164" fontId="17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horizontal="right" vertic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/>
    <xf numFmtId="164" fontId="6" fillId="2" borderId="15" xfId="0" applyNumberFormat="1" applyFont="1" applyFill="1" applyBorder="1" applyAlignment="1">
      <alignment horizontal="right"/>
    </xf>
    <xf numFmtId="164" fontId="17" fillId="2" borderId="1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49" fontId="20" fillId="0" borderId="39" xfId="0" applyNumberFormat="1" applyFont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49" fontId="20" fillId="3" borderId="15" xfId="0" applyNumberFormat="1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right" vertical="center" wrapText="1"/>
    </xf>
    <xf numFmtId="3" fontId="20" fillId="3" borderId="40" xfId="0" applyNumberFormat="1" applyFont="1" applyFill="1" applyBorder="1" applyAlignment="1">
      <alignment horizontal="right" vertical="center" wrapText="1"/>
    </xf>
    <xf numFmtId="166" fontId="20" fillId="2" borderId="40" xfId="0" applyNumberFormat="1" applyFont="1" applyFill="1" applyBorder="1" applyAlignment="1">
      <alignment horizontal="right" vertical="center" wrapText="1"/>
    </xf>
    <xf numFmtId="9" fontId="20" fillId="3" borderId="16" xfId="0" applyNumberFormat="1" applyFont="1" applyFill="1" applyBorder="1" applyAlignment="1">
      <alignment horizontal="right" vertical="center" wrapText="1"/>
    </xf>
    <xf numFmtId="49" fontId="24" fillId="0" borderId="26" xfId="0" applyNumberFormat="1" applyFont="1" applyBorder="1" applyAlignment="1">
      <alignment horizontal="center" vertical="center"/>
    </xf>
    <xf numFmtId="49" fontId="20" fillId="3" borderId="27" xfId="0" applyNumberFormat="1" applyFont="1" applyFill="1" applyBorder="1" applyAlignment="1">
      <alignment horizontal="center" vertical="center" wrapText="1"/>
    </xf>
    <xf numFmtId="3" fontId="24" fillId="3" borderId="27" xfId="0" applyNumberFormat="1" applyFont="1" applyFill="1" applyBorder="1" applyAlignment="1">
      <alignment horizontal="right" vertical="center" wrapText="1"/>
    </xf>
    <xf numFmtId="3" fontId="24" fillId="3" borderId="41" xfId="0" applyNumberFormat="1" applyFont="1" applyFill="1" applyBorder="1" applyAlignment="1">
      <alignment horizontal="right" vertical="center" wrapText="1"/>
    </xf>
    <xf numFmtId="166" fontId="24" fillId="0" borderId="41" xfId="1" applyNumberFormat="1" applyFont="1" applyFill="1" applyBorder="1" applyAlignment="1">
      <alignment horizontal="right" vertical="center" wrapText="1"/>
    </xf>
    <xf numFmtId="9" fontId="24" fillId="3" borderId="28" xfId="0" applyNumberFormat="1" applyFont="1" applyFill="1" applyBorder="1" applyAlignment="1">
      <alignment horizontal="right" vertical="center" wrapText="1"/>
    </xf>
    <xf numFmtId="166" fontId="20" fillId="3" borderId="15" xfId="1" applyNumberFormat="1" applyFont="1" applyFill="1" applyBorder="1" applyAlignment="1">
      <alignment horizontal="right" vertical="center" wrapText="1"/>
    </xf>
    <xf numFmtId="166" fontId="24" fillId="3" borderId="18" xfId="1" applyNumberFormat="1" applyFont="1" applyFill="1" applyBorder="1" applyAlignment="1">
      <alignment horizontal="right" vertical="center" wrapText="1"/>
    </xf>
    <xf numFmtId="9" fontId="20" fillId="3" borderId="19" xfId="0" applyNumberFormat="1" applyFont="1" applyFill="1" applyBorder="1" applyAlignment="1">
      <alignment horizontal="right" vertical="center" wrapText="1"/>
    </xf>
    <xf numFmtId="166" fontId="20" fillId="3" borderId="0" xfId="1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3" fontId="28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/>
    <xf numFmtId="0" fontId="5" fillId="0" borderId="41" xfId="0" applyFont="1" applyBorder="1" applyAlignment="1">
      <alignment horizontal="center" vertical="center" wrapText="1"/>
    </xf>
    <xf numFmtId="0" fontId="6" fillId="0" borderId="40" xfId="0" quotePrefix="1" applyFont="1" applyBorder="1" applyAlignment="1">
      <alignment vertical="center" wrapText="1"/>
    </xf>
    <xf numFmtId="0" fontId="5" fillId="0" borderId="23" xfId="0" quotePrefix="1" applyFont="1" applyBorder="1" applyAlignment="1">
      <alignment vertical="center" wrapText="1"/>
    </xf>
    <xf numFmtId="0" fontId="8" fillId="0" borderId="35" xfId="0" quotePrefix="1" applyFont="1" applyBorder="1" applyAlignment="1">
      <alignment vertical="center" wrapText="1"/>
    </xf>
    <xf numFmtId="0" fontId="5" fillId="2" borderId="32" xfId="0" quotePrefix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7" fillId="0" borderId="0" xfId="0" applyFont="1"/>
    <xf numFmtId="0" fontId="7" fillId="0" borderId="0" xfId="0" applyFont="1" applyFill="1" applyAlignment="1">
      <alignment vertic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vertical="center" wrapText="1"/>
    </xf>
    <xf numFmtId="0" fontId="7" fillId="0" borderId="2" xfId="0" applyFont="1" applyBorder="1"/>
    <xf numFmtId="0" fontId="7" fillId="0" borderId="4" xfId="0" applyFont="1" applyBorder="1"/>
    <xf numFmtId="0" fontId="23" fillId="0" borderId="0" xfId="0" applyFont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23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right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49" fontId="20" fillId="0" borderId="15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49" fontId="24" fillId="0" borderId="27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0" fillId="3" borderId="18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right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3" fontId="24" fillId="0" borderId="18" xfId="0" applyNumberFormat="1" applyFont="1" applyBorder="1" applyAlignment="1">
      <alignment horizontal="right" vertical="center"/>
    </xf>
    <xf numFmtId="9" fontId="24" fillId="0" borderId="19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vertical="center"/>
    </xf>
    <xf numFmtId="167" fontId="25" fillId="0" borderId="1" xfId="0" applyNumberFormat="1" applyFont="1" applyBorder="1" applyAlignment="1">
      <alignment vertical="center"/>
    </xf>
    <xf numFmtId="167" fontId="24" fillId="0" borderId="1" xfId="0" applyNumberFormat="1" applyFont="1" applyBorder="1" applyAlignment="1">
      <alignment vertical="center"/>
    </xf>
    <xf numFmtId="0" fontId="30" fillId="0" borderId="0" xfId="0" applyFont="1"/>
    <xf numFmtId="0" fontId="20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9" fontId="25" fillId="0" borderId="0" xfId="0" applyNumberFormat="1" applyFont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3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3" fontId="30" fillId="0" borderId="0" xfId="0" applyNumberFormat="1" applyFont="1" applyBorder="1" applyAlignment="1">
      <alignment horizontal="left"/>
    </xf>
    <xf numFmtId="2" fontId="15" fillId="0" borderId="0" xfId="0" applyNumberFormat="1" applyFont="1" applyBorder="1" applyAlignment="1">
      <alignment horizontal="left"/>
    </xf>
    <xf numFmtId="164" fontId="6" fillId="0" borderId="15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1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quotePrefix="1" applyFont="1" applyFill="1" applyBorder="1" applyAlignment="1">
      <alignment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0" fontId="8" fillId="0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vertical="center"/>
    </xf>
    <xf numFmtId="0" fontId="6" fillId="0" borderId="0" xfId="0" applyFont="1" applyFill="1"/>
    <xf numFmtId="164" fontId="6" fillId="0" borderId="15" xfId="0" applyNumberFormat="1" applyFont="1" applyFill="1" applyBorder="1" applyAlignment="1">
      <alignment horizontal="right" vertical="center"/>
    </xf>
    <xf numFmtId="164" fontId="8" fillId="0" borderId="18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vertical="center" wrapText="1"/>
    </xf>
    <xf numFmtId="169" fontId="37" fillId="0" borderId="0" xfId="0" applyNumberFormat="1" applyFont="1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3" fontId="24" fillId="0" borderId="1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164" fontId="0" fillId="0" borderId="0" xfId="0" applyNumberFormat="1" applyFill="1"/>
    <xf numFmtId="0" fontId="17" fillId="0" borderId="1" xfId="0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quotePrefix="1" applyFont="1" applyFill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5" fillId="0" borderId="22" xfId="0" applyNumberFormat="1" applyFont="1" applyFill="1" applyBorder="1" applyAlignment="1">
      <alignment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right" vertical="center" wrapText="1"/>
    </xf>
    <xf numFmtId="166" fontId="25" fillId="0" borderId="1" xfId="1" applyNumberFormat="1" applyFont="1" applyFill="1" applyBorder="1" applyAlignment="1">
      <alignment horizontal="right" vertical="center" wrapText="1"/>
    </xf>
    <xf numFmtId="9" fontId="20" fillId="3" borderId="10" xfId="0" applyNumberFormat="1" applyFont="1" applyFill="1" applyBorder="1" applyAlignment="1">
      <alignment horizontal="right" vertical="center" wrapText="1"/>
    </xf>
    <xf numFmtId="0" fontId="5" fillId="0" borderId="43" xfId="0" quotePrefix="1" applyFont="1" applyBorder="1" applyAlignment="1">
      <alignment vertical="center" wrapText="1"/>
    </xf>
    <xf numFmtId="0" fontId="5" fillId="0" borderId="21" xfId="0" quotePrefix="1" applyFont="1" applyBorder="1" applyAlignment="1">
      <alignment vertical="center"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0" xfId="0" applyNumberFormat="1" applyFont="1" applyFill="1"/>
    <xf numFmtId="0" fontId="2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49" fontId="7" fillId="0" borderId="4" xfId="0" applyNumberFormat="1" applyFont="1" applyBorder="1" applyAlignment="1">
      <alignment vertical="center"/>
    </xf>
    <xf numFmtId="0" fontId="0" fillId="0" borderId="0" xfId="0" applyBorder="1"/>
    <xf numFmtId="49" fontId="7" fillId="0" borderId="0" xfId="0" applyNumberFormat="1" applyFont="1" applyBorder="1" applyAlignment="1">
      <alignment vertical="center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7" fillId="0" borderId="18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5" fillId="0" borderId="27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vertical="top" wrapText="1"/>
    </xf>
    <xf numFmtId="49" fontId="5" fillId="0" borderId="12" xfId="0" quotePrefix="1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3" fontId="41" fillId="0" borderId="3" xfId="0" applyNumberFormat="1" applyFont="1" applyFill="1" applyBorder="1" applyAlignment="1">
      <alignment vertical="center" wrapText="1"/>
    </xf>
    <xf numFmtId="3" fontId="41" fillId="0" borderId="1" xfId="0" applyNumberFormat="1" applyFont="1" applyFill="1" applyBorder="1" applyAlignment="1">
      <alignment vertical="center" wrapText="1"/>
    </xf>
    <xf numFmtId="0" fontId="40" fillId="0" borderId="3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/>
    </xf>
    <xf numFmtId="0" fontId="25" fillId="0" borderId="5" xfId="0" applyFont="1" applyFill="1" applyBorder="1" applyAlignment="1">
      <alignment horizontal="center" vertical="center" wrapText="1"/>
    </xf>
    <xf numFmtId="166" fontId="25" fillId="0" borderId="12" xfId="1" applyNumberFormat="1" applyFont="1" applyFill="1" applyBorder="1" applyAlignment="1">
      <alignment horizontal="righ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3" fontId="25" fillId="0" borderId="15" xfId="0" applyNumberFormat="1" applyFont="1" applyBorder="1" applyAlignment="1">
      <alignment horizontal="right" vertical="center" wrapText="1"/>
    </xf>
    <xf numFmtId="9" fontId="25" fillId="0" borderId="16" xfId="0" applyNumberFormat="1" applyFont="1" applyBorder="1" applyAlignment="1">
      <alignment horizontal="right" vertical="center" wrapText="1"/>
    </xf>
    <xf numFmtId="3" fontId="25" fillId="0" borderId="18" xfId="0" applyNumberFormat="1" applyFont="1" applyBorder="1" applyAlignment="1">
      <alignment horizontal="right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right" vertical="center" wrapText="1"/>
    </xf>
    <xf numFmtId="3" fontId="25" fillId="0" borderId="31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41" fillId="0" borderId="18" xfId="0" applyNumberFormat="1" applyFont="1" applyFill="1" applyBorder="1" applyAlignment="1">
      <alignment vertical="center" wrapText="1"/>
    </xf>
    <xf numFmtId="3" fontId="24" fillId="2" borderId="18" xfId="0" applyNumberFormat="1" applyFont="1" applyFill="1" applyBorder="1" applyAlignment="1">
      <alignment vertical="center"/>
    </xf>
    <xf numFmtId="3" fontId="24" fillId="0" borderId="18" xfId="0" applyNumberFormat="1" applyFont="1" applyBorder="1" applyAlignment="1">
      <alignment vertical="center" wrapText="1"/>
    </xf>
    <xf numFmtId="167" fontId="24" fillId="0" borderId="18" xfId="0" applyNumberFormat="1" applyFont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2" borderId="46" xfId="0" quotePrefix="1" applyFont="1" applyFill="1" applyBorder="1" applyAlignment="1">
      <alignment vertical="center" wrapText="1"/>
    </xf>
    <xf numFmtId="0" fontId="5" fillId="0" borderId="27" xfId="0" quotePrefix="1" applyFont="1" applyBorder="1" applyAlignment="1">
      <alignment vertical="center" wrapText="1"/>
    </xf>
    <xf numFmtId="0" fontId="5" fillId="0" borderId="12" xfId="0" quotePrefix="1" applyFont="1" applyBorder="1" applyAlignment="1">
      <alignment vertical="top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3" fontId="28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vertical="center"/>
    </xf>
    <xf numFmtId="0" fontId="5" fillId="2" borderId="18" xfId="0" quotePrefix="1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right" vertical="center"/>
    </xf>
    <xf numFmtId="164" fontId="8" fillId="0" borderId="31" xfId="0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7" fillId="0" borderId="12" xfId="0" quotePrefix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right" vertical="center"/>
    </xf>
    <xf numFmtId="3" fontId="25" fillId="0" borderId="18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 vertical="center"/>
    </xf>
    <xf numFmtId="9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 vertical="center"/>
    </xf>
    <xf numFmtId="0" fontId="43" fillId="3" borderId="15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43" fillId="3" borderId="27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9" fontId="25" fillId="0" borderId="10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quotePrefix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166" fontId="25" fillId="2" borderId="1" xfId="1" applyNumberFormat="1" applyFont="1" applyFill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right" vertical="center" wrapText="1"/>
    </xf>
    <xf numFmtId="9" fontId="25" fillId="0" borderId="13" xfId="0" applyNumberFormat="1" applyFont="1" applyBorder="1" applyAlignment="1">
      <alignment horizontal="righ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left" vertical="center" wrapText="1"/>
    </xf>
    <xf numFmtId="166" fontId="25" fillId="2" borderId="12" xfId="1" applyNumberFormat="1" applyFont="1" applyFill="1" applyBorder="1" applyAlignment="1">
      <alignment horizontal="right" vertical="center" wrapText="1"/>
    </xf>
    <xf numFmtId="0" fontId="40" fillId="3" borderId="15" xfId="0" applyFont="1" applyFill="1" applyBorder="1" applyAlignment="1">
      <alignment horizontal="left" vertical="center" wrapText="1"/>
    </xf>
    <xf numFmtId="0" fontId="40" fillId="3" borderId="18" xfId="0" applyFont="1" applyFill="1" applyBorder="1" applyAlignment="1">
      <alignment horizontal="left" vertical="center" wrapText="1"/>
    </xf>
    <xf numFmtId="9" fontId="25" fillId="0" borderId="19" xfId="0" applyNumberFormat="1" applyFont="1" applyBorder="1" applyAlignment="1">
      <alignment horizontal="right" vertical="center" wrapText="1"/>
    </xf>
    <xf numFmtId="0" fontId="40" fillId="3" borderId="12" xfId="0" applyFont="1" applyFill="1" applyBorder="1" applyAlignment="1">
      <alignment horizontal="left" vertical="center" wrapText="1"/>
    </xf>
    <xf numFmtId="0" fontId="43" fillId="3" borderId="18" xfId="0" applyFont="1" applyFill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3" fontId="40" fillId="0" borderId="1" xfId="0" applyNumberFormat="1" applyFont="1" applyFill="1" applyBorder="1" applyAlignment="1">
      <alignment vertical="center" wrapText="1"/>
    </xf>
    <xf numFmtId="167" fontId="25" fillId="0" borderId="10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167" fontId="24" fillId="0" borderId="10" xfId="0" applyNumberFormat="1" applyFont="1" applyBorder="1" applyAlignment="1">
      <alignment horizontal="right" vertical="center"/>
    </xf>
    <xf numFmtId="3" fontId="40" fillId="0" borderId="3" xfId="0" applyNumberFormat="1" applyFont="1" applyFill="1" applyBorder="1" applyAlignment="1">
      <alignment vertical="center" wrapText="1"/>
    </xf>
    <xf numFmtId="3" fontId="25" fillId="2" borderId="31" xfId="0" applyNumberFormat="1" applyFont="1" applyFill="1" applyBorder="1" applyAlignment="1">
      <alignment horizontal="right" vertical="center"/>
    </xf>
    <xf numFmtId="3" fontId="24" fillId="2" borderId="31" xfId="0" applyNumberFormat="1" applyFont="1" applyFill="1" applyBorder="1" applyAlignment="1">
      <alignment horizontal="right" vertical="center"/>
    </xf>
    <xf numFmtId="9" fontId="24" fillId="0" borderId="1" xfId="0" applyNumberFormat="1" applyFont="1" applyBorder="1" applyAlignment="1">
      <alignment vertical="center"/>
    </xf>
    <xf numFmtId="167" fontId="25" fillId="0" borderId="19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 wrapText="1"/>
    </xf>
    <xf numFmtId="167" fontId="25" fillId="0" borderId="13" xfId="0" applyNumberFormat="1" applyFont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top" wrapText="1"/>
    </xf>
    <xf numFmtId="3" fontId="25" fillId="0" borderId="1" xfId="0" applyNumberFormat="1" applyFont="1" applyBorder="1" applyAlignment="1">
      <alignment horizontal="right" vertical="center"/>
    </xf>
    <xf numFmtId="0" fontId="40" fillId="0" borderId="18" xfId="0" applyFont="1" applyFill="1" applyBorder="1" applyAlignment="1">
      <alignment horizontal="left" vertical="top" wrapText="1"/>
    </xf>
    <xf numFmtId="0" fontId="41" fillId="0" borderId="3" xfId="0" applyFont="1" applyFill="1" applyBorder="1" applyAlignment="1">
      <alignment horizontal="left" vertical="top" wrapText="1"/>
    </xf>
    <xf numFmtId="3" fontId="24" fillId="0" borderId="18" xfId="0" applyNumberFormat="1" applyFont="1" applyBorder="1" applyAlignment="1">
      <alignment horizontal="center" vertical="center"/>
    </xf>
    <xf numFmtId="167" fontId="24" fillId="0" borderId="18" xfId="0" applyNumberFormat="1" applyFont="1" applyBorder="1" applyAlignment="1">
      <alignment horizontal="center" vertical="center"/>
    </xf>
    <xf numFmtId="167" fontId="24" fillId="0" borderId="19" xfId="0" applyNumberFormat="1" applyFont="1" applyBorder="1" applyAlignment="1">
      <alignment horizontal="right" vertical="center"/>
    </xf>
    <xf numFmtId="0" fontId="40" fillId="0" borderId="31" xfId="0" applyFont="1" applyFill="1" applyBorder="1" applyAlignment="1">
      <alignment horizontal="left" vertical="top" wrapText="1"/>
    </xf>
    <xf numFmtId="3" fontId="25" fillId="0" borderId="18" xfId="0" applyNumberFormat="1" applyFont="1" applyBorder="1" applyAlignment="1">
      <alignment vertical="center"/>
    </xf>
    <xf numFmtId="0" fontId="41" fillId="0" borderId="3" xfId="0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horizontal="right" vertical="center"/>
    </xf>
    <xf numFmtId="167" fontId="25" fillId="0" borderId="1" xfId="0" applyNumberFormat="1" applyFont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vertical="center"/>
    </xf>
    <xf numFmtId="0" fontId="41" fillId="0" borderId="31" xfId="0" applyFont="1" applyFill="1" applyBorder="1" applyAlignment="1">
      <alignment vertical="center" wrapText="1"/>
    </xf>
    <xf numFmtId="3" fontId="2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left" vertical="center" wrapText="1"/>
    </xf>
    <xf numFmtId="3" fontId="24" fillId="2" borderId="12" xfId="0" applyNumberFormat="1" applyFont="1" applyFill="1" applyBorder="1" applyAlignment="1">
      <alignment vertical="center"/>
    </xf>
    <xf numFmtId="3" fontId="24" fillId="0" borderId="12" xfId="0" applyNumberFormat="1" applyFont="1" applyBorder="1" applyAlignment="1">
      <alignment vertical="center" wrapText="1"/>
    </xf>
    <xf numFmtId="167" fontId="24" fillId="0" borderId="12" xfId="0" applyNumberFormat="1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/>
    </xf>
    <xf numFmtId="0" fontId="27" fillId="3" borderId="15" xfId="0" applyFont="1" applyFill="1" applyBorder="1" applyAlignment="1">
      <alignment horizontal="center" vertical="center" wrapText="1"/>
    </xf>
    <xf numFmtId="49" fontId="27" fillId="3" borderId="15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5" fillId="0" borderId="49" xfId="0" applyFont="1" applyFill="1" applyBorder="1" applyAlignment="1">
      <alignment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166" fontId="20" fillId="3" borderId="15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9" fontId="20" fillId="3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/>
    <xf numFmtId="0" fontId="2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9" fontId="19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3" fillId="0" borderId="0" xfId="0" applyFont="1" applyBorder="1"/>
    <xf numFmtId="0" fontId="2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67" fontId="25" fillId="2" borderId="18" xfId="0" applyNumberFormat="1" applyFont="1" applyFill="1" applyBorder="1" applyAlignment="1">
      <alignment horizontal="right" vertical="center"/>
    </xf>
    <xf numFmtId="167" fontId="24" fillId="0" borderId="19" xfId="0" applyNumberFormat="1" applyFont="1" applyBorder="1" applyAlignment="1">
      <alignment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0" fontId="43" fillId="3" borderId="25" xfId="0" applyFont="1" applyFill="1" applyBorder="1" applyAlignment="1">
      <alignment horizontal="left" vertical="center"/>
    </xf>
    <xf numFmtId="49" fontId="20" fillId="3" borderId="25" xfId="0" applyNumberFormat="1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right" vertical="center" wrapText="1"/>
    </xf>
    <xf numFmtId="166" fontId="20" fillId="3" borderId="25" xfId="1" applyNumberFormat="1" applyFont="1" applyFill="1" applyBorder="1" applyAlignment="1">
      <alignment horizontal="right" vertical="center" wrapText="1"/>
    </xf>
    <xf numFmtId="9" fontId="20" fillId="3" borderId="29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horizontal="right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vertical="center" wrapText="1"/>
    </xf>
    <xf numFmtId="3" fontId="20" fillId="0" borderId="25" xfId="0" applyNumberFormat="1" applyFont="1" applyBorder="1" applyAlignment="1">
      <alignment horizontal="right" vertical="center"/>
    </xf>
    <xf numFmtId="166" fontId="20" fillId="0" borderId="25" xfId="1" applyNumberFormat="1" applyFont="1" applyFill="1" applyBorder="1" applyAlignment="1">
      <alignment horizontal="right" vertical="center" wrapText="1"/>
    </xf>
    <xf numFmtId="9" fontId="20" fillId="0" borderId="29" xfId="0" applyNumberFormat="1" applyFont="1" applyBorder="1" applyAlignment="1">
      <alignment horizontal="right" vertical="center"/>
    </xf>
    <xf numFmtId="0" fontId="40" fillId="3" borderId="1" xfId="0" quotePrefix="1" applyFont="1" applyFill="1" applyBorder="1" applyAlignment="1">
      <alignment horizontal="left" vertical="center" wrapText="1"/>
    </xf>
    <xf numFmtId="3" fontId="25" fillId="3" borderId="1" xfId="0" applyNumberFormat="1" applyFont="1" applyFill="1" applyBorder="1" applyAlignment="1">
      <alignment horizontal="right" vertical="center" wrapText="1"/>
    </xf>
    <xf numFmtId="9" fontId="25" fillId="3" borderId="1" xfId="0" applyNumberFormat="1" applyFont="1" applyFill="1" applyBorder="1" applyAlignment="1">
      <alignment horizontal="right" vertical="center" wrapText="1"/>
    </xf>
    <xf numFmtId="9" fontId="25" fillId="3" borderId="10" xfId="0" applyNumberFormat="1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right" vertical="center"/>
    </xf>
    <xf numFmtId="167" fontId="25" fillId="0" borderId="10" xfId="0" applyNumberFormat="1" applyFont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Continuous" vertical="center"/>
    </xf>
    <xf numFmtId="164" fontId="32" fillId="0" borderId="13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Continuous" vertical="center"/>
    </xf>
    <xf numFmtId="0" fontId="33" fillId="0" borderId="12" xfId="0" applyFont="1" applyFill="1" applyBorder="1" applyAlignment="1">
      <alignment horizontal="centerContinuous" vertic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3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quotePrefix="1" applyFont="1" applyFill="1" applyBorder="1" applyAlignment="1">
      <alignment vertical="center" wrapText="1"/>
    </xf>
    <xf numFmtId="164" fontId="6" fillId="0" borderId="25" xfId="0" applyNumberFormat="1" applyFont="1" applyFill="1" applyBorder="1" applyAlignment="1">
      <alignment vertical="center"/>
    </xf>
    <xf numFmtId="164" fontId="6" fillId="0" borderId="25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vertical="center"/>
    </xf>
    <xf numFmtId="0" fontId="33" fillId="0" borderId="0" xfId="0" applyFont="1" applyAlignment="1">
      <alignment horizontal="left"/>
    </xf>
    <xf numFmtId="0" fontId="33" fillId="0" borderId="34" xfId="0" applyFont="1" applyBorder="1" applyAlignment="1">
      <alignment horizontal="center" vertical="top" wrapText="1"/>
    </xf>
    <xf numFmtId="0" fontId="33" fillId="0" borderId="45" xfId="0" applyFont="1" applyFill="1" applyBorder="1" applyAlignment="1">
      <alignment horizontal="center" vertical="top" wrapText="1"/>
    </xf>
    <xf numFmtId="0" fontId="33" fillId="0" borderId="47" xfId="0" applyFont="1" applyFill="1" applyBorder="1" applyAlignment="1">
      <alignment horizontal="center" vertical="top" wrapText="1"/>
    </xf>
    <xf numFmtId="0" fontId="32" fillId="0" borderId="3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Continuous" vertical="center" wrapText="1"/>
    </xf>
    <xf numFmtId="0" fontId="32" fillId="0" borderId="5" xfId="0" applyFont="1" applyFill="1" applyBorder="1" applyAlignment="1">
      <alignment horizontal="centerContinuous" vertical="center"/>
    </xf>
    <xf numFmtId="3" fontId="32" fillId="0" borderId="36" xfId="0" applyNumberFormat="1" applyFont="1" applyFill="1" applyBorder="1" applyAlignment="1">
      <alignment horizontal="center" vertical="center"/>
    </xf>
    <xf numFmtId="3" fontId="33" fillId="0" borderId="36" xfId="0" applyNumberFormat="1" applyFont="1" applyFill="1" applyBorder="1" applyAlignment="1">
      <alignment horizontal="center" vertical="center"/>
    </xf>
    <xf numFmtId="1" fontId="33" fillId="0" borderId="36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 applyProtection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47" fillId="0" borderId="0" xfId="0" applyFont="1"/>
    <xf numFmtId="49" fontId="12" fillId="0" borderId="9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164" fontId="33" fillId="0" borderId="47" xfId="0" applyNumberFormat="1" applyFont="1" applyFill="1" applyBorder="1" applyAlignment="1">
      <alignment horizontal="center" vertical="center"/>
    </xf>
    <xf numFmtId="168" fontId="32" fillId="0" borderId="36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32" fillId="0" borderId="3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left" vertical="center"/>
    </xf>
    <xf numFmtId="3" fontId="32" fillId="0" borderId="36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9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3" fontId="32" fillId="0" borderId="10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 wrapText="1"/>
    </xf>
    <xf numFmtId="164" fontId="32" fillId="0" borderId="10" xfId="0" applyNumberFormat="1" applyFont="1" applyFill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left" vertical="center"/>
    </xf>
    <xf numFmtId="164" fontId="32" fillId="0" borderId="22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horizontal="center"/>
    </xf>
    <xf numFmtId="0" fontId="32" fillId="0" borderId="12" xfId="0" quotePrefix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3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49" fillId="0" borderId="0" xfId="0" applyFont="1"/>
    <xf numFmtId="0" fontId="6" fillId="0" borderId="1" xfId="0" applyFont="1" applyFill="1" applyBorder="1" applyAlignment="1">
      <alignment horizontal="left" vertical="center" wrapText="1"/>
    </xf>
    <xf numFmtId="164" fontId="0" fillId="0" borderId="0" xfId="0" applyNumberFormat="1" applyFont="1" applyFill="1"/>
    <xf numFmtId="0" fontId="0" fillId="0" borderId="0" xfId="0" applyFont="1" applyFill="1"/>
    <xf numFmtId="164" fontId="48" fillId="0" borderId="0" xfId="0" applyNumberFormat="1" applyFont="1" applyFill="1"/>
    <xf numFmtId="0" fontId="48" fillId="0" borderId="0" xfId="0" applyFont="1" applyFill="1"/>
    <xf numFmtId="0" fontId="50" fillId="0" borderId="0" xfId="0" applyFont="1" applyAlignment="1">
      <alignment wrapText="1"/>
    </xf>
    <xf numFmtId="164" fontId="7" fillId="0" borderId="18" xfId="0" applyNumberFormat="1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0" fontId="51" fillId="0" borderId="0" xfId="0" applyFont="1"/>
    <xf numFmtId="3" fontId="33" fillId="0" borderId="47" xfId="0" applyNumberFormat="1" applyFont="1" applyFill="1" applyBorder="1" applyAlignment="1">
      <alignment horizontal="center"/>
    </xf>
    <xf numFmtId="3" fontId="32" fillId="0" borderId="47" xfId="0" applyNumberFormat="1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1" fontId="32" fillId="0" borderId="36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/>
    </xf>
    <xf numFmtId="49" fontId="25" fillId="0" borderId="27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right" vertical="center" wrapText="1"/>
    </xf>
    <xf numFmtId="166" fontId="25" fillId="3" borderId="27" xfId="1" applyNumberFormat="1" applyFont="1" applyFill="1" applyBorder="1" applyAlignment="1">
      <alignment horizontal="right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42" fillId="0" borderId="0" xfId="0" applyFont="1"/>
    <xf numFmtId="3" fontId="25" fillId="0" borderId="5" xfId="0" applyNumberFormat="1" applyFont="1" applyFill="1" applyBorder="1" applyAlignment="1">
      <alignment horizontal="center" vertical="center" wrapText="1"/>
    </xf>
    <xf numFmtId="167" fontId="25" fillId="0" borderId="18" xfId="0" applyNumberFormat="1" applyFont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7" fontId="24" fillId="2" borderId="18" xfId="0" applyNumberFormat="1" applyFont="1" applyFill="1" applyBorder="1" applyAlignment="1">
      <alignment horizontal="right" vertical="center"/>
    </xf>
    <xf numFmtId="167" fontId="24" fillId="0" borderId="13" xfId="0" applyNumberFormat="1" applyFont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167" fontId="24" fillId="0" borderId="10" xfId="0" applyNumberFormat="1" applyFont="1" applyFill="1" applyBorder="1" applyAlignment="1">
      <alignment horizontal="right" vertical="center"/>
    </xf>
    <xf numFmtId="3" fontId="24" fillId="0" borderId="31" xfId="0" applyNumberFormat="1" applyFont="1" applyFill="1" applyBorder="1" applyAlignment="1">
      <alignment horizontal="right" vertical="center"/>
    </xf>
    <xf numFmtId="9" fontId="24" fillId="2" borderId="18" xfId="0" applyNumberFormat="1" applyFont="1" applyFill="1" applyBorder="1" applyAlignment="1">
      <alignment horizontal="right" vertical="center"/>
    </xf>
    <xf numFmtId="9" fontId="2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/>
    </xf>
    <xf numFmtId="3" fontId="25" fillId="0" borderId="18" xfId="0" applyNumberFormat="1" applyFont="1" applyFill="1" applyBorder="1" applyAlignment="1">
      <alignment horizontal="center" vertical="center"/>
    </xf>
    <xf numFmtId="167" fontId="25" fillId="0" borderId="18" xfId="0" applyNumberFormat="1" applyFont="1" applyFill="1" applyBorder="1" applyAlignment="1">
      <alignment horizontal="center" vertical="center"/>
    </xf>
    <xf numFmtId="167" fontId="25" fillId="0" borderId="19" xfId="0" applyNumberFormat="1" applyFont="1" applyFill="1" applyBorder="1" applyAlignment="1">
      <alignment horizontal="right" vertical="center"/>
    </xf>
    <xf numFmtId="3" fontId="24" fillId="0" borderId="18" xfId="0" applyNumberFormat="1" applyFont="1" applyFill="1" applyBorder="1" applyAlignment="1">
      <alignment horizontal="right" vertical="center"/>
    </xf>
    <xf numFmtId="3" fontId="24" fillId="0" borderId="18" xfId="0" applyNumberFormat="1" applyFont="1" applyFill="1" applyBorder="1" applyAlignment="1">
      <alignment horizontal="center" vertical="center"/>
    </xf>
    <xf numFmtId="167" fontId="24" fillId="0" borderId="18" xfId="0" applyNumberFormat="1" applyFont="1" applyFill="1" applyBorder="1" applyAlignment="1">
      <alignment horizontal="center" vertical="center"/>
    </xf>
    <xf numFmtId="167" fontId="24" fillId="0" borderId="19" xfId="0" applyNumberFormat="1" applyFont="1" applyFill="1" applyBorder="1" applyAlignment="1">
      <alignment horizontal="right" vertical="center"/>
    </xf>
    <xf numFmtId="167" fontId="24" fillId="0" borderId="18" xfId="0" applyNumberFormat="1" applyFont="1" applyBorder="1" applyAlignment="1">
      <alignment vertical="center"/>
    </xf>
    <xf numFmtId="9" fontId="25" fillId="0" borderId="10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2" xfId="0" quotePrefix="1" applyNumberFormat="1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38" fillId="0" borderId="18" xfId="0" quotePrefix="1" applyFont="1" applyFill="1" applyBorder="1" applyAlignment="1">
      <alignment horizontal="left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49" fontId="20" fillId="0" borderId="25" xfId="0" applyNumberFormat="1" applyFont="1" applyBorder="1" applyAlignment="1">
      <alignment horizontal="left" vertical="center" wrapText="1"/>
    </xf>
    <xf numFmtId="49" fontId="24" fillId="0" borderId="18" xfId="0" applyNumberFormat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3" fontId="20" fillId="0" borderId="25" xfId="0" applyNumberFormat="1" applyFont="1" applyBorder="1" applyAlignment="1">
      <alignment horizontal="left" vertical="center" wrapText="1"/>
    </xf>
    <xf numFmtId="3" fontId="24" fillId="0" borderId="7" xfId="0" applyNumberFormat="1" applyFont="1" applyBorder="1" applyAlignment="1">
      <alignment horizontal="left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0" fontId="1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vertical="center" wrapText="1"/>
    </xf>
    <xf numFmtId="3" fontId="25" fillId="0" borderId="23" xfId="0" applyNumberFormat="1" applyFont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right" vertical="center"/>
    </xf>
    <xf numFmtId="167" fontId="25" fillId="2" borderId="46" xfId="0" applyNumberFormat="1" applyFont="1" applyFill="1" applyBorder="1" applyAlignment="1">
      <alignment horizontal="right" vertical="center"/>
    </xf>
    <xf numFmtId="3" fontId="25" fillId="0" borderId="12" xfId="0" applyNumberFormat="1" applyFont="1" applyBorder="1" applyAlignment="1">
      <alignment vertical="center"/>
    </xf>
    <xf numFmtId="3" fontId="41" fillId="0" borderId="15" xfId="0" applyNumberFormat="1" applyFont="1" applyFill="1" applyBorder="1" applyAlignment="1">
      <alignment vertical="center" wrapText="1"/>
    </xf>
    <xf numFmtId="3" fontId="41" fillId="0" borderId="40" xfId="0" applyNumberFormat="1" applyFont="1" applyFill="1" applyBorder="1" applyAlignment="1">
      <alignment vertical="center" wrapText="1"/>
    </xf>
    <xf numFmtId="3" fontId="24" fillId="2" borderId="15" xfId="0" applyNumberFormat="1" applyFont="1" applyFill="1" applyBorder="1" applyAlignment="1">
      <alignment vertical="center"/>
    </xf>
    <xf numFmtId="3" fontId="24" fillId="0" borderId="15" xfId="0" applyNumberFormat="1" applyFont="1" applyBorder="1" applyAlignment="1">
      <alignment vertical="center" wrapText="1"/>
    </xf>
    <xf numFmtId="167" fontId="24" fillId="0" borderId="50" xfId="0" applyNumberFormat="1" applyFont="1" applyBorder="1" applyAlignment="1">
      <alignment vertical="center" wrapText="1"/>
    </xf>
    <xf numFmtId="167" fontId="24" fillId="0" borderId="16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164" fontId="6" fillId="2" borderId="33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164" fontId="5" fillId="2" borderId="36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3" fillId="0" borderId="9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32" fillId="0" borderId="3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6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30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top" wrapText="1"/>
    </xf>
    <xf numFmtId="0" fontId="33" fillId="0" borderId="23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quotePrefix="1" applyNumberFormat="1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8" xfId="0" quotePrefix="1" applyFont="1" applyFill="1" applyBorder="1" applyAlignment="1">
      <alignment horizontal="left" vertical="center" wrapText="1"/>
    </xf>
    <xf numFmtId="49" fontId="25" fillId="2" borderId="11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8" xfId="0" quotePrefix="1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7" fontId="24" fillId="0" borderId="13" xfId="0" applyNumberFormat="1" applyFont="1" applyBorder="1" applyAlignment="1">
      <alignment horizontal="center" vertical="center"/>
    </xf>
    <xf numFmtId="167" fontId="24" fillId="0" borderId="28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39" fillId="0" borderId="1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3" fontId="25" fillId="0" borderId="27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9 2 4 2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topLeftCell="A79" zoomScale="80" zoomScaleNormal="100" zoomScaleSheetLayoutView="80" workbookViewId="0">
      <selection activeCell="J70" sqref="J70"/>
    </sheetView>
  </sheetViews>
  <sheetFormatPr defaultColWidth="8.88671875" defaultRowHeight="13.8" x14ac:dyDescent="0.3"/>
  <cols>
    <col min="1" max="1" width="11.33203125" style="245" customWidth="1"/>
    <col min="2" max="2" width="44.88671875" style="245" customWidth="1"/>
    <col min="3" max="6" width="15.6640625" style="245" customWidth="1"/>
    <col min="7" max="7" width="17.109375" style="245" customWidth="1"/>
    <col min="8" max="16384" width="8.88671875" style="245"/>
  </cols>
  <sheetData>
    <row r="1" spans="1:9" ht="15.6" x14ac:dyDescent="0.3">
      <c r="D1" s="280" t="s">
        <v>284</v>
      </c>
      <c r="E1" s="4"/>
      <c r="F1" s="5"/>
    </row>
    <row r="2" spans="1:9" ht="15.6" x14ac:dyDescent="0.3">
      <c r="D2" s="280" t="s">
        <v>8</v>
      </c>
      <c r="E2" s="4"/>
      <c r="F2" s="5"/>
    </row>
    <row r="3" spans="1:9" ht="15.6" x14ac:dyDescent="0.3">
      <c r="D3" s="281" t="s">
        <v>592</v>
      </c>
      <c r="E3" s="7"/>
      <c r="F3" s="5"/>
    </row>
    <row r="4" spans="1:9" ht="15.6" x14ac:dyDescent="0.3">
      <c r="D4" s="6" t="s">
        <v>593</v>
      </c>
      <c r="E4" s="282"/>
      <c r="F4" s="5"/>
    </row>
    <row r="5" spans="1:9" ht="15.6" x14ac:dyDescent="0.3">
      <c r="D5" s="687" t="s">
        <v>452</v>
      </c>
      <c r="E5" s="687"/>
      <c r="F5" s="5"/>
    </row>
    <row r="7" spans="1:9" ht="15.6" x14ac:dyDescent="0.3">
      <c r="D7" s="690" t="s">
        <v>450</v>
      </c>
      <c r="E7" s="690"/>
      <c r="F7" s="690"/>
      <c r="G7" s="690"/>
      <c r="H7" s="690"/>
      <c r="I7" s="690"/>
    </row>
    <row r="8" spans="1:9" ht="15.6" x14ac:dyDescent="0.3">
      <c r="D8" s="689" t="s">
        <v>208</v>
      </c>
      <c r="E8" s="689"/>
      <c r="F8" s="689"/>
      <c r="G8" s="243"/>
      <c r="H8" s="243"/>
      <c r="I8" s="243"/>
    </row>
    <row r="9" spans="1:9" ht="15.6" x14ac:dyDescent="0.3">
      <c r="D9" s="687" t="s">
        <v>268</v>
      </c>
      <c r="E9" s="687"/>
      <c r="F9" s="687"/>
      <c r="G9" s="243"/>
      <c r="H9" s="243"/>
      <c r="I9" s="243"/>
    </row>
    <row r="10" spans="1:9" ht="15.6" x14ac:dyDescent="0.3">
      <c r="D10" s="687" t="s">
        <v>275</v>
      </c>
      <c r="E10" s="687"/>
      <c r="F10" s="687"/>
      <c r="G10" s="243"/>
      <c r="H10" s="243"/>
      <c r="I10" s="243"/>
    </row>
    <row r="11" spans="1:9" ht="15.6" x14ac:dyDescent="0.3">
      <c r="D11" s="688" t="s">
        <v>431</v>
      </c>
      <c r="E11" s="688"/>
      <c r="F11" s="688"/>
      <c r="G11" s="689"/>
      <c r="H11" s="689"/>
      <c r="I11" s="689"/>
    </row>
    <row r="12" spans="1:9" ht="15.6" x14ac:dyDescent="0.3">
      <c r="D12" s="688" t="s">
        <v>432</v>
      </c>
      <c r="E12" s="691"/>
      <c r="F12" s="691"/>
      <c r="G12" s="687"/>
      <c r="H12" s="687"/>
      <c r="I12" s="687"/>
    </row>
    <row r="13" spans="1:9" ht="15.6" x14ac:dyDescent="0.3">
      <c r="D13" s="691" t="s">
        <v>451</v>
      </c>
      <c r="E13" s="691"/>
      <c r="F13" s="691"/>
      <c r="G13" s="687"/>
      <c r="H13" s="687"/>
      <c r="I13" s="687"/>
    </row>
    <row r="14" spans="1:9" ht="34.5" customHeight="1" x14ac:dyDescent="0.35">
      <c r="A14" s="692" t="s">
        <v>285</v>
      </c>
      <c r="B14" s="693"/>
      <c r="C14" s="693"/>
      <c r="D14" s="693"/>
      <c r="E14" s="693"/>
      <c r="F14" s="693"/>
      <c r="G14" s="688"/>
      <c r="H14" s="688"/>
      <c r="I14" s="688"/>
    </row>
    <row r="15" spans="1:9" ht="15.6" x14ac:dyDescent="0.3">
      <c r="A15" s="696" t="s">
        <v>286</v>
      </c>
      <c r="B15" s="696"/>
      <c r="C15" s="203"/>
      <c r="D15" s="203"/>
      <c r="E15" s="203"/>
      <c r="F15" s="203"/>
      <c r="G15" s="691"/>
      <c r="H15" s="691"/>
      <c r="I15" s="691"/>
    </row>
    <row r="16" spans="1:9" ht="15.6" x14ac:dyDescent="0.3">
      <c r="A16" s="203" t="s">
        <v>0</v>
      </c>
      <c r="B16" s="203"/>
      <c r="C16" s="203"/>
      <c r="D16" s="203"/>
      <c r="E16" s="203"/>
      <c r="F16" s="204" t="s">
        <v>1</v>
      </c>
      <c r="G16" s="691"/>
      <c r="H16" s="691"/>
      <c r="I16" s="691"/>
    </row>
    <row r="17" spans="1:7" ht="15.6" x14ac:dyDescent="0.3">
      <c r="A17" s="697" t="s">
        <v>186</v>
      </c>
      <c r="B17" s="697" t="s">
        <v>287</v>
      </c>
      <c r="C17" s="697" t="s">
        <v>2</v>
      </c>
      <c r="D17" s="697" t="s">
        <v>3</v>
      </c>
      <c r="E17" s="697" t="s">
        <v>4</v>
      </c>
      <c r="F17" s="697"/>
    </row>
    <row r="18" spans="1:7" x14ac:dyDescent="0.3">
      <c r="A18" s="697"/>
      <c r="B18" s="697"/>
      <c r="C18" s="697"/>
      <c r="D18" s="697"/>
      <c r="E18" s="697" t="s">
        <v>5</v>
      </c>
      <c r="F18" s="697" t="s">
        <v>6</v>
      </c>
    </row>
    <row r="19" spans="1:7" x14ac:dyDescent="0.3">
      <c r="A19" s="697"/>
      <c r="B19" s="697"/>
      <c r="C19" s="697"/>
      <c r="D19" s="697"/>
      <c r="E19" s="697"/>
      <c r="F19" s="697"/>
    </row>
    <row r="20" spans="1:7" ht="15.6" x14ac:dyDescent="0.3">
      <c r="A20" s="389">
        <v>1</v>
      </c>
      <c r="B20" s="389">
        <v>2</v>
      </c>
      <c r="C20" s="389">
        <v>3</v>
      </c>
      <c r="D20" s="389">
        <v>4</v>
      </c>
      <c r="E20" s="389">
        <v>5</v>
      </c>
      <c r="F20" s="389">
        <v>6</v>
      </c>
    </row>
    <row r="21" spans="1:7" ht="15.6" x14ac:dyDescent="0.3">
      <c r="A21" s="246" t="s">
        <v>288</v>
      </c>
      <c r="B21" s="246" t="s">
        <v>289</v>
      </c>
      <c r="C21" s="192">
        <f>C22+C25+C29+C43</f>
        <v>421451300</v>
      </c>
      <c r="D21" s="192">
        <f t="shared" ref="D21:F21" si="0">D22+D25+D29+D43</f>
        <v>421166500</v>
      </c>
      <c r="E21" s="192">
        <f t="shared" si="0"/>
        <v>284800</v>
      </c>
      <c r="F21" s="192">
        <f t="shared" si="0"/>
        <v>0</v>
      </c>
      <c r="G21" s="247"/>
    </row>
    <row r="22" spans="1:7" ht="48.6" x14ac:dyDescent="0.3">
      <c r="A22" s="248" t="s">
        <v>290</v>
      </c>
      <c r="B22" s="248" t="s">
        <v>291</v>
      </c>
      <c r="C22" s="249">
        <v>244388700</v>
      </c>
      <c r="D22" s="249">
        <v>244388700</v>
      </c>
      <c r="E22" s="192">
        <v>0</v>
      </c>
      <c r="F22" s="192">
        <v>0</v>
      </c>
      <c r="G22" s="247"/>
    </row>
    <row r="23" spans="1:7" ht="15.6" x14ac:dyDescent="0.3">
      <c r="A23" s="250" t="s">
        <v>292</v>
      </c>
      <c r="B23" s="250" t="s">
        <v>293</v>
      </c>
      <c r="C23" s="54">
        <v>244375300</v>
      </c>
      <c r="D23" s="54">
        <v>244375300</v>
      </c>
      <c r="E23" s="192">
        <v>0</v>
      </c>
      <c r="F23" s="192">
        <v>0</v>
      </c>
      <c r="G23" s="247"/>
    </row>
    <row r="24" spans="1:7" ht="15.6" x14ac:dyDescent="0.3">
      <c r="A24" s="250" t="s">
        <v>294</v>
      </c>
      <c r="B24" s="250" t="s">
        <v>295</v>
      </c>
      <c r="C24" s="54">
        <v>13400</v>
      </c>
      <c r="D24" s="54">
        <v>13400</v>
      </c>
      <c r="E24" s="54">
        <v>0</v>
      </c>
      <c r="F24" s="192">
        <v>0</v>
      </c>
      <c r="G24" s="247"/>
    </row>
    <row r="25" spans="1:7" ht="32.4" x14ac:dyDescent="0.3">
      <c r="A25" s="248" t="s">
        <v>296</v>
      </c>
      <c r="B25" s="248" t="s">
        <v>297</v>
      </c>
      <c r="C25" s="249">
        <v>18455000</v>
      </c>
      <c r="D25" s="249">
        <v>18455000</v>
      </c>
      <c r="E25" s="192">
        <v>0</v>
      </c>
      <c r="F25" s="192">
        <v>0</v>
      </c>
      <c r="G25" s="247"/>
    </row>
    <row r="26" spans="1:7" ht="48" customHeight="1" x14ac:dyDescent="0.3">
      <c r="A26" s="250" t="s">
        <v>298</v>
      </c>
      <c r="B26" s="250" t="s">
        <v>299</v>
      </c>
      <c r="C26" s="54">
        <v>266200</v>
      </c>
      <c r="D26" s="54">
        <v>266200</v>
      </c>
      <c r="E26" s="54">
        <v>0</v>
      </c>
      <c r="F26" s="192">
        <v>0</v>
      </c>
      <c r="G26" s="247"/>
    </row>
    <row r="27" spans="1:7" ht="46.8" x14ac:dyDescent="0.3">
      <c r="A27" s="250" t="s">
        <v>300</v>
      </c>
      <c r="B27" s="250" t="s">
        <v>301</v>
      </c>
      <c r="C27" s="54">
        <v>5228100</v>
      </c>
      <c r="D27" s="54">
        <v>5228100</v>
      </c>
      <c r="E27" s="54">
        <v>0</v>
      </c>
      <c r="F27" s="192">
        <v>0</v>
      </c>
      <c r="G27" s="247"/>
    </row>
    <row r="28" spans="1:7" ht="46.8" x14ac:dyDescent="0.3">
      <c r="A28" s="250" t="s">
        <v>302</v>
      </c>
      <c r="B28" s="250" t="s">
        <v>303</v>
      </c>
      <c r="C28" s="54">
        <v>12960700</v>
      </c>
      <c r="D28" s="54">
        <v>12960700</v>
      </c>
      <c r="E28" s="54">
        <v>0</v>
      </c>
      <c r="F28" s="192">
        <v>0</v>
      </c>
      <c r="G28" s="247"/>
    </row>
    <row r="29" spans="1:7" ht="67.5" customHeight="1" x14ac:dyDescent="0.3">
      <c r="A29" s="248" t="s">
        <v>304</v>
      </c>
      <c r="B29" s="248" t="s">
        <v>305</v>
      </c>
      <c r="C29" s="249">
        <v>158322800</v>
      </c>
      <c r="D29" s="249">
        <v>158322800</v>
      </c>
      <c r="E29" s="192">
        <v>0</v>
      </c>
      <c r="F29" s="192">
        <v>0</v>
      </c>
      <c r="G29" s="247"/>
    </row>
    <row r="30" spans="1:7" ht="15.6" x14ac:dyDescent="0.3">
      <c r="A30" s="250" t="s">
        <v>306</v>
      </c>
      <c r="B30" s="250" t="s">
        <v>307</v>
      </c>
      <c r="C30" s="54">
        <v>129642600</v>
      </c>
      <c r="D30" s="54">
        <v>129642600</v>
      </c>
      <c r="E30" s="54">
        <v>0</v>
      </c>
      <c r="F30" s="192">
        <v>0</v>
      </c>
      <c r="G30" s="247"/>
    </row>
    <row r="31" spans="1:7" ht="35.25" customHeight="1" x14ac:dyDescent="0.3">
      <c r="A31" s="250"/>
      <c r="B31" s="250" t="s">
        <v>448</v>
      </c>
      <c r="C31" s="54">
        <f>D31+E31</f>
        <v>5628300</v>
      </c>
      <c r="D31" s="54">
        <f>D32+D33+D34+D35</f>
        <v>5628300</v>
      </c>
      <c r="E31" s="54"/>
      <c r="F31" s="192"/>
      <c r="G31" s="247"/>
    </row>
    <row r="32" spans="1:7" ht="67.5" customHeight="1" x14ac:dyDescent="0.3">
      <c r="A32" s="277">
        <v>18010100</v>
      </c>
      <c r="B32" s="250" t="s">
        <v>444</v>
      </c>
      <c r="C32" s="54">
        <f t="shared" ref="C32:C35" si="1">D32+E32</f>
        <v>14400</v>
      </c>
      <c r="D32" s="54">
        <v>14400</v>
      </c>
      <c r="E32" s="54"/>
      <c r="F32" s="192"/>
      <c r="G32" s="247"/>
    </row>
    <row r="33" spans="1:7" ht="62.4" x14ac:dyDescent="0.3">
      <c r="A33" s="277">
        <v>18010200</v>
      </c>
      <c r="B33" s="250" t="s">
        <v>445</v>
      </c>
      <c r="C33" s="54">
        <f t="shared" si="1"/>
        <v>510200</v>
      </c>
      <c r="D33" s="54">
        <v>510200</v>
      </c>
      <c r="E33" s="54"/>
      <c r="F33" s="192"/>
      <c r="G33" s="247"/>
    </row>
    <row r="34" spans="1:7" ht="62.4" x14ac:dyDescent="0.3">
      <c r="A34" s="277">
        <v>18010300</v>
      </c>
      <c r="B34" s="250" t="s">
        <v>446</v>
      </c>
      <c r="C34" s="54">
        <f t="shared" si="1"/>
        <v>1592500</v>
      </c>
      <c r="D34" s="54">
        <v>1592500</v>
      </c>
      <c r="E34" s="54"/>
      <c r="F34" s="192"/>
      <c r="G34" s="247"/>
    </row>
    <row r="35" spans="1:7" ht="72" customHeight="1" x14ac:dyDescent="0.3">
      <c r="A35" s="277">
        <v>18010400</v>
      </c>
      <c r="B35" s="250" t="s">
        <v>447</v>
      </c>
      <c r="C35" s="54">
        <f t="shared" si="1"/>
        <v>3511200</v>
      </c>
      <c r="D35" s="54">
        <v>3511200</v>
      </c>
      <c r="E35" s="54"/>
      <c r="F35" s="192"/>
      <c r="G35" s="247"/>
    </row>
    <row r="36" spans="1:7" ht="15.6" x14ac:dyDescent="0.3">
      <c r="A36" s="277"/>
      <c r="B36" s="250" t="s">
        <v>443</v>
      </c>
      <c r="C36" s="54">
        <f>D36+E36</f>
        <v>124014300</v>
      </c>
      <c r="D36" s="54">
        <f>D37+D38+D39+D40</f>
        <v>124014300</v>
      </c>
      <c r="E36" s="54"/>
      <c r="F36" s="192"/>
      <c r="G36" s="247"/>
    </row>
    <row r="37" spans="1:7" ht="15.6" x14ac:dyDescent="0.3">
      <c r="A37" s="277">
        <v>18010500</v>
      </c>
      <c r="B37" s="250" t="s">
        <v>439</v>
      </c>
      <c r="C37" s="54">
        <f t="shared" ref="C37:C40" si="2">D37+E37</f>
        <v>88760300</v>
      </c>
      <c r="D37" s="54">
        <v>88760300</v>
      </c>
      <c r="E37" s="54"/>
      <c r="F37" s="192"/>
      <c r="G37" s="247"/>
    </row>
    <row r="38" spans="1:7" ht="15.6" x14ac:dyDescent="0.3">
      <c r="A38" s="277">
        <v>18010600</v>
      </c>
      <c r="B38" s="250" t="s">
        <v>440</v>
      </c>
      <c r="C38" s="54">
        <f t="shared" si="2"/>
        <v>31424100</v>
      </c>
      <c r="D38" s="54">
        <v>31424100</v>
      </c>
      <c r="E38" s="54"/>
      <c r="F38" s="192"/>
      <c r="G38" s="247"/>
    </row>
    <row r="39" spans="1:7" ht="15.6" x14ac:dyDescent="0.3">
      <c r="A39" s="277">
        <v>18010700</v>
      </c>
      <c r="B39" s="250" t="s">
        <v>441</v>
      </c>
      <c r="C39" s="54">
        <f t="shared" si="2"/>
        <v>1693900</v>
      </c>
      <c r="D39" s="54">
        <v>1693900</v>
      </c>
      <c r="E39" s="54"/>
      <c r="F39" s="192"/>
      <c r="G39" s="247"/>
    </row>
    <row r="40" spans="1:7" ht="15.6" x14ac:dyDescent="0.3">
      <c r="A40" s="277">
        <v>18010900</v>
      </c>
      <c r="B40" s="250" t="s">
        <v>442</v>
      </c>
      <c r="C40" s="54">
        <f t="shared" si="2"/>
        <v>2136000</v>
      </c>
      <c r="D40" s="54">
        <v>2136000</v>
      </c>
      <c r="E40" s="54"/>
      <c r="F40" s="192"/>
      <c r="G40" s="247"/>
    </row>
    <row r="41" spans="1:7" ht="15.6" x14ac:dyDescent="0.3">
      <c r="A41" s="250" t="s">
        <v>308</v>
      </c>
      <c r="B41" s="250" t="s">
        <v>309</v>
      </c>
      <c r="C41" s="54">
        <v>104500</v>
      </c>
      <c r="D41" s="54">
        <v>104500</v>
      </c>
      <c r="E41" s="54">
        <v>0</v>
      </c>
      <c r="F41" s="192">
        <v>0</v>
      </c>
      <c r="G41" s="247"/>
    </row>
    <row r="42" spans="1:7" ht="15.6" x14ac:dyDescent="0.3">
      <c r="A42" s="250" t="s">
        <v>310</v>
      </c>
      <c r="B42" s="250" t="s">
        <v>311</v>
      </c>
      <c r="C42" s="54">
        <v>28575700</v>
      </c>
      <c r="D42" s="54">
        <v>28575700</v>
      </c>
      <c r="E42" s="54">
        <v>0</v>
      </c>
      <c r="F42" s="192">
        <v>0</v>
      </c>
      <c r="G42" s="247"/>
    </row>
    <row r="43" spans="1:7" ht="16.2" x14ac:dyDescent="0.3">
      <c r="A43" s="248" t="s">
        <v>312</v>
      </c>
      <c r="B43" s="248" t="s">
        <v>313</v>
      </c>
      <c r="C43" s="249">
        <v>284800</v>
      </c>
      <c r="D43" s="249">
        <v>0</v>
      </c>
      <c r="E43" s="249">
        <v>284800</v>
      </c>
      <c r="F43" s="192">
        <v>0</v>
      </c>
      <c r="G43" s="247"/>
    </row>
    <row r="44" spans="1:7" ht="15.6" x14ac:dyDescent="0.3">
      <c r="A44" s="250" t="s">
        <v>314</v>
      </c>
      <c r="B44" s="250" t="s">
        <v>315</v>
      </c>
      <c r="C44" s="54">
        <v>284800</v>
      </c>
      <c r="D44" s="54">
        <v>0</v>
      </c>
      <c r="E44" s="54">
        <v>284800</v>
      </c>
      <c r="F44" s="54">
        <v>0</v>
      </c>
      <c r="G44" s="247"/>
    </row>
    <row r="45" spans="1:7" ht="15.6" x14ac:dyDescent="0.3">
      <c r="A45" s="246" t="s">
        <v>316</v>
      </c>
      <c r="B45" s="246" t="s">
        <v>317</v>
      </c>
      <c r="C45" s="192">
        <f>C46+C50+C56+C60</f>
        <v>17773000</v>
      </c>
      <c r="D45" s="192">
        <f>D46+D50+D56+D60</f>
        <v>4265900</v>
      </c>
      <c r="E45" s="192">
        <f>E46+E50+E56+E60</f>
        <v>13507100</v>
      </c>
      <c r="F45" s="192">
        <f>F46+F50+F56+F60</f>
        <v>654600</v>
      </c>
      <c r="G45" s="393"/>
    </row>
    <row r="46" spans="1:7" ht="32.4" x14ac:dyDescent="0.3">
      <c r="A46" s="248" t="s">
        <v>318</v>
      </c>
      <c r="B46" s="248" t="s">
        <v>319</v>
      </c>
      <c r="C46" s="249">
        <v>969300</v>
      </c>
      <c r="D46" s="249">
        <v>969300</v>
      </c>
      <c r="E46" s="192">
        <v>0</v>
      </c>
      <c r="F46" s="192">
        <v>0</v>
      </c>
      <c r="G46" s="247"/>
    </row>
    <row r="47" spans="1:7" ht="62.4" x14ac:dyDescent="0.3">
      <c r="A47" s="250" t="s">
        <v>320</v>
      </c>
      <c r="B47" s="250" t="s">
        <v>321</v>
      </c>
      <c r="C47" s="54">
        <v>2300</v>
      </c>
      <c r="D47" s="54">
        <v>2300</v>
      </c>
      <c r="E47" s="54">
        <v>0</v>
      </c>
      <c r="F47" s="54">
        <v>0</v>
      </c>
      <c r="G47" s="247"/>
    </row>
    <row r="48" spans="1:7" ht="21.75" customHeight="1" x14ac:dyDescent="0.3">
      <c r="A48" s="250" t="s">
        <v>322</v>
      </c>
      <c r="B48" s="250" t="s">
        <v>323</v>
      </c>
      <c r="C48" s="54">
        <v>82700</v>
      </c>
      <c r="D48" s="54">
        <v>82700</v>
      </c>
      <c r="E48" s="54">
        <v>0</v>
      </c>
      <c r="F48" s="54">
        <v>0</v>
      </c>
      <c r="G48" s="247"/>
    </row>
    <row r="49" spans="1:7" ht="15.6" x14ac:dyDescent="0.3">
      <c r="A49" s="250" t="s">
        <v>324</v>
      </c>
      <c r="B49" s="250" t="s">
        <v>325</v>
      </c>
      <c r="C49" s="54">
        <v>884300</v>
      </c>
      <c r="D49" s="54">
        <v>884300</v>
      </c>
      <c r="E49" s="54">
        <v>0</v>
      </c>
      <c r="F49" s="54">
        <v>0</v>
      </c>
      <c r="G49" s="247"/>
    </row>
    <row r="50" spans="1:7" ht="48.6" x14ac:dyDescent="0.3">
      <c r="A50" s="248" t="s">
        <v>326</v>
      </c>
      <c r="B50" s="248" t="s">
        <v>327</v>
      </c>
      <c r="C50" s="249">
        <f>C51+C52+C53+C54+C55</f>
        <v>2753400</v>
      </c>
      <c r="D50" s="249">
        <f t="shared" ref="D50:F50" si="3">D51+D52+D53+D54+D55</f>
        <v>2753400</v>
      </c>
      <c r="E50" s="249">
        <f t="shared" si="3"/>
        <v>0</v>
      </c>
      <c r="F50" s="249">
        <f t="shared" si="3"/>
        <v>0</v>
      </c>
      <c r="G50" s="247"/>
    </row>
    <row r="51" spans="1:7" ht="67.95" customHeight="1" x14ac:dyDescent="0.3">
      <c r="A51" s="250" t="s">
        <v>328</v>
      </c>
      <c r="B51" s="250" t="s">
        <v>329</v>
      </c>
      <c r="C51" s="54">
        <v>112500</v>
      </c>
      <c r="D51" s="54">
        <v>112500</v>
      </c>
      <c r="E51" s="54">
        <v>0</v>
      </c>
      <c r="F51" s="54">
        <v>0</v>
      </c>
      <c r="G51" s="247"/>
    </row>
    <row r="52" spans="1:7" ht="31.2" x14ac:dyDescent="0.3">
      <c r="A52" s="250" t="s">
        <v>330</v>
      </c>
      <c r="B52" s="250" t="s">
        <v>269</v>
      </c>
      <c r="C52" s="54">
        <v>1320400</v>
      </c>
      <c r="D52" s="54">
        <v>1320400</v>
      </c>
      <c r="E52" s="54">
        <v>0</v>
      </c>
      <c r="F52" s="54">
        <v>0</v>
      </c>
      <c r="G52" s="247"/>
    </row>
    <row r="53" spans="1:7" ht="46.8" x14ac:dyDescent="0.3">
      <c r="A53" s="250" t="s">
        <v>331</v>
      </c>
      <c r="B53" s="250" t="s">
        <v>270</v>
      </c>
      <c r="C53" s="54">
        <v>294300</v>
      </c>
      <c r="D53" s="54">
        <v>294300</v>
      </c>
      <c r="E53" s="54">
        <v>0</v>
      </c>
      <c r="F53" s="54">
        <v>0</v>
      </c>
      <c r="G53" s="247"/>
    </row>
    <row r="54" spans="1:7" ht="66" customHeight="1" x14ac:dyDescent="0.3">
      <c r="A54" s="250" t="s">
        <v>332</v>
      </c>
      <c r="B54" s="250" t="s">
        <v>271</v>
      </c>
      <c r="C54" s="54">
        <v>1016000</v>
      </c>
      <c r="D54" s="54">
        <v>1016000</v>
      </c>
      <c r="E54" s="54">
        <v>0</v>
      </c>
      <c r="F54" s="54">
        <v>0</v>
      </c>
      <c r="G54" s="247"/>
    </row>
    <row r="55" spans="1:7" ht="15.6" x14ac:dyDescent="0.3">
      <c r="A55" s="250" t="s">
        <v>333</v>
      </c>
      <c r="B55" s="250" t="s">
        <v>334</v>
      </c>
      <c r="C55" s="54">
        <v>10200</v>
      </c>
      <c r="D55" s="54">
        <v>10200</v>
      </c>
      <c r="E55" s="192">
        <v>0</v>
      </c>
      <c r="F55" s="192">
        <v>0</v>
      </c>
      <c r="G55" s="247"/>
    </row>
    <row r="56" spans="1:7" ht="16.2" x14ac:dyDescent="0.3">
      <c r="A56" s="248" t="s">
        <v>335</v>
      </c>
      <c r="B56" s="248" t="s">
        <v>336</v>
      </c>
      <c r="C56" s="249">
        <f>C57+C58+C59</f>
        <v>1197800</v>
      </c>
      <c r="D56" s="249">
        <f t="shared" ref="D56:F56" si="4">D57+D58+D59</f>
        <v>543200</v>
      </c>
      <c r="E56" s="249">
        <f t="shared" si="4"/>
        <v>654600</v>
      </c>
      <c r="F56" s="249">
        <f t="shared" si="4"/>
        <v>654600</v>
      </c>
      <c r="G56" s="247"/>
    </row>
    <row r="57" spans="1:7" ht="15.6" x14ac:dyDescent="0.3">
      <c r="A57" s="250" t="s">
        <v>337</v>
      </c>
      <c r="B57" s="250" t="s">
        <v>338</v>
      </c>
      <c r="C57" s="54">
        <v>50000</v>
      </c>
      <c r="D57" s="54">
        <v>50000</v>
      </c>
      <c r="E57" s="54">
        <v>0</v>
      </c>
      <c r="F57" s="54">
        <v>0</v>
      </c>
      <c r="G57" s="247"/>
    </row>
    <row r="58" spans="1:7" ht="187.2" x14ac:dyDescent="0.3">
      <c r="A58" s="250" t="s">
        <v>339</v>
      </c>
      <c r="B58" s="250" t="s">
        <v>575</v>
      </c>
      <c r="C58" s="54">
        <v>493200</v>
      </c>
      <c r="D58" s="54">
        <v>493200</v>
      </c>
      <c r="E58" s="54">
        <v>0</v>
      </c>
      <c r="F58" s="54">
        <v>0</v>
      </c>
      <c r="G58" s="600"/>
    </row>
    <row r="59" spans="1:7" ht="31.2" x14ac:dyDescent="0.3">
      <c r="A59" s="250" t="s">
        <v>340</v>
      </c>
      <c r="B59" s="250" t="s">
        <v>272</v>
      </c>
      <c r="C59" s="54">
        <v>654600</v>
      </c>
      <c r="D59" s="54">
        <v>0</v>
      </c>
      <c r="E59" s="54">
        <v>654600</v>
      </c>
      <c r="F59" s="54">
        <v>654600</v>
      </c>
      <c r="G59" s="247"/>
    </row>
    <row r="60" spans="1:7" ht="32.4" x14ac:dyDescent="0.3">
      <c r="A60" s="248" t="s">
        <v>341</v>
      </c>
      <c r="B60" s="248" t="s">
        <v>342</v>
      </c>
      <c r="C60" s="249">
        <f>C61</f>
        <v>12852500</v>
      </c>
      <c r="D60" s="249">
        <f t="shared" ref="D60:F60" si="5">D61</f>
        <v>0</v>
      </c>
      <c r="E60" s="249">
        <f t="shared" si="5"/>
        <v>12852500</v>
      </c>
      <c r="F60" s="249">
        <f t="shared" si="5"/>
        <v>0</v>
      </c>
      <c r="G60" s="247"/>
    </row>
    <row r="61" spans="1:7" ht="54.75" customHeight="1" x14ac:dyDescent="0.3">
      <c r="A61" s="250" t="s">
        <v>343</v>
      </c>
      <c r="B61" s="250" t="s">
        <v>344</v>
      </c>
      <c r="C61" s="54">
        <v>12852500</v>
      </c>
      <c r="D61" s="54">
        <v>0</v>
      </c>
      <c r="E61" s="54">
        <v>12852500</v>
      </c>
      <c r="F61" s="192">
        <v>0</v>
      </c>
      <c r="G61" s="247"/>
    </row>
    <row r="62" spans="1:7" ht="16.2" x14ac:dyDescent="0.3">
      <c r="A62" s="248" t="s">
        <v>345</v>
      </c>
      <c r="B62" s="248" t="s">
        <v>346</v>
      </c>
      <c r="C62" s="249">
        <f>C63+C64</f>
        <v>271600</v>
      </c>
      <c r="D62" s="249">
        <f t="shared" ref="D62:F62" si="6">D63+D64</f>
        <v>0</v>
      </c>
      <c r="E62" s="249">
        <f t="shared" si="6"/>
        <v>271600</v>
      </c>
      <c r="F62" s="249">
        <f t="shared" si="6"/>
        <v>271600</v>
      </c>
      <c r="G62" s="247"/>
    </row>
    <row r="63" spans="1:7" ht="46.8" x14ac:dyDescent="0.3">
      <c r="A63" s="250" t="s">
        <v>347</v>
      </c>
      <c r="B63" s="250" t="s">
        <v>273</v>
      </c>
      <c r="C63" s="54">
        <v>75000</v>
      </c>
      <c r="D63" s="54">
        <v>0</v>
      </c>
      <c r="E63" s="54">
        <v>75000</v>
      </c>
      <c r="F63" s="54">
        <v>75000</v>
      </c>
      <c r="G63" s="247"/>
    </row>
    <row r="64" spans="1:7" ht="93.6" x14ac:dyDescent="0.3">
      <c r="A64" s="250" t="s">
        <v>348</v>
      </c>
      <c r="B64" s="250" t="s">
        <v>349</v>
      </c>
      <c r="C64" s="54">
        <v>196600</v>
      </c>
      <c r="D64" s="54">
        <v>0</v>
      </c>
      <c r="E64" s="54">
        <v>196600</v>
      </c>
      <c r="F64" s="54">
        <v>196600</v>
      </c>
      <c r="G64" s="247"/>
    </row>
    <row r="65" spans="1:7" ht="31.2" x14ac:dyDescent="0.3">
      <c r="A65" s="246"/>
      <c r="B65" s="246" t="s">
        <v>350</v>
      </c>
      <c r="C65" s="192">
        <f>C21+C45+C62</f>
        <v>439495900</v>
      </c>
      <c r="D65" s="192">
        <f>D21+D45+D62</f>
        <v>425432400</v>
      </c>
      <c r="E65" s="192">
        <f>E21+E45+E62</f>
        <v>14063500</v>
      </c>
      <c r="F65" s="192">
        <f>F21+F45+F62</f>
        <v>926200</v>
      </c>
      <c r="G65" s="247"/>
    </row>
    <row r="66" spans="1:7" ht="15.6" x14ac:dyDescent="0.3">
      <c r="A66" s="246" t="s">
        <v>351</v>
      </c>
      <c r="B66" s="288" t="s">
        <v>352</v>
      </c>
      <c r="C66" s="192">
        <f>C67</f>
        <v>93444953</v>
      </c>
      <c r="D66" s="192">
        <f>D67</f>
        <v>93444953</v>
      </c>
      <c r="E66" s="192">
        <v>0</v>
      </c>
      <c r="F66" s="192">
        <v>0</v>
      </c>
      <c r="G66" s="247"/>
    </row>
    <row r="67" spans="1:7" ht="15.6" x14ac:dyDescent="0.3">
      <c r="A67" s="246" t="s">
        <v>353</v>
      </c>
      <c r="B67" s="288" t="s">
        <v>354</v>
      </c>
      <c r="C67" s="192">
        <f>C68+C70+C72</f>
        <v>93444953</v>
      </c>
      <c r="D67" s="192">
        <f>D68+D70+D72</f>
        <v>93444953</v>
      </c>
      <c r="E67" s="192">
        <v>0</v>
      </c>
      <c r="F67" s="192">
        <v>0</v>
      </c>
      <c r="G67" s="247"/>
    </row>
    <row r="68" spans="1:7" s="605" customFormat="1" ht="31.2" x14ac:dyDescent="0.3">
      <c r="A68" s="601">
        <v>41020000</v>
      </c>
      <c r="B68" s="606" t="s">
        <v>573</v>
      </c>
      <c r="C68" s="192">
        <f>D68</f>
        <v>28740200</v>
      </c>
      <c r="D68" s="192">
        <f>D69</f>
        <v>28740200</v>
      </c>
      <c r="E68" s="192"/>
      <c r="F68" s="192"/>
      <c r="G68" s="604"/>
    </row>
    <row r="69" spans="1:7" s="603" customFormat="1" ht="124.8" x14ac:dyDescent="0.3">
      <c r="A69" s="277">
        <v>41021400</v>
      </c>
      <c r="B69" s="289" t="s">
        <v>574</v>
      </c>
      <c r="C69" s="54">
        <f>D69</f>
        <v>28740200</v>
      </c>
      <c r="D69" s="54">
        <f>7037400+21702800</f>
        <v>28740200</v>
      </c>
      <c r="E69" s="54"/>
      <c r="F69" s="54"/>
      <c r="G69" s="602"/>
    </row>
    <row r="70" spans="1:7" ht="31.2" x14ac:dyDescent="0.3">
      <c r="A70" s="246" t="s">
        <v>355</v>
      </c>
      <c r="B70" s="288" t="s">
        <v>356</v>
      </c>
      <c r="C70" s="192">
        <f>D70</f>
        <v>63608200</v>
      </c>
      <c r="D70" s="192">
        <f>D71</f>
        <v>63608200</v>
      </c>
      <c r="E70" s="192">
        <v>0</v>
      </c>
      <c r="F70" s="192">
        <v>0</v>
      </c>
      <c r="G70" s="247"/>
    </row>
    <row r="71" spans="1:7" ht="31.2" x14ac:dyDescent="0.3">
      <c r="A71" s="250" t="s">
        <v>246</v>
      </c>
      <c r="B71" s="289" t="s">
        <v>247</v>
      </c>
      <c r="C71" s="54">
        <f>D71</f>
        <v>63608200</v>
      </c>
      <c r="D71" s="54">
        <v>63608200</v>
      </c>
      <c r="E71" s="54">
        <v>0</v>
      </c>
      <c r="F71" s="54">
        <v>0</v>
      </c>
      <c r="G71" s="247"/>
    </row>
    <row r="72" spans="1:7" ht="32.4" x14ac:dyDescent="0.3">
      <c r="A72" s="248" t="s">
        <v>466</v>
      </c>
      <c r="B72" s="290" t="s">
        <v>467</v>
      </c>
      <c r="C72" s="249">
        <f>C73+C74+C75+C77+C78+C79+C76</f>
        <v>1096553</v>
      </c>
      <c r="D72" s="249">
        <f>D73+D74+D75+D77+D78+D79+D76</f>
        <v>1096553</v>
      </c>
      <c r="E72" s="192">
        <v>0</v>
      </c>
      <c r="F72" s="192">
        <v>0</v>
      </c>
      <c r="G72" s="247"/>
    </row>
    <row r="73" spans="1:7" ht="46.8" x14ac:dyDescent="0.3">
      <c r="A73" s="596" t="s">
        <v>250</v>
      </c>
      <c r="B73" s="289" t="s">
        <v>251</v>
      </c>
      <c r="C73" s="54">
        <f>D73</f>
        <v>715470</v>
      </c>
      <c r="D73" s="54">
        <v>715470</v>
      </c>
      <c r="E73" s="54">
        <v>0</v>
      </c>
      <c r="F73" s="54">
        <v>0</v>
      </c>
      <c r="G73" s="247"/>
    </row>
    <row r="74" spans="1:7" ht="129.6" customHeight="1" x14ac:dyDescent="0.3">
      <c r="A74" s="401">
        <v>41051200</v>
      </c>
      <c r="B74" s="153" t="s">
        <v>468</v>
      </c>
      <c r="C74" s="291">
        <f>D74</f>
        <v>138306</v>
      </c>
      <c r="D74" s="54">
        <v>138306</v>
      </c>
      <c r="E74" s="54"/>
      <c r="F74" s="54"/>
      <c r="G74" s="247"/>
    </row>
    <row r="75" spans="1:7" ht="124.8" x14ac:dyDescent="0.3">
      <c r="A75" s="401">
        <v>41051200</v>
      </c>
      <c r="B75" s="292" t="s">
        <v>469</v>
      </c>
      <c r="C75" s="291">
        <f>D75</f>
        <v>85974</v>
      </c>
      <c r="D75" s="54">
        <v>85974</v>
      </c>
      <c r="E75" s="54"/>
      <c r="F75" s="54"/>
      <c r="G75" s="247"/>
    </row>
    <row r="76" spans="1:7" ht="78" x14ac:dyDescent="0.3">
      <c r="A76" s="401">
        <v>41051700</v>
      </c>
      <c r="B76" s="292" t="s">
        <v>576</v>
      </c>
      <c r="C76" s="607">
        <f>D76</f>
        <v>37033</v>
      </c>
      <c r="D76" s="54">
        <v>37033</v>
      </c>
      <c r="E76" s="608"/>
      <c r="F76" s="54"/>
      <c r="G76" s="247"/>
    </row>
    <row r="77" spans="1:7" ht="62.4" x14ac:dyDescent="0.3">
      <c r="A77" s="402">
        <v>41053900</v>
      </c>
      <c r="B77" s="153" t="s">
        <v>253</v>
      </c>
      <c r="C77" s="293">
        <f t="shared" ref="C77:C79" si="7">D77+E77</f>
        <v>18905</v>
      </c>
      <c r="D77" s="294">
        <v>18905</v>
      </c>
      <c r="E77" s="295"/>
      <c r="F77" s="394"/>
      <c r="G77" s="247"/>
    </row>
    <row r="78" spans="1:7" ht="50.4" customHeight="1" x14ac:dyDescent="0.3">
      <c r="A78" s="403">
        <v>41053900</v>
      </c>
      <c r="B78" s="153" t="s">
        <v>255</v>
      </c>
      <c r="C78" s="296">
        <f t="shared" si="7"/>
        <v>50420</v>
      </c>
      <c r="D78" s="294">
        <v>50420</v>
      </c>
      <c r="E78" s="295"/>
      <c r="F78" s="394"/>
      <c r="G78" s="247"/>
    </row>
    <row r="79" spans="1:7" ht="78" x14ac:dyDescent="0.3">
      <c r="A79" s="403">
        <v>41053900</v>
      </c>
      <c r="B79" s="153" t="s">
        <v>256</v>
      </c>
      <c r="C79" s="296">
        <f t="shared" si="7"/>
        <v>50445</v>
      </c>
      <c r="D79" s="294">
        <v>50445</v>
      </c>
      <c r="E79" s="295"/>
      <c r="F79" s="394"/>
      <c r="G79" s="247"/>
    </row>
    <row r="80" spans="1:7" ht="0.75" customHeight="1" thickBot="1" x14ac:dyDescent="0.35">
      <c r="A80" s="246" t="s">
        <v>351</v>
      </c>
      <c r="B80" s="246" t="s">
        <v>352</v>
      </c>
      <c r="C80" s="192"/>
      <c r="D80" s="192"/>
      <c r="E80" s="192">
        <v>0</v>
      </c>
      <c r="F80" s="192">
        <v>0</v>
      </c>
      <c r="G80" s="247"/>
    </row>
    <row r="81" spans="1:7" ht="15.6" hidden="1" customHeight="1" x14ac:dyDescent="0.3">
      <c r="A81" s="246" t="s">
        <v>353</v>
      </c>
      <c r="B81" s="246" t="s">
        <v>354</v>
      </c>
      <c r="C81" s="192"/>
      <c r="D81" s="192"/>
      <c r="E81" s="192">
        <v>0</v>
      </c>
      <c r="F81" s="192">
        <v>0</v>
      </c>
      <c r="G81" s="247"/>
    </row>
    <row r="82" spans="1:7" ht="31.2" hidden="1" customHeight="1" x14ac:dyDescent="0.3">
      <c r="A82" s="246" t="s">
        <v>355</v>
      </c>
      <c r="B82" s="246" t="s">
        <v>356</v>
      </c>
      <c r="C82" s="192"/>
      <c r="D82" s="192"/>
      <c r="E82" s="192">
        <v>0</v>
      </c>
      <c r="F82" s="192">
        <v>0</v>
      </c>
      <c r="G82" s="247"/>
    </row>
    <row r="83" spans="1:7" ht="31.2" hidden="1" customHeight="1" x14ac:dyDescent="0.3">
      <c r="A83" s="395" t="s">
        <v>246</v>
      </c>
      <c r="B83" s="395" t="s">
        <v>247</v>
      </c>
      <c r="C83" s="223"/>
      <c r="D83" s="223"/>
      <c r="E83" s="223">
        <v>0</v>
      </c>
      <c r="F83" s="223">
        <v>0</v>
      </c>
      <c r="G83" s="247"/>
    </row>
    <row r="84" spans="1:7" ht="16.2" thickBot="1" x14ac:dyDescent="0.35">
      <c r="A84" s="210" t="s">
        <v>7</v>
      </c>
      <c r="B84" s="276" t="s">
        <v>357</v>
      </c>
      <c r="C84" s="230">
        <f>C65+C66</f>
        <v>532940853</v>
      </c>
      <c r="D84" s="230">
        <f t="shared" ref="D84:F84" si="8">D65+D66</f>
        <v>518877353</v>
      </c>
      <c r="E84" s="230">
        <f t="shared" si="8"/>
        <v>14063500</v>
      </c>
      <c r="F84" s="230">
        <f t="shared" si="8"/>
        <v>926200</v>
      </c>
      <c r="G84" s="247"/>
    </row>
    <row r="85" spans="1:7" ht="15.6" x14ac:dyDescent="0.3">
      <c r="A85" s="203"/>
      <c r="B85" s="203"/>
      <c r="C85" s="203"/>
      <c r="D85" s="203"/>
      <c r="E85" s="203"/>
      <c r="F85" s="203"/>
    </row>
    <row r="86" spans="1:7" x14ac:dyDescent="0.3">
      <c r="A86" s="694"/>
      <c r="B86" s="694"/>
      <c r="C86" s="694"/>
      <c r="D86" s="694"/>
      <c r="E86" s="694"/>
      <c r="F86" s="694"/>
    </row>
    <row r="88" spans="1:7" ht="17.399999999999999" x14ac:dyDescent="0.3">
      <c r="A88" s="251" t="s">
        <v>236</v>
      </c>
      <c r="B88" s="251"/>
      <c r="C88" s="252"/>
      <c r="D88" s="253"/>
      <c r="E88" s="695" t="s">
        <v>237</v>
      </c>
      <c r="F88" s="695"/>
    </row>
  </sheetData>
  <mergeCells count="26">
    <mergeCell ref="A86:F86"/>
    <mergeCell ref="E88:F88"/>
    <mergeCell ref="A15:B15"/>
    <mergeCell ref="G15:I15"/>
    <mergeCell ref="G16:I16"/>
    <mergeCell ref="A17:A19"/>
    <mergeCell ref="B17:B19"/>
    <mergeCell ref="C17:C19"/>
    <mergeCell ref="D17:D19"/>
    <mergeCell ref="E17:F17"/>
    <mergeCell ref="E18:E19"/>
    <mergeCell ref="F18:F19"/>
    <mergeCell ref="D12:F12"/>
    <mergeCell ref="G12:I12"/>
    <mergeCell ref="D13:F13"/>
    <mergeCell ref="G13:I13"/>
    <mergeCell ref="A14:F14"/>
    <mergeCell ref="G14:I14"/>
    <mergeCell ref="D5:E5"/>
    <mergeCell ref="D11:F11"/>
    <mergeCell ref="G11:I11"/>
    <mergeCell ref="D7:F7"/>
    <mergeCell ref="G7:I7"/>
    <mergeCell ref="D8:F8"/>
    <mergeCell ref="D9:F9"/>
    <mergeCell ref="D10:F10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rowBreaks count="3" manualBreakCount="3">
    <brk id="35" max="5" man="1"/>
    <brk id="61" max="5" man="1"/>
    <brk id="78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19" zoomScale="90" zoomScaleNormal="100" zoomScaleSheetLayoutView="90" workbookViewId="0">
      <selection activeCell="D28" sqref="D28"/>
    </sheetView>
  </sheetViews>
  <sheetFormatPr defaultRowHeight="13.8" x14ac:dyDescent="0.3"/>
  <cols>
    <col min="1" max="1" width="11.33203125" customWidth="1"/>
    <col min="2" max="2" width="41" customWidth="1"/>
    <col min="3" max="3" width="13.88671875" customWidth="1"/>
    <col min="4" max="4" width="14.5546875" customWidth="1"/>
    <col min="5" max="5" width="15.5546875" customWidth="1"/>
    <col min="6" max="6" width="16.33203125" customWidth="1"/>
  </cols>
  <sheetData>
    <row r="1" spans="1:13" ht="15.6" x14ac:dyDescent="0.3">
      <c r="D1" s="280" t="s">
        <v>358</v>
      </c>
      <c r="E1" s="4"/>
      <c r="F1" s="5"/>
    </row>
    <row r="2" spans="1:13" ht="15.6" x14ac:dyDescent="0.3">
      <c r="D2" s="280" t="s">
        <v>208</v>
      </c>
      <c r="E2" s="4"/>
      <c r="F2" s="5"/>
    </row>
    <row r="3" spans="1:13" ht="15.6" x14ac:dyDescent="0.3">
      <c r="D3" s="281" t="s">
        <v>592</v>
      </c>
      <c r="E3" s="7"/>
      <c r="F3" s="5"/>
    </row>
    <row r="4" spans="1:13" ht="15.6" x14ac:dyDescent="0.3">
      <c r="D4" s="6" t="s">
        <v>604</v>
      </c>
      <c r="E4" s="282"/>
      <c r="F4" s="5"/>
    </row>
    <row r="5" spans="1:13" ht="15.6" x14ac:dyDescent="0.3">
      <c r="D5" s="687" t="s">
        <v>611</v>
      </c>
      <c r="E5" s="687"/>
      <c r="F5" s="5"/>
    </row>
    <row r="7" spans="1:13" ht="15.6" x14ac:dyDescent="0.3">
      <c r="D7" s="3" t="s">
        <v>453</v>
      </c>
      <c r="E7" s="4"/>
      <c r="F7" s="5"/>
    </row>
    <row r="8" spans="1:13" ht="15.6" x14ac:dyDescent="0.3">
      <c r="D8" s="3" t="s">
        <v>8</v>
      </c>
      <c r="E8" s="4"/>
      <c r="F8" s="5"/>
    </row>
    <row r="9" spans="1:13" ht="15.6" x14ac:dyDescent="0.3">
      <c r="D9" s="69" t="s">
        <v>9</v>
      </c>
      <c r="E9" s="4"/>
      <c r="F9" s="5"/>
      <c r="I9" s="283"/>
      <c r="J9" s="283"/>
      <c r="K9" s="283"/>
      <c r="L9" s="283"/>
      <c r="M9" s="283"/>
    </row>
    <row r="10" spans="1:13" ht="15.6" x14ac:dyDescent="0.3">
      <c r="D10" s="69" t="s">
        <v>275</v>
      </c>
      <c r="E10" s="4"/>
      <c r="F10" s="5"/>
      <c r="I10" s="278"/>
      <c r="J10" s="284"/>
      <c r="K10" s="55"/>
      <c r="L10" s="283"/>
      <c r="M10" s="283"/>
    </row>
    <row r="11" spans="1:13" ht="15.6" x14ac:dyDescent="0.3">
      <c r="D11" s="6" t="s">
        <v>433</v>
      </c>
      <c r="E11" s="7"/>
      <c r="F11" s="5"/>
      <c r="I11" s="278"/>
      <c r="J11" s="284"/>
      <c r="K11" s="55"/>
      <c r="L11" s="283"/>
      <c r="M11" s="283"/>
    </row>
    <row r="12" spans="1:13" ht="15.6" x14ac:dyDescent="0.3">
      <c r="D12" s="6" t="s">
        <v>434</v>
      </c>
      <c r="E12" s="4"/>
      <c r="F12" s="5"/>
      <c r="I12" s="279"/>
      <c r="J12" s="284"/>
      <c r="K12" s="55"/>
      <c r="L12" s="283"/>
      <c r="M12" s="283"/>
    </row>
    <row r="13" spans="1:13" ht="15.6" x14ac:dyDescent="0.3">
      <c r="D13" s="705" t="s">
        <v>454</v>
      </c>
      <c r="E13" s="705"/>
      <c r="F13" s="5"/>
      <c r="I13" s="51"/>
      <c r="J13" s="284"/>
      <c r="K13" s="55"/>
      <c r="L13" s="283"/>
      <c r="M13" s="283"/>
    </row>
    <row r="14" spans="1:13" ht="15.6" x14ac:dyDescent="0.3">
      <c r="I14" s="687"/>
      <c r="J14" s="687"/>
      <c r="K14" s="55"/>
      <c r="L14" s="283"/>
      <c r="M14" s="283"/>
    </row>
    <row r="15" spans="1:13" ht="21" x14ac:dyDescent="0.4">
      <c r="A15" s="706" t="s">
        <v>359</v>
      </c>
      <c r="B15" s="707"/>
      <c r="C15" s="707"/>
      <c r="D15" s="707"/>
      <c r="E15" s="707"/>
      <c r="F15" s="707"/>
      <c r="I15" s="283"/>
      <c r="J15" s="283"/>
      <c r="K15" s="283"/>
      <c r="L15" s="283"/>
      <c r="M15" s="283"/>
    </row>
    <row r="16" spans="1:13" ht="21" x14ac:dyDescent="0.4">
      <c r="A16" s="70"/>
      <c r="B16" s="71"/>
      <c r="C16" s="71"/>
      <c r="D16" s="71"/>
      <c r="E16" s="71"/>
      <c r="F16" s="71"/>
    </row>
    <row r="17" spans="1:6" ht="15.6" x14ac:dyDescent="0.3">
      <c r="A17" s="72" t="s">
        <v>286</v>
      </c>
      <c r="B17" s="1"/>
      <c r="C17" s="1"/>
      <c r="D17" s="1"/>
      <c r="E17" s="1"/>
      <c r="F17" s="1"/>
    </row>
    <row r="18" spans="1:6" ht="16.2" thickBot="1" x14ac:dyDescent="0.35">
      <c r="A18" s="73" t="s">
        <v>0</v>
      </c>
      <c r="B18" s="1"/>
      <c r="C18" s="1"/>
      <c r="D18" s="1"/>
      <c r="E18" s="1"/>
      <c r="F18" s="2" t="s">
        <v>1</v>
      </c>
    </row>
    <row r="19" spans="1:6" ht="15.6" x14ac:dyDescent="0.3">
      <c r="A19" s="708" t="s">
        <v>186</v>
      </c>
      <c r="B19" s="711" t="s">
        <v>187</v>
      </c>
      <c r="C19" s="711" t="s">
        <v>2</v>
      </c>
      <c r="D19" s="711" t="s">
        <v>3</v>
      </c>
      <c r="E19" s="711" t="s">
        <v>4</v>
      </c>
      <c r="F19" s="714"/>
    </row>
    <row r="20" spans="1:6" x14ac:dyDescent="0.3">
      <c r="A20" s="709"/>
      <c r="B20" s="712"/>
      <c r="C20" s="712"/>
      <c r="D20" s="712"/>
      <c r="E20" s="712" t="s">
        <v>5</v>
      </c>
      <c r="F20" s="715" t="s">
        <v>6</v>
      </c>
    </row>
    <row r="21" spans="1:6" ht="44.4" customHeight="1" thickBot="1" x14ac:dyDescent="0.35">
      <c r="A21" s="710"/>
      <c r="B21" s="713"/>
      <c r="C21" s="713"/>
      <c r="D21" s="713"/>
      <c r="E21" s="713"/>
      <c r="F21" s="716"/>
    </row>
    <row r="22" spans="1:6" ht="15.6" x14ac:dyDescent="0.3">
      <c r="A22" s="74">
        <v>1</v>
      </c>
      <c r="B22" s="75">
        <v>2</v>
      </c>
      <c r="C22" s="75">
        <v>3</v>
      </c>
      <c r="D22" s="75">
        <v>4</v>
      </c>
      <c r="E22" s="75">
        <v>5</v>
      </c>
      <c r="F22" s="76">
        <v>6</v>
      </c>
    </row>
    <row r="23" spans="1:6" ht="15.6" x14ac:dyDescent="0.3">
      <c r="A23" s="698" t="s">
        <v>188</v>
      </c>
      <c r="B23" s="699"/>
      <c r="C23" s="699"/>
      <c r="D23" s="699"/>
      <c r="E23" s="699"/>
      <c r="F23" s="700"/>
    </row>
    <row r="24" spans="1:6" ht="15.6" x14ac:dyDescent="0.3">
      <c r="A24" s="77" t="s">
        <v>189</v>
      </c>
      <c r="B24" s="78" t="s">
        <v>190</v>
      </c>
      <c r="C24" s="79">
        <f>C25</f>
        <v>79743157</v>
      </c>
      <c r="D24" s="79">
        <f>D25</f>
        <v>-8200567</v>
      </c>
      <c r="E24" s="79">
        <f>E25</f>
        <v>87943724</v>
      </c>
      <c r="F24" s="80">
        <f>F25</f>
        <v>87360220</v>
      </c>
    </row>
    <row r="25" spans="1:6" ht="31.2" x14ac:dyDescent="0.3">
      <c r="A25" s="81" t="s">
        <v>191</v>
      </c>
      <c r="B25" s="82" t="s">
        <v>192</v>
      </c>
      <c r="C25" s="8">
        <f>C26-1000000+C28</f>
        <v>79743157</v>
      </c>
      <c r="D25" s="8">
        <f>D26-1000000+D28</f>
        <v>-8200567</v>
      </c>
      <c r="E25" s="8">
        <f>E26+E28</f>
        <v>87943724</v>
      </c>
      <c r="F25" s="8">
        <f>F26+F28</f>
        <v>87360220</v>
      </c>
    </row>
    <row r="26" spans="1:6" ht="15.6" x14ac:dyDescent="0.3">
      <c r="A26" s="81" t="s">
        <v>193</v>
      </c>
      <c r="B26" s="82" t="s">
        <v>194</v>
      </c>
      <c r="C26" s="8">
        <f>D26+E26</f>
        <v>80743157</v>
      </c>
      <c r="D26" s="54">
        <f>1000000+49636916.64+392159.36+300000+16825077+2315500</f>
        <v>70469653</v>
      </c>
      <c r="E26" s="8">
        <f>9690000+93504+300000+190000</f>
        <v>10273504</v>
      </c>
      <c r="F26" s="83">
        <v>9690000</v>
      </c>
    </row>
    <row r="27" spans="1:6" ht="15.6" x14ac:dyDescent="0.3">
      <c r="A27" s="81" t="s">
        <v>195</v>
      </c>
      <c r="B27" s="82" t="s">
        <v>196</v>
      </c>
      <c r="C27" s="8">
        <v>1000000</v>
      </c>
      <c r="D27" s="8">
        <v>1000000</v>
      </c>
      <c r="E27" s="8">
        <v>0</v>
      </c>
      <c r="F27" s="83">
        <v>0</v>
      </c>
    </row>
    <row r="28" spans="1:6" ht="46.8" x14ac:dyDescent="0.3">
      <c r="A28" s="81" t="s">
        <v>197</v>
      </c>
      <c r="B28" s="82" t="s">
        <v>198</v>
      </c>
      <c r="C28" s="8">
        <v>0</v>
      </c>
      <c r="D28" s="54">
        <f>-8183990-36730206.64-392159.36-3621464-28742400</f>
        <v>-77670220</v>
      </c>
      <c r="E28" s="54">
        <f>45306356+3621464+28742400</f>
        <v>77670220</v>
      </c>
      <c r="F28" s="83">
        <f>E28</f>
        <v>77670220</v>
      </c>
    </row>
    <row r="29" spans="1:6" ht="16.2" x14ac:dyDescent="0.35">
      <c r="A29" s="84" t="s">
        <v>7</v>
      </c>
      <c r="B29" s="85" t="s">
        <v>199</v>
      </c>
      <c r="C29" s="86">
        <f>C24</f>
        <v>79743157</v>
      </c>
      <c r="D29" s="86">
        <f>D24</f>
        <v>-8200567</v>
      </c>
      <c r="E29" s="86">
        <f>E24</f>
        <v>87943724</v>
      </c>
      <c r="F29" s="87">
        <f>F24</f>
        <v>87360220</v>
      </c>
    </row>
    <row r="30" spans="1:6" ht="15.6" x14ac:dyDescent="0.3">
      <c r="A30" s="701" t="s">
        <v>200</v>
      </c>
      <c r="B30" s="702"/>
      <c r="C30" s="702"/>
      <c r="D30" s="702"/>
      <c r="E30" s="702"/>
      <c r="F30" s="703"/>
    </row>
    <row r="31" spans="1:6" ht="31.2" x14ac:dyDescent="0.3">
      <c r="A31" s="77" t="s">
        <v>201</v>
      </c>
      <c r="B31" s="78" t="s">
        <v>202</v>
      </c>
      <c r="C31" s="79">
        <f t="shared" ref="C31:F32" si="0">C24</f>
        <v>79743157</v>
      </c>
      <c r="D31" s="79">
        <f t="shared" si="0"/>
        <v>-8200567</v>
      </c>
      <c r="E31" s="79">
        <f t="shared" si="0"/>
        <v>87943724</v>
      </c>
      <c r="F31" s="88">
        <f t="shared" si="0"/>
        <v>87360220</v>
      </c>
    </row>
    <row r="32" spans="1:6" ht="15.6" x14ac:dyDescent="0.3">
      <c r="A32" s="81" t="s">
        <v>203</v>
      </c>
      <c r="B32" s="82" t="s">
        <v>204</v>
      </c>
      <c r="C32" s="8">
        <f t="shared" si="0"/>
        <v>79743157</v>
      </c>
      <c r="D32" s="8">
        <f t="shared" si="0"/>
        <v>-8200567</v>
      </c>
      <c r="E32" s="8">
        <f t="shared" si="0"/>
        <v>87943724</v>
      </c>
      <c r="F32" s="83">
        <f t="shared" si="0"/>
        <v>87360220</v>
      </c>
    </row>
    <row r="33" spans="1:16" ht="15.6" x14ac:dyDescent="0.3">
      <c r="A33" s="81" t="s">
        <v>205</v>
      </c>
      <c r="B33" s="82" t="s">
        <v>194</v>
      </c>
      <c r="C33" s="8">
        <f>D33</f>
        <v>70469653</v>
      </c>
      <c r="D33" s="8">
        <f>D26</f>
        <v>70469653</v>
      </c>
      <c r="E33" s="8">
        <f>E26</f>
        <v>10273504</v>
      </c>
      <c r="F33" s="8">
        <f>F26</f>
        <v>9690000</v>
      </c>
      <c r="I33" s="103"/>
    </row>
    <row r="34" spans="1:16" ht="15.6" x14ac:dyDescent="0.3">
      <c r="A34" s="81" t="s">
        <v>206</v>
      </c>
      <c r="B34" s="82" t="s">
        <v>196</v>
      </c>
      <c r="C34" s="8">
        <v>1000000</v>
      </c>
      <c r="D34" s="8">
        <v>1000000</v>
      </c>
      <c r="E34" s="8">
        <v>0</v>
      </c>
      <c r="F34" s="83">
        <v>0</v>
      </c>
    </row>
    <row r="35" spans="1:16" ht="47.4" thickBot="1" x14ac:dyDescent="0.35">
      <c r="A35" s="89" t="s">
        <v>207</v>
      </c>
      <c r="B35" s="90" t="s">
        <v>198</v>
      </c>
      <c r="C35" s="34">
        <v>0</v>
      </c>
      <c r="D35" s="34">
        <f t="shared" ref="D35:F36" si="1">D28</f>
        <v>-77670220</v>
      </c>
      <c r="E35" s="34">
        <f t="shared" si="1"/>
        <v>77670220</v>
      </c>
      <c r="F35" s="91">
        <f>F28</f>
        <v>77670220</v>
      </c>
    </row>
    <row r="36" spans="1:16" ht="16.8" thickBot="1" x14ac:dyDescent="0.4">
      <c r="A36" s="92" t="s">
        <v>7</v>
      </c>
      <c r="B36" s="93" t="s">
        <v>199</v>
      </c>
      <c r="C36" s="94">
        <f>C29</f>
        <v>79743157</v>
      </c>
      <c r="D36" s="94">
        <f t="shared" si="1"/>
        <v>-8200567</v>
      </c>
      <c r="E36" s="94">
        <f t="shared" si="1"/>
        <v>87943724</v>
      </c>
      <c r="F36" s="95">
        <f t="shared" si="1"/>
        <v>87360220</v>
      </c>
    </row>
    <row r="38" spans="1:16" ht="7.95" customHeight="1" x14ac:dyDescent="0.3"/>
    <row r="39" spans="1:16" s="5" customFormat="1" ht="42.6" customHeight="1" x14ac:dyDescent="0.3">
      <c r="A39" s="718" t="s">
        <v>236</v>
      </c>
      <c r="B39" s="718"/>
      <c r="C39" s="104"/>
      <c r="D39" s="104"/>
      <c r="E39" s="717" t="s">
        <v>237</v>
      </c>
      <c r="F39" s="717"/>
      <c r="G39" s="98"/>
      <c r="H39" s="98"/>
      <c r="I39" s="98"/>
      <c r="K39" s="98"/>
      <c r="L39" s="99"/>
      <c r="M39" s="98"/>
      <c r="N39" s="102"/>
      <c r="O39" s="100"/>
      <c r="P39" s="101"/>
    </row>
    <row r="40" spans="1:16" s="65" customFormat="1" ht="21" x14ac:dyDescent="0.4">
      <c r="A40" s="64"/>
      <c r="B40" s="64"/>
      <c r="F40" s="67"/>
    </row>
    <row r="41" spans="1:16" s="66" customFormat="1" ht="15.6" x14ac:dyDescent="0.3">
      <c r="A41" s="68"/>
      <c r="B41" s="68"/>
    </row>
    <row r="42" spans="1:16" ht="15.6" x14ac:dyDescent="0.3">
      <c r="A42" s="704"/>
      <c r="B42" s="704"/>
    </row>
    <row r="43" spans="1:16" ht="15.6" x14ac:dyDescent="0.3">
      <c r="A43" s="1"/>
    </row>
  </sheetData>
  <mergeCells count="16">
    <mergeCell ref="I14:J14"/>
    <mergeCell ref="D5:E5"/>
    <mergeCell ref="A23:F23"/>
    <mergeCell ref="A30:F30"/>
    <mergeCell ref="A42:B42"/>
    <mergeCell ref="D13:E13"/>
    <mergeCell ref="A15:F15"/>
    <mergeCell ref="A19:A21"/>
    <mergeCell ref="B19:B21"/>
    <mergeCell ref="C19:C21"/>
    <mergeCell ref="D19:D21"/>
    <mergeCell ref="E19:F19"/>
    <mergeCell ref="E20:E21"/>
    <mergeCell ref="F20:F21"/>
    <mergeCell ref="E39:F39"/>
    <mergeCell ref="A39:B39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9"/>
  <sheetViews>
    <sheetView view="pageBreakPreview" topLeftCell="A121" zoomScale="70" zoomScaleNormal="100" zoomScaleSheetLayoutView="70" workbookViewId="0">
      <selection activeCell="R37" sqref="R37"/>
    </sheetView>
  </sheetViews>
  <sheetFormatPr defaultColWidth="8.88671875" defaultRowHeight="15.6" x14ac:dyDescent="0.3"/>
  <cols>
    <col min="1" max="3" width="12.109375" style="202" customWidth="1"/>
    <col min="4" max="4" width="40.6640625" style="203" customWidth="1"/>
    <col min="5" max="8" width="15.6640625" style="203" customWidth="1"/>
    <col min="9" max="15" width="15.6640625" style="204" customWidth="1"/>
    <col min="16" max="16" width="15.6640625" style="203" customWidth="1"/>
    <col min="17" max="16384" width="8.88671875" style="203"/>
  </cols>
  <sheetData>
    <row r="1" spans="1:19" x14ac:dyDescent="0.3">
      <c r="N1" s="345" t="s">
        <v>361</v>
      </c>
      <c r="O1" s="356"/>
      <c r="P1" s="146"/>
    </row>
    <row r="2" spans="1:19" x14ac:dyDescent="0.3">
      <c r="N2" s="345" t="s">
        <v>208</v>
      </c>
      <c r="O2" s="356"/>
      <c r="P2" s="146"/>
    </row>
    <row r="3" spans="1:19" x14ac:dyDescent="0.3">
      <c r="N3" s="6" t="s">
        <v>602</v>
      </c>
      <c r="O3" s="357"/>
      <c r="P3" s="146"/>
    </row>
    <row r="4" spans="1:19" x14ac:dyDescent="0.3">
      <c r="N4" s="6" t="s">
        <v>603</v>
      </c>
      <c r="O4" s="356"/>
      <c r="P4" s="146"/>
    </row>
    <row r="5" spans="1:19" x14ac:dyDescent="0.3">
      <c r="N5" s="687" t="s">
        <v>455</v>
      </c>
      <c r="O5" s="687"/>
      <c r="P5" s="146"/>
    </row>
    <row r="7" spans="1:19" x14ac:dyDescent="0.3">
      <c r="K7" s="203"/>
      <c r="L7" s="203"/>
      <c r="M7" s="203"/>
      <c r="N7" s="728" t="s">
        <v>456</v>
      </c>
      <c r="O7" s="728"/>
      <c r="P7" s="728"/>
      <c r="Q7" s="204"/>
    </row>
    <row r="8" spans="1:19" x14ac:dyDescent="0.3">
      <c r="K8" s="203"/>
      <c r="L8" s="203"/>
      <c r="M8" s="203"/>
      <c r="N8" s="729" t="s">
        <v>8</v>
      </c>
      <c r="O8" s="729"/>
      <c r="P8" s="729"/>
      <c r="Q8" s="205"/>
      <c r="R8" s="141"/>
      <c r="S8" s="141"/>
    </row>
    <row r="9" spans="1:19" x14ac:dyDescent="0.3">
      <c r="K9" s="203"/>
      <c r="L9" s="203"/>
      <c r="M9" s="203"/>
      <c r="N9" s="687" t="s">
        <v>9</v>
      </c>
      <c r="O9" s="687"/>
      <c r="P9" s="687"/>
      <c r="Q9" s="205"/>
      <c r="R9" s="141"/>
      <c r="S9" s="141"/>
    </row>
    <row r="10" spans="1:19" x14ac:dyDescent="0.3">
      <c r="K10" s="203"/>
      <c r="L10" s="203"/>
      <c r="M10" s="203"/>
      <c r="N10" s="687" t="s">
        <v>275</v>
      </c>
      <c r="O10" s="687"/>
      <c r="P10" s="687"/>
      <c r="Q10" s="205"/>
      <c r="R10" s="141"/>
      <c r="S10" s="141"/>
    </row>
    <row r="11" spans="1:19" x14ac:dyDescent="0.3">
      <c r="K11" s="203"/>
      <c r="L11" s="203"/>
      <c r="M11" s="203"/>
      <c r="N11" s="730" t="s">
        <v>431</v>
      </c>
      <c r="O11" s="730"/>
      <c r="P11" s="730"/>
      <c r="Q11" s="205"/>
      <c r="R11" s="141"/>
      <c r="S11" s="141"/>
    </row>
    <row r="12" spans="1:19" x14ac:dyDescent="0.3">
      <c r="K12" s="203"/>
      <c r="L12" s="203"/>
      <c r="M12" s="203"/>
      <c r="N12" s="727" t="s">
        <v>435</v>
      </c>
      <c r="O12" s="727"/>
      <c r="P12" s="727"/>
      <c r="Q12" s="205"/>
      <c r="R12" s="141"/>
      <c r="S12" s="141"/>
    </row>
    <row r="13" spans="1:19" x14ac:dyDescent="0.3">
      <c r="K13" s="203"/>
      <c r="L13" s="203"/>
      <c r="M13" s="203"/>
      <c r="N13" s="687" t="s">
        <v>457</v>
      </c>
      <c r="O13" s="687"/>
      <c r="P13" s="687"/>
      <c r="Q13" s="67"/>
      <c r="R13" s="141"/>
      <c r="S13" s="141"/>
    </row>
    <row r="14" spans="1:19" x14ac:dyDescent="0.3">
      <c r="A14" s="719" t="s">
        <v>362</v>
      </c>
      <c r="B14" s="720"/>
      <c r="C14" s="720"/>
      <c r="D14" s="720"/>
      <c r="E14" s="720"/>
      <c r="F14" s="720"/>
      <c r="G14" s="720"/>
      <c r="H14" s="720"/>
      <c r="I14" s="720"/>
      <c r="J14" s="720"/>
      <c r="K14" s="720"/>
      <c r="L14" s="720"/>
      <c r="M14" s="720"/>
      <c r="N14" s="720"/>
      <c r="O14" s="720"/>
      <c r="P14" s="720"/>
      <c r="Q14" s="141"/>
      <c r="R14" s="141"/>
      <c r="S14" s="141"/>
    </row>
    <row r="15" spans="1:19" x14ac:dyDescent="0.3">
      <c r="A15" s="719" t="s">
        <v>363</v>
      </c>
      <c r="B15" s="720"/>
      <c r="C15" s="720"/>
      <c r="D15" s="720"/>
      <c r="E15" s="720"/>
      <c r="F15" s="720"/>
      <c r="G15" s="720"/>
      <c r="H15" s="720"/>
      <c r="I15" s="720"/>
      <c r="J15" s="720"/>
      <c r="K15" s="720"/>
      <c r="L15" s="720"/>
      <c r="M15" s="720"/>
      <c r="N15" s="720"/>
      <c r="O15" s="720"/>
      <c r="P15" s="720"/>
    </row>
    <row r="16" spans="1:19" x14ac:dyDescent="0.3">
      <c r="A16" s="206" t="s">
        <v>286</v>
      </c>
    </row>
    <row r="17" spans="1:16" ht="17.399999999999999" customHeight="1" thickBot="1" x14ac:dyDescent="0.35">
      <c r="A17" s="202" t="s">
        <v>0</v>
      </c>
      <c r="P17" s="204" t="s">
        <v>10</v>
      </c>
    </row>
    <row r="18" spans="1:16" s="207" customFormat="1" ht="13.2" x14ac:dyDescent="0.25">
      <c r="A18" s="721" t="s">
        <v>11</v>
      </c>
      <c r="B18" s="723" t="s">
        <v>12</v>
      </c>
      <c r="C18" s="723" t="s">
        <v>13</v>
      </c>
      <c r="D18" s="723" t="s">
        <v>14</v>
      </c>
      <c r="E18" s="723" t="s">
        <v>3</v>
      </c>
      <c r="F18" s="723"/>
      <c r="G18" s="723"/>
      <c r="H18" s="723"/>
      <c r="I18" s="723"/>
      <c r="J18" s="723" t="s">
        <v>4</v>
      </c>
      <c r="K18" s="723"/>
      <c r="L18" s="723"/>
      <c r="M18" s="723"/>
      <c r="N18" s="723"/>
      <c r="O18" s="723"/>
      <c r="P18" s="725" t="s">
        <v>364</v>
      </c>
    </row>
    <row r="19" spans="1:16" s="207" customFormat="1" ht="13.2" x14ac:dyDescent="0.25">
      <c r="A19" s="722"/>
      <c r="B19" s="724"/>
      <c r="C19" s="724"/>
      <c r="D19" s="724"/>
      <c r="E19" s="724" t="s">
        <v>5</v>
      </c>
      <c r="F19" s="724" t="s">
        <v>15</v>
      </c>
      <c r="G19" s="724" t="s">
        <v>365</v>
      </c>
      <c r="H19" s="724"/>
      <c r="I19" s="732" t="s">
        <v>366</v>
      </c>
      <c r="J19" s="724" t="s">
        <v>5</v>
      </c>
      <c r="K19" s="724" t="s">
        <v>6</v>
      </c>
      <c r="L19" s="724" t="s">
        <v>15</v>
      </c>
      <c r="M19" s="724" t="s">
        <v>365</v>
      </c>
      <c r="N19" s="724"/>
      <c r="O19" s="724" t="s">
        <v>366</v>
      </c>
      <c r="P19" s="726"/>
    </row>
    <row r="20" spans="1:16" s="207" customFormat="1" ht="13.2" x14ac:dyDescent="0.25">
      <c r="A20" s="722"/>
      <c r="B20" s="724"/>
      <c r="C20" s="724"/>
      <c r="D20" s="724"/>
      <c r="E20" s="724"/>
      <c r="F20" s="724"/>
      <c r="G20" s="724" t="s">
        <v>430</v>
      </c>
      <c r="H20" s="724" t="s">
        <v>367</v>
      </c>
      <c r="I20" s="732"/>
      <c r="J20" s="724"/>
      <c r="K20" s="724"/>
      <c r="L20" s="724"/>
      <c r="M20" s="724" t="s">
        <v>430</v>
      </c>
      <c r="N20" s="724" t="s">
        <v>367</v>
      </c>
      <c r="O20" s="724"/>
      <c r="P20" s="726"/>
    </row>
    <row r="21" spans="1:16" s="207" customFormat="1" ht="55.95" customHeight="1" x14ac:dyDescent="0.25">
      <c r="A21" s="722"/>
      <c r="B21" s="724"/>
      <c r="C21" s="724"/>
      <c r="D21" s="724"/>
      <c r="E21" s="724"/>
      <c r="F21" s="724"/>
      <c r="G21" s="724"/>
      <c r="H21" s="724"/>
      <c r="I21" s="732"/>
      <c r="J21" s="724"/>
      <c r="K21" s="724"/>
      <c r="L21" s="724"/>
      <c r="M21" s="724"/>
      <c r="N21" s="724"/>
      <c r="O21" s="724"/>
      <c r="P21" s="726"/>
    </row>
    <row r="22" spans="1:16" ht="16.2" thickBot="1" x14ac:dyDescent="0.35">
      <c r="A22" s="236">
        <v>1</v>
      </c>
      <c r="B22" s="208">
        <v>2</v>
      </c>
      <c r="C22" s="208">
        <v>3</v>
      </c>
      <c r="D22" s="208">
        <v>4</v>
      </c>
      <c r="E22" s="208">
        <v>5</v>
      </c>
      <c r="F22" s="208">
        <v>6</v>
      </c>
      <c r="G22" s="208">
        <v>7</v>
      </c>
      <c r="H22" s="208">
        <v>8</v>
      </c>
      <c r="I22" s="209">
        <v>9</v>
      </c>
      <c r="J22" s="209">
        <v>10</v>
      </c>
      <c r="K22" s="209">
        <v>11</v>
      </c>
      <c r="L22" s="209">
        <v>12</v>
      </c>
      <c r="M22" s="209">
        <v>13</v>
      </c>
      <c r="N22" s="209">
        <v>14</v>
      </c>
      <c r="O22" s="209">
        <v>15</v>
      </c>
      <c r="P22" s="237">
        <v>16</v>
      </c>
    </row>
    <row r="23" spans="1:16" ht="47.4" thickBot="1" x14ac:dyDescent="0.35">
      <c r="A23" s="210" t="s">
        <v>16</v>
      </c>
      <c r="B23" s="211" t="s">
        <v>17</v>
      </c>
      <c r="C23" s="211" t="s">
        <v>17</v>
      </c>
      <c r="D23" s="212" t="s">
        <v>18</v>
      </c>
      <c r="E23" s="213">
        <f>E24</f>
        <v>77808439</v>
      </c>
      <c r="F23" s="213">
        <f>F24</f>
        <v>77808439</v>
      </c>
      <c r="G23" s="213">
        <f t="shared" ref="G23:I23" si="0">G24</f>
        <v>19731340</v>
      </c>
      <c r="H23" s="213">
        <f t="shared" si="0"/>
        <v>2208025</v>
      </c>
      <c r="I23" s="214">
        <f t="shared" si="0"/>
        <v>0</v>
      </c>
      <c r="J23" s="199">
        <f>J24</f>
        <v>18679813</v>
      </c>
      <c r="K23" s="214">
        <f>K24</f>
        <v>18586309</v>
      </c>
      <c r="L23" s="214">
        <f t="shared" ref="L23:O23" si="1">L24</f>
        <v>0</v>
      </c>
      <c r="M23" s="214">
        <f t="shared" si="1"/>
        <v>0</v>
      </c>
      <c r="N23" s="214">
        <f t="shared" si="1"/>
        <v>0</v>
      </c>
      <c r="O23" s="214">
        <f t="shared" si="1"/>
        <v>18679813</v>
      </c>
      <c r="P23" s="215">
        <f>E23+J23</f>
        <v>96488252</v>
      </c>
    </row>
    <row r="24" spans="1:16" ht="46.8" x14ac:dyDescent="0.3">
      <c r="A24" s="216" t="s">
        <v>19</v>
      </c>
      <c r="B24" s="217" t="s">
        <v>17</v>
      </c>
      <c r="C24" s="217" t="s">
        <v>17</v>
      </c>
      <c r="D24" s="218" t="s">
        <v>18</v>
      </c>
      <c r="E24" s="219">
        <f>E25+E26+E27+E28+E30+E32+E33+E34+E36+E37</f>
        <v>77808439</v>
      </c>
      <c r="F24" s="219">
        <f>F25+F26+F27+F28+F30+F32+F33+F34+F36+F37</f>
        <v>77808439</v>
      </c>
      <c r="G24" s="219">
        <f>G25+G26+G27+G28+G30+G33+G34+G36</f>
        <v>19731340</v>
      </c>
      <c r="H24" s="219">
        <f>H25+H26+H27+H28+H30+H33+H34+H36</f>
        <v>2208025</v>
      </c>
      <c r="I24" s="220">
        <f>I25+I26+I27+I28+I30+I33+I34+I36</f>
        <v>0</v>
      </c>
      <c r="J24" s="220">
        <f>L24+O24</f>
        <v>18679813</v>
      </c>
      <c r="K24" s="220">
        <f>K25+K26+K27++K28+K29+K30+K33+K34+K35+K36+K37</f>
        <v>18586309</v>
      </c>
      <c r="L24" s="220">
        <f>L25+L26+L27++L28+L30+L33+L34+L36</f>
        <v>0</v>
      </c>
      <c r="M24" s="220">
        <f>M25+M26+M27++M28+M30+M33+M34+M36</f>
        <v>0</v>
      </c>
      <c r="N24" s="220">
        <f>N25+N26+N27++N28+N30+N33+N34+N36</f>
        <v>0</v>
      </c>
      <c r="O24" s="220">
        <f>O25+O26+O27++O28+O29+O30+O31+O33+O34+O35+O36+O37</f>
        <v>18679813</v>
      </c>
      <c r="P24" s="238">
        <f t="shared" ref="P24:P54" si="2">E24+J24</f>
        <v>96488252</v>
      </c>
    </row>
    <row r="25" spans="1:16" ht="93.6" x14ac:dyDescent="0.3">
      <c r="A25" s="227" t="s">
        <v>368</v>
      </c>
      <c r="B25" s="344" t="s">
        <v>369</v>
      </c>
      <c r="C25" s="344" t="s">
        <v>20</v>
      </c>
      <c r="D25" s="53" t="s">
        <v>370</v>
      </c>
      <c r="E25" s="221">
        <f>F25+I25</f>
        <v>26280940</v>
      </c>
      <c r="F25" s="221">
        <f>24718920+196176+1259944+105900</f>
        <v>26280940</v>
      </c>
      <c r="G25" s="221">
        <f>16173230+3558110</f>
        <v>19731340</v>
      </c>
      <c r="H25" s="221">
        <f>2232228-24203</f>
        <v>2208025</v>
      </c>
      <c r="I25" s="54">
        <v>0</v>
      </c>
      <c r="J25" s="54">
        <f>L25+O25</f>
        <v>2095737</v>
      </c>
      <c r="K25" s="54">
        <f>O25</f>
        <v>2095737</v>
      </c>
      <c r="L25" s="54">
        <v>0</v>
      </c>
      <c r="M25" s="54">
        <v>0</v>
      </c>
      <c r="N25" s="54">
        <v>0</v>
      </c>
      <c r="O25" s="54">
        <f>160990+1934747</f>
        <v>2095737</v>
      </c>
      <c r="P25" s="239">
        <f t="shared" si="2"/>
        <v>28376677</v>
      </c>
    </row>
    <row r="26" spans="1:16" ht="31.2" x14ac:dyDescent="0.3">
      <c r="A26" s="227" t="s">
        <v>21</v>
      </c>
      <c r="B26" s="344" t="s">
        <v>22</v>
      </c>
      <c r="C26" s="344" t="s">
        <v>23</v>
      </c>
      <c r="D26" s="53" t="s">
        <v>24</v>
      </c>
      <c r="E26" s="221">
        <f t="shared" ref="E26:E37" si="3">F26+I26</f>
        <v>24221364</v>
      </c>
      <c r="F26" s="221">
        <v>24221364</v>
      </c>
      <c r="G26" s="221">
        <v>0</v>
      </c>
      <c r="H26" s="221">
        <v>0</v>
      </c>
      <c r="I26" s="54">
        <v>0</v>
      </c>
      <c r="J26" s="54">
        <f>L26+O26</f>
        <v>7440800</v>
      </c>
      <c r="K26" s="54">
        <f>O26</f>
        <v>7440800</v>
      </c>
      <c r="L26" s="54">
        <v>0</v>
      </c>
      <c r="M26" s="54">
        <v>0</v>
      </c>
      <c r="N26" s="54">
        <v>0</v>
      </c>
      <c r="O26" s="54">
        <v>7440800</v>
      </c>
      <c r="P26" s="239">
        <f>E26+J26</f>
        <v>31662164</v>
      </c>
    </row>
    <row r="27" spans="1:16" ht="62.4" x14ac:dyDescent="0.3">
      <c r="A27" s="227" t="s">
        <v>25</v>
      </c>
      <c r="B27" s="344" t="s">
        <v>26</v>
      </c>
      <c r="C27" s="344" t="s">
        <v>27</v>
      </c>
      <c r="D27" s="53" t="s">
        <v>28</v>
      </c>
      <c r="E27" s="221">
        <f t="shared" si="3"/>
        <v>1950549</v>
      </c>
      <c r="F27" s="221">
        <v>1950549</v>
      </c>
      <c r="G27" s="221">
        <v>0</v>
      </c>
      <c r="H27" s="221">
        <v>0</v>
      </c>
      <c r="I27" s="54">
        <v>0</v>
      </c>
      <c r="J27" s="54">
        <f>L27+O27</f>
        <v>304000</v>
      </c>
      <c r="K27" s="54">
        <f>O27</f>
        <v>304000</v>
      </c>
      <c r="L27" s="54">
        <v>0</v>
      </c>
      <c r="M27" s="54">
        <v>0</v>
      </c>
      <c r="N27" s="54">
        <v>0</v>
      </c>
      <c r="O27" s="54">
        <v>304000</v>
      </c>
      <c r="P27" s="239">
        <f>E27+J27</f>
        <v>2254549</v>
      </c>
    </row>
    <row r="28" spans="1:16" ht="31.2" x14ac:dyDescent="0.3">
      <c r="A28" s="227" t="s">
        <v>32</v>
      </c>
      <c r="B28" s="344" t="s">
        <v>33</v>
      </c>
      <c r="C28" s="344" t="s">
        <v>34</v>
      </c>
      <c r="D28" s="53" t="s">
        <v>35</v>
      </c>
      <c r="E28" s="221">
        <f t="shared" si="3"/>
        <v>235745</v>
      </c>
      <c r="F28" s="221">
        <v>235745</v>
      </c>
      <c r="G28" s="221">
        <v>0</v>
      </c>
      <c r="H28" s="221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39">
        <f t="shared" si="2"/>
        <v>235745</v>
      </c>
    </row>
    <row r="29" spans="1:16" ht="31.2" x14ac:dyDescent="0.3">
      <c r="A29" s="358" t="s">
        <v>495</v>
      </c>
      <c r="B29" s="300" t="s">
        <v>496</v>
      </c>
      <c r="C29" s="300" t="s">
        <v>373</v>
      </c>
      <c r="D29" s="301" t="s">
        <v>497</v>
      </c>
      <c r="E29" s="221">
        <f t="shared" si="3"/>
        <v>0</v>
      </c>
      <c r="F29" s="221">
        <v>0</v>
      </c>
      <c r="G29" s="221">
        <v>0</v>
      </c>
      <c r="H29" s="54">
        <v>0</v>
      </c>
      <c r="I29" s="54">
        <v>0</v>
      </c>
      <c r="J29" s="54">
        <f>L29+O29</f>
        <v>51172</v>
      </c>
      <c r="K29" s="54">
        <f>O29</f>
        <v>51172</v>
      </c>
      <c r="L29" s="54">
        <v>0</v>
      </c>
      <c r="M29" s="54">
        <v>0</v>
      </c>
      <c r="N29" s="54">
        <v>0</v>
      </c>
      <c r="O29" s="54">
        <v>51172</v>
      </c>
      <c r="P29" s="239">
        <f t="shared" si="2"/>
        <v>51172</v>
      </c>
    </row>
    <row r="30" spans="1:16" ht="31.2" x14ac:dyDescent="0.3">
      <c r="A30" s="227" t="s">
        <v>371</v>
      </c>
      <c r="B30" s="344" t="s">
        <v>372</v>
      </c>
      <c r="C30" s="344" t="s">
        <v>373</v>
      </c>
      <c r="D30" s="53" t="s">
        <v>374</v>
      </c>
      <c r="E30" s="221">
        <f t="shared" si="3"/>
        <v>35276</v>
      </c>
      <c r="F30" s="221">
        <v>35276</v>
      </c>
      <c r="G30" s="221">
        <v>0</v>
      </c>
      <c r="H30" s="221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39">
        <f t="shared" si="2"/>
        <v>35276</v>
      </c>
    </row>
    <row r="31" spans="1:16" ht="140.4" x14ac:dyDescent="0.3">
      <c r="A31" s="358" t="s">
        <v>518</v>
      </c>
      <c r="B31" s="300" t="s">
        <v>519</v>
      </c>
      <c r="C31" s="300" t="s">
        <v>373</v>
      </c>
      <c r="D31" s="301" t="s">
        <v>520</v>
      </c>
      <c r="E31" s="221">
        <v>0</v>
      </c>
      <c r="F31" s="221">
        <v>0</v>
      </c>
      <c r="G31" s="54">
        <v>0</v>
      </c>
      <c r="H31" s="221">
        <v>0</v>
      </c>
      <c r="I31" s="54">
        <v>0</v>
      </c>
      <c r="J31" s="54">
        <f>L31+O31</f>
        <v>93504</v>
      </c>
      <c r="K31" s="54">
        <v>0</v>
      </c>
      <c r="L31" s="54">
        <v>0</v>
      </c>
      <c r="M31" s="54">
        <v>0</v>
      </c>
      <c r="N31" s="54">
        <v>0</v>
      </c>
      <c r="O31" s="54">
        <v>93504</v>
      </c>
      <c r="P31" s="239">
        <f t="shared" si="2"/>
        <v>93504</v>
      </c>
    </row>
    <row r="32" spans="1:16" ht="54.6" customHeight="1" x14ac:dyDescent="0.3">
      <c r="A32" s="359" t="s">
        <v>483</v>
      </c>
      <c r="B32" s="360">
        <v>8110</v>
      </c>
      <c r="C32" s="361" t="s">
        <v>484</v>
      </c>
      <c r="D32" s="304" t="s">
        <v>485</v>
      </c>
      <c r="E32" s="221">
        <f t="shared" si="3"/>
        <v>79145</v>
      </c>
      <c r="F32" s="221">
        <f>7200+71945</f>
        <v>79145</v>
      </c>
      <c r="G32" s="54">
        <v>0</v>
      </c>
      <c r="H32" s="221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239">
        <f t="shared" si="2"/>
        <v>79145</v>
      </c>
    </row>
    <row r="33" spans="1:16" ht="31.2" x14ac:dyDescent="0.3">
      <c r="A33" s="227" t="s">
        <v>36</v>
      </c>
      <c r="B33" s="344" t="s">
        <v>37</v>
      </c>
      <c r="C33" s="344" t="s">
        <v>38</v>
      </c>
      <c r="D33" s="53" t="s">
        <v>39</v>
      </c>
      <c r="E33" s="221">
        <f t="shared" si="3"/>
        <v>12000</v>
      </c>
      <c r="F33" s="221">
        <f>99500-87500</f>
        <v>12000</v>
      </c>
      <c r="G33" s="221">
        <v>0</v>
      </c>
      <c r="H33" s="221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239">
        <f t="shared" si="2"/>
        <v>12000</v>
      </c>
    </row>
    <row r="34" spans="1:16" ht="36.75" customHeight="1" x14ac:dyDescent="0.3">
      <c r="A34" s="227" t="s">
        <v>183</v>
      </c>
      <c r="B34" s="344" t="s">
        <v>375</v>
      </c>
      <c r="C34" s="344" t="s">
        <v>38</v>
      </c>
      <c r="D34" s="53" t="s">
        <v>184</v>
      </c>
      <c r="E34" s="221">
        <f t="shared" si="3"/>
        <v>17315214</v>
      </c>
      <c r="F34" s="221">
        <v>17315214</v>
      </c>
      <c r="G34" s="221">
        <v>0</v>
      </c>
      <c r="H34" s="221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239">
        <f t="shared" si="2"/>
        <v>17315214</v>
      </c>
    </row>
    <row r="35" spans="1:16" ht="51" customHeight="1" x14ac:dyDescent="0.3">
      <c r="A35" s="362" t="s">
        <v>492</v>
      </c>
      <c r="B35" s="309" t="s">
        <v>493</v>
      </c>
      <c r="C35" s="309" t="s">
        <v>38</v>
      </c>
      <c r="D35" s="310" t="s">
        <v>494</v>
      </c>
      <c r="E35" s="221">
        <f t="shared" si="3"/>
        <v>0</v>
      </c>
      <c r="F35" s="221">
        <v>0</v>
      </c>
      <c r="G35" s="221">
        <v>0</v>
      </c>
      <c r="H35" s="221">
        <v>0</v>
      </c>
      <c r="I35" s="221">
        <v>0</v>
      </c>
      <c r="J35" s="54">
        <f>L35+O35</f>
        <v>755000</v>
      </c>
      <c r="K35" s="54">
        <f>O35</f>
        <v>755000</v>
      </c>
      <c r="L35" s="54">
        <v>0</v>
      </c>
      <c r="M35" s="54">
        <v>0</v>
      </c>
      <c r="N35" s="54">
        <v>0</v>
      </c>
      <c r="O35" s="54">
        <v>755000</v>
      </c>
      <c r="P35" s="239">
        <f>E35+J35</f>
        <v>755000</v>
      </c>
    </row>
    <row r="36" spans="1:16" ht="31.2" x14ac:dyDescent="0.3">
      <c r="A36" s="236" t="s">
        <v>40</v>
      </c>
      <c r="B36" s="208" t="s">
        <v>41</v>
      </c>
      <c r="C36" s="208" t="s">
        <v>42</v>
      </c>
      <c r="D36" s="97" t="s">
        <v>43</v>
      </c>
      <c r="E36" s="222">
        <f t="shared" si="3"/>
        <v>3002306</v>
      </c>
      <c r="F36" s="222">
        <v>3002306</v>
      </c>
      <c r="G36" s="222">
        <v>0</v>
      </c>
      <c r="H36" s="222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39">
        <f t="shared" si="2"/>
        <v>3002306</v>
      </c>
    </row>
    <row r="37" spans="1:16" ht="63" thickBot="1" x14ac:dyDescent="0.35">
      <c r="A37" s="362" t="s">
        <v>486</v>
      </c>
      <c r="B37" s="208">
        <v>9800</v>
      </c>
      <c r="C37" s="309" t="s">
        <v>424</v>
      </c>
      <c r="D37" s="355" t="s">
        <v>487</v>
      </c>
      <c r="E37" s="222">
        <f t="shared" si="3"/>
        <v>4675900</v>
      </c>
      <c r="F37" s="222">
        <f>1000000+8400000-6950000+2000000+225900</f>
        <v>4675900</v>
      </c>
      <c r="G37" s="222">
        <v>0</v>
      </c>
      <c r="H37" s="222">
        <v>0</v>
      </c>
      <c r="I37" s="223">
        <v>0</v>
      </c>
      <c r="J37" s="223">
        <f>L37+O37</f>
        <v>7939600</v>
      </c>
      <c r="K37" s="223">
        <f>O37</f>
        <v>7939600</v>
      </c>
      <c r="L37" s="223">
        <v>0</v>
      </c>
      <c r="M37" s="223">
        <v>0</v>
      </c>
      <c r="N37" s="223">
        <v>0</v>
      </c>
      <c r="O37" s="223">
        <f>900000+6950000+89600</f>
        <v>7939600</v>
      </c>
      <c r="P37" s="241">
        <f>E37+J37</f>
        <v>12615500</v>
      </c>
    </row>
    <row r="38" spans="1:16" ht="47.4" thickBot="1" x14ac:dyDescent="0.35">
      <c r="A38" s="210" t="s">
        <v>44</v>
      </c>
      <c r="B38" s="211" t="s">
        <v>17</v>
      </c>
      <c r="C38" s="211" t="s">
        <v>17</v>
      </c>
      <c r="D38" s="212" t="s">
        <v>45</v>
      </c>
      <c r="E38" s="199">
        <f>E39</f>
        <v>211972297</v>
      </c>
      <c r="F38" s="199">
        <f>F39</f>
        <v>211972297</v>
      </c>
      <c r="G38" s="199">
        <f>G39</f>
        <v>165807740</v>
      </c>
      <c r="H38" s="199">
        <f t="shared" ref="H38:I38" si="4">H39</f>
        <v>24289111</v>
      </c>
      <c r="I38" s="199">
        <f t="shared" si="4"/>
        <v>0</v>
      </c>
      <c r="J38" s="199">
        <f>J39</f>
        <v>12373298</v>
      </c>
      <c r="K38" s="199">
        <f>K39</f>
        <v>443675</v>
      </c>
      <c r="L38" s="199">
        <f t="shared" ref="L38:O38" si="5">L39</f>
        <v>11929623</v>
      </c>
      <c r="M38" s="199">
        <f>M39</f>
        <v>3573904</v>
      </c>
      <c r="N38" s="199">
        <f t="shared" si="5"/>
        <v>84765</v>
      </c>
      <c r="O38" s="199">
        <f t="shared" si="5"/>
        <v>443675</v>
      </c>
      <c r="P38" s="224">
        <f>E38+J38</f>
        <v>224345595</v>
      </c>
    </row>
    <row r="39" spans="1:16" s="226" customFormat="1" ht="46.8" x14ac:dyDescent="0.3">
      <c r="A39" s="216" t="s">
        <v>46</v>
      </c>
      <c r="B39" s="217" t="s">
        <v>17</v>
      </c>
      <c r="C39" s="217" t="s">
        <v>17</v>
      </c>
      <c r="D39" s="218" t="s">
        <v>45</v>
      </c>
      <c r="E39" s="225">
        <f>E40+E41+E42+E43+E44+E45+E46+E47+E48+E49+E50+E51+E53+E52</f>
        <v>211972297</v>
      </c>
      <c r="F39" s="225">
        <f>F40+F41+F42+F43+F44+F45+F46+F47+F48+F49+F50+F51+F53+F52</f>
        <v>211972297</v>
      </c>
      <c r="G39" s="225">
        <f>G40+G41+G42+G43+G44+G45+G46+G47+G48+G49+G50+G51+G53</f>
        <v>165807740</v>
      </c>
      <c r="H39" s="225">
        <f t="shared" ref="H39:N39" si="6">H40+H41+H42+H43+H44+H45+H46+H47+H48+H49+H53</f>
        <v>24289111</v>
      </c>
      <c r="I39" s="225">
        <f t="shared" si="6"/>
        <v>0</v>
      </c>
      <c r="J39" s="225">
        <f>J40+J41+J42+J43+J44+J45+J46+J47+J48+J49+J53+J54</f>
        <v>12373298</v>
      </c>
      <c r="K39" s="220">
        <f>K40+K41+K42++K43+K44+K45+K48+K49+K50+K51+K53+K54</f>
        <v>443675</v>
      </c>
      <c r="L39" s="225">
        <f t="shared" si="6"/>
        <v>11929623</v>
      </c>
      <c r="M39" s="225">
        <f t="shared" si="6"/>
        <v>3573904</v>
      </c>
      <c r="N39" s="225">
        <f t="shared" si="6"/>
        <v>84765</v>
      </c>
      <c r="O39" s="225">
        <f>O40+O41+O42+O43+O44+O45+O46+O47+O48+O49+O53+O54</f>
        <v>443675</v>
      </c>
      <c r="P39" s="240">
        <f>E39+J39</f>
        <v>224345595</v>
      </c>
    </row>
    <row r="40" spans="1:16" ht="46.8" x14ac:dyDescent="0.3">
      <c r="A40" s="227" t="s">
        <v>376</v>
      </c>
      <c r="B40" s="344" t="s">
        <v>47</v>
      </c>
      <c r="C40" s="344" t="s">
        <v>20</v>
      </c>
      <c r="D40" s="53" t="s">
        <v>377</v>
      </c>
      <c r="E40" s="221">
        <f>F40+I40</f>
        <v>3417510</v>
      </c>
      <c r="F40" s="221">
        <v>3417510</v>
      </c>
      <c r="G40" s="221">
        <f>2333138+483884</f>
        <v>2817022</v>
      </c>
      <c r="H40" s="221">
        <v>223066</v>
      </c>
      <c r="I40" s="54">
        <v>0</v>
      </c>
      <c r="J40" s="54">
        <f>L40+O40</f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39">
        <f t="shared" si="2"/>
        <v>3417510</v>
      </c>
    </row>
    <row r="41" spans="1:16" x14ac:dyDescent="0.3">
      <c r="A41" s="227" t="s">
        <v>48</v>
      </c>
      <c r="B41" s="344" t="s">
        <v>49</v>
      </c>
      <c r="C41" s="344" t="s">
        <v>50</v>
      </c>
      <c r="D41" s="53" t="s">
        <v>51</v>
      </c>
      <c r="E41" s="221">
        <f t="shared" ref="E41:E53" si="7">F41+I41</f>
        <v>69862661</v>
      </c>
      <c r="F41" s="221">
        <f>69926352-74400+10709</f>
        <v>69862661</v>
      </c>
      <c r="G41" s="221">
        <f>44040350+9688876</f>
        <v>53729226</v>
      </c>
      <c r="H41" s="221">
        <v>7902843</v>
      </c>
      <c r="I41" s="54">
        <v>0</v>
      </c>
      <c r="J41" s="54">
        <f>L41+O41</f>
        <v>2115659</v>
      </c>
      <c r="K41" s="54">
        <v>0</v>
      </c>
      <c r="L41" s="54">
        <v>2115659</v>
      </c>
      <c r="M41" s="54">
        <v>0</v>
      </c>
      <c r="N41" s="54">
        <v>0</v>
      </c>
      <c r="O41" s="54">
        <v>0</v>
      </c>
      <c r="P41" s="239">
        <f t="shared" si="2"/>
        <v>71978320</v>
      </c>
    </row>
    <row r="42" spans="1:16" ht="51.6" customHeight="1" x14ac:dyDescent="0.3">
      <c r="A42" s="227" t="s">
        <v>52</v>
      </c>
      <c r="B42" s="344" t="s">
        <v>53</v>
      </c>
      <c r="C42" s="344" t="s">
        <v>54</v>
      </c>
      <c r="D42" s="53" t="s">
        <v>464</v>
      </c>
      <c r="E42" s="221">
        <f>F42+I42</f>
        <v>63818833</v>
      </c>
      <c r="F42" s="221">
        <f>58033165+108930+1434318+2980000-52080+1314500</f>
        <v>63818833</v>
      </c>
      <c r="G42" s="221">
        <f>29635875+6519891</f>
        <v>36155766</v>
      </c>
      <c r="H42" s="221">
        <f>15288340-52080</f>
        <v>15236260</v>
      </c>
      <c r="I42" s="54">
        <v>0</v>
      </c>
      <c r="J42" s="54">
        <f>L42+O42</f>
        <v>10209789</v>
      </c>
      <c r="K42" s="54">
        <f>O42</f>
        <v>395825</v>
      </c>
      <c r="L42" s="54">
        <v>9813964</v>
      </c>
      <c r="M42" s="54">
        <f>2929428+644476</f>
        <v>3573904</v>
      </c>
      <c r="N42" s="54">
        <v>84765</v>
      </c>
      <c r="O42" s="54">
        <f>168195+52080+175550</f>
        <v>395825</v>
      </c>
      <c r="P42" s="239">
        <f>E42+J42</f>
        <v>74028622</v>
      </c>
    </row>
    <row r="43" spans="1:16" ht="46.8" x14ac:dyDescent="0.3">
      <c r="A43" s="227" t="s">
        <v>378</v>
      </c>
      <c r="B43" s="344" t="s">
        <v>379</v>
      </c>
      <c r="C43" s="344" t="s">
        <v>54</v>
      </c>
      <c r="D43" s="53" t="s">
        <v>465</v>
      </c>
      <c r="E43" s="221">
        <f t="shared" si="7"/>
        <v>63608200</v>
      </c>
      <c r="F43" s="54">
        <v>63608200</v>
      </c>
      <c r="G43" s="54">
        <v>63608200</v>
      </c>
      <c r="H43" s="54">
        <v>0</v>
      </c>
      <c r="I43" s="54">
        <v>0</v>
      </c>
      <c r="J43" s="54">
        <f>L43+O43</f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239">
        <f t="shared" si="2"/>
        <v>63608200</v>
      </c>
    </row>
    <row r="44" spans="1:16" ht="46.8" x14ac:dyDescent="0.3">
      <c r="A44" s="227" t="s">
        <v>55</v>
      </c>
      <c r="B44" s="344" t="s">
        <v>56</v>
      </c>
      <c r="C44" s="344" t="s">
        <v>57</v>
      </c>
      <c r="D44" s="53" t="s">
        <v>58</v>
      </c>
      <c r="E44" s="221">
        <f t="shared" si="7"/>
        <v>4395123</v>
      </c>
      <c r="F44" s="221">
        <v>4395123</v>
      </c>
      <c r="G44" s="221">
        <f>3189707+701735</f>
        <v>3891442</v>
      </c>
      <c r="H44" s="221">
        <v>307415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239">
        <f t="shared" si="2"/>
        <v>4395123</v>
      </c>
    </row>
    <row r="45" spans="1:16" ht="31.2" x14ac:dyDescent="0.3">
      <c r="A45" s="227" t="s">
        <v>380</v>
      </c>
      <c r="B45" s="344" t="s">
        <v>381</v>
      </c>
      <c r="C45" s="344" t="s">
        <v>59</v>
      </c>
      <c r="D45" s="53" t="s">
        <v>382</v>
      </c>
      <c r="E45" s="221">
        <f t="shared" si="7"/>
        <v>3575746</v>
      </c>
      <c r="F45" s="221">
        <v>3575746</v>
      </c>
      <c r="G45" s="221">
        <f>2657811+584719</f>
        <v>3242530</v>
      </c>
      <c r="H45" s="221">
        <v>120017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39">
        <f t="shared" si="2"/>
        <v>3575746</v>
      </c>
    </row>
    <row r="46" spans="1:16" x14ac:dyDescent="0.3">
      <c r="A46" s="227" t="s">
        <v>60</v>
      </c>
      <c r="B46" s="344" t="s">
        <v>61</v>
      </c>
      <c r="C46" s="344" t="s">
        <v>59</v>
      </c>
      <c r="D46" s="53" t="s">
        <v>62</v>
      </c>
      <c r="E46" s="221">
        <f t="shared" si="7"/>
        <v>18100</v>
      </c>
      <c r="F46" s="221">
        <v>18100</v>
      </c>
      <c r="G46" s="221">
        <v>0</v>
      </c>
      <c r="H46" s="221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39">
        <f t="shared" si="2"/>
        <v>18100</v>
      </c>
    </row>
    <row r="47" spans="1:16" ht="46.8" x14ac:dyDescent="0.3">
      <c r="A47" s="227" t="s">
        <v>63</v>
      </c>
      <c r="B47" s="344" t="s">
        <v>64</v>
      </c>
      <c r="C47" s="344" t="s">
        <v>59</v>
      </c>
      <c r="D47" s="53" t="s">
        <v>65</v>
      </c>
      <c r="E47" s="221">
        <f t="shared" si="7"/>
        <v>654032</v>
      </c>
      <c r="F47" s="221">
        <v>654032</v>
      </c>
      <c r="G47" s="221">
        <f>124437+27376</f>
        <v>151813</v>
      </c>
      <c r="H47" s="221">
        <v>467487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239">
        <f t="shared" si="2"/>
        <v>654032</v>
      </c>
    </row>
    <row r="48" spans="1:16" ht="46.8" x14ac:dyDescent="0.3">
      <c r="A48" s="227" t="s">
        <v>383</v>
      </c>
      <c r="B48" s="344" t="s">
        <v>384</v>
      </c>
      <c r="C48" s="344" t="s">
        <v>59</v>
      </c>
      <c r="D48" s="53" t="s">
        <v>385</v>
      </c>
      <c r="E48" s="221">
        <f t="shared" si="7"/>
        <v>715470</v>
      </c>
      <c r="F48" s="54">
        <v>715470</v>
      </c>
      <c r="G48" s="54">
        <v>715470</v>
      </c>
      <c r="H48" s="54">
        <v>0</v>
      </c>
      <c r="I48" s="54">
        <v>0</v>
      </c>
      <c r="J48" s="54">
        <f>L48+O48</f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39">
        <f t="shared" si="2"/>
        <v>715470</v>
      </c>
    </row>
    <row r="49" spans="1:16" ht="46.8" x14ac:dyDescent="0.3">
      <c r="A49" s="227" t="s">
        <v>66</v>
      </c>
      <c r="B49" s="484" t="s">
        <v>67</v>
      </c>
      <c r="C49" s="484" t="s">
        <v>59</v>
      </c>
      <c r="D49" s="53" t="s">
        <v>68</v>
      </c>
      <c r="E49" s="221">
        <f t="shared" si="7"/>
        <v>1287927</v>
      </c>
      <c r="F49" s="221">
        <v>1287927</v>
      </c>
      <c r="G49" s="221">
        <f>999860+219969</f>
        <v>1219829</v>
      </c>
      <c r="H49" s="221">
        <v>30581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39">
        <f t="shared" si="2"/>
        <v>1287927</v>
      </c>
    </row>
    <row r="50" spans="1:16" ht="140.4" x14ac:dyDescent="0.3">
      <c r="A50" s="363" t="s">
        <v>470</v>
      </c>
      <c r="B50" s="297" t="s">
        <v>471</v>
      </c>
      <c r="C50" s="297" t="s">
        <v>59</v>
      </c>
      <c r="D50" s="298" t="s">
        <v>472</v>
      </c>
      <c r="E50" s="221">
        <f t="shared" si="7"/>
        <v>85974</v>
      </c>
      <c r="F50" s="222">
        <v>85974</v>
      </c>
      <c r="G50" s="222">
        <v>85974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39">
        <f t="shared" ref="P50:P52" si="8">E50+J50</f>
        <v>85974</v>
      </c>
    </row>
    <row r="51" spans="1:16" ht="140.4" x14ac:dyDescent="0.3">
      <c r="A51" s="52" t="s">
        <v>470</v>
      </c>
      <c r="B51" s="50" t="s">
        <v>471</v>
      </c>
      <c r="C51" s="50" t="s">
        <v>59</v>
      </c>
      <c r="D51" s="299" t="s">
        <v>473</v>
      </c>
      <c r="E51" s="221">
        <f t="shared" si="7"/>
        <v>138306</v>
      </c>
      <c r="F51" s="222">
        <v>138306</v>
      </c>
      <c r="G51" s="222">
        <v>138306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239">
        <f t="shared" si="8"/>
        <v>138306</v>
      </c>
    </row>
    <row r="52" spans="1:16" ht="93.6" x14ac:dyDescent="0.3">
      <c r="A52" s="609" t="s">
        <v>577</v>
      </c>
      <c r="B52" s="610" t="s">
        <v>578</v>
      </c>
      <c r="C52" s="610" t="s">
        <v>59</v>
      </c>
      <c r="D52" s="611" t="s">
        <v>579</v>
      </c>
      <c r="E52" s="222">
        <f>F52</f>
        <v>37033</v>
      </c>
      <c r="F52" s="222">
        <v>37033</v>
      </c>
      <c r="G52" s="222"/>
      <c r="H52" s="223"/>
      <c r="I52" s="223"/>
      <c r="J52" s="223"/>
      <c r="K52" s="223"/>
      <c r="L52" s="223"/>
      <c r="M52" s="223"/>
      <c r="N52" s="223"/>
      <c r="O52" s="223"/>
      <c r="P52" s="239">
        <f t="shared" si="8"/>
        <v>37033</v>
      </c>
    </row>
    <row r="53" spans="1:16" ht="93.6" x14ac:dyDescent="0.3">
      <c r="A53" s="236" t="s">
        <v>69</v>
      </c>
      <c r="B53" s="208" t="s">
        <v>70</v>
      </c>
      <c r="C53" s="208" t="s">
        <v>71</v>
      </c>
      <c r="D53" s="97" t="s">
        <v>72</v>
      </c>
      <c r="E53" s="222">
        <f t="shared" si="7"/>
        <v>357382</v>
      </c>
      <c r="F53" s="222">
        <v>357382</v>
      </c>
      <c r="G53" s="222">
        <f>42756+9406</f>
        <v>52162</v>
      </c>
      <c r="H53" s="222">
        <v>1442</v>
      </c>
      <c r="I53" s="223">
        <v>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  <c r="P53" s="241">
        <f t="shared" si="2"/>
        <v>357382</v>
      </c>
    </row>
    <row r="54" spans="1:16" ht="47.4" thickBot="1" x14ac:dyDescent="0.35">
      <c r="A54" s="362" t="s">
        <v>498</v>
      </c>
      <c r="B54" s="309" t="s">
        <v>499</v>
      </c>
      <c r="C54" s="309" t="s">
        <v>484</v>
      </c>
      <c r="D54" s="369" t="s">
        <v>485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f>L54+O54</f>
        <v>47850</v>
      </c>
      <c r="K54" s="223">
        <f>O54</f>
        <v>47850</v>
      </c>
      <c r="L54" s="223">
        <v>0</v>
      </c>
      <c r="M54" s="223">
        <v>0</v>
      </c>
      <c r="N54" s="223">
        <v>0</v>
      </c>
      <c r="O54" s="223">
        <v>47850</v>
      </c>
      <c r="P54" s="241">
        <f t="shared" si="2"/>
        <v>47850</v>
      </c>
    </row>
    <row r="55" spans="1:16" ht="47.4" thickBot="1" x14ac:dyDescent="0.35">
      <c r="A55" s="210" t="s">
        <v>73</v>
      </c>
      <c r="B55" s="211" t="s">
        <v>17</v>
      </c>
      <c r="C55" s="211" t="s">
        <v>17</v>
      </c>
      <c r="D55" s="212" t="s">
        <v>74</v>
      </c>
      <c r="E55" s="199">
        <f>E56</f>
        <v>27715017</v>
      </c>
      <c r="F55" s="199">
        <f>F56</f>
        <v>27715017</v>
      </c>
      <c r="G55" s="199">
        <f t="shared" ref="G55:I55" si="9">G56</f>
        <v>14444172</v>
      </c>
      <c r="H55" s="199">
        <f t="shared" si="9"/>
        <v>369629</v>
      </c>
      <c r="I55" s="199">
        <f t="shared" si="9"/>
        <v>0</v>
      </c>
      <c r="J55" s="199">
        <f>J56</f>
        <v>9900</v>
      </c>
      <c r="K55" s="199">
        <f>K56</f>
        <v>0</v>
      </c>
      <c r="L55" s="199">
        <f t="shared" ref="L55:O55" si="10">L56</f>
        <v>9900</v>
      </c>
      <c r="M55" s="199">
        <f t="shared" si="10"/>
        <v>0</v>
      </c>
      <c r="N55" s="199">
        <f t="shared" si="10"/>
        <v>0</v>
      </c>
      <c r="O55" s="199">
        <f t="shared" si="10"/>
        <v>0</v>
      </c>
      <c r="P55" s="224">
        <f>E55+J55</f>
        <v>27724917</v>
      </c>
    </row>
    <row r="56" spans="1:16" ht="46.8" x14ac:dyDescent="0.3">
      <c r="A56" s="216" t="s">
        <v>75</v>
      </c>
      <c r="B56" s="217" t="s">
        <v>17</v>
      </c>
      <c r="C56" s="217" t="s">
        <v>17</v>
      </c>
      <c r="D56" s="218" t="s">
        <v>74</v>
      </c>
      <c r="E56" s="228">
        <f>E57+E58+E59+E60+E61+E62+E63+E64+E65+E66</f>
        <v>27715017</v>
      </c>
      <c r="F56" s="225">
        <f>F57+F58+F59+F60+F61+F62+F63+F64+F65+F66</f>
        <v>27715017</v>
      </c>
      <c r="G56" s="225">
        <f t="shared" ref="G56:I56" si="11">G57+G58+G59+G62+G63+G65+G66</f>
        <v>14444172</v>
      </c>
      <c r="H56" s="225">
        <f t="shared" si="11"/>
        <v>369629</v>
      </c>
      <c r="I56" s="225">
        <f t="shared" si="11"/>
        <v>0</v>
      </c>
      <c r="J56" s="228">
        <f>J57+J58+J59+J62+J63+J65+J66</f>
        <v>9900</v>
      </c>
      <c r="K56" s="225">
        <f>K57+K58+K59+K62+K63+K65+K66</f>
        <v>0</v>
      </c>
      <c r="L56" s="225">
        <f t="shared" ref="L56:O56" si="12">L57+L58+L59+L62+L63+L65+L66</f>
        <v>9900</v>
      </c>
      <c r="M56" s="225">
        <f t="shared" si="12"/>
        <v>0</v>
      </c>
      <c r="N56" s="225">
        <f t="shared" si="12"/>
        <v>0</v>
      </c>
      <c r="O56" s="225">
        <f t="shared" si="12"/>
        <v>0</v>
      </c>
      <c r="P56" s="240">
        <f>E56+J56</f>
        <v>27724917</v>
      </c>
    </row>
    <row r="57" spans="1:16" ht="46.8" x14ac:dyDescent="0.3">
      <c r="A57" s="227" t="s">
        <v>386</v>
      </c>
      <c r="B57" s="344" t="s">
        <v>47</v>
      </c>
      <c r="C57" s="344" t="s">
        <v>20</v>
      </c>
      <c r="D57" s="53" t="s">
        <v>377</v>
      </c>
      <c r="E57" s="221">
        <f>F57+I57</f>
        <v>6778637</v>
      </c>
      <c r="F57" s="221">
        <v>6778637</v>
      </c>
      <c r="G57" s="221">
        <f>5209609+1146114</f>
        <v>6355723</v>
      </c>
      <c r="H57" s="221">
        <v>172769</v>
      </c>
      <c r="I57" s="54">
        <v>0</v>
      </c>
      <c r="J57" s="54">
        <f>L57+O57</f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39">
        <f>E57+J57</f>
        <v>6778637</v>
      </c>
    </row>
    <row r="58" spans="1:16" ht="46.8" x14ac:dyDescent="0.3">
      <c r="A58" s="227" t="s">
        <v>76</v>
      </c>
      <c r="B58" s="344" t="s">
        <v>77</v>
      </c>
      <c r="C58" s="344" t="s">
        <v>78</v>
      </c>
      <c r="D58" s="53" t="s">
        <v>79</v>
      </c>
      <c r="E58" s="221">
        <f t="shared" ref="E58:E66" si="13">F58+I58</f>
        <v>15000</v>
      </c>
      <c r="F58" s="221">
        <v>15000</v>
      </c>
      <c r="G58" s="221">
        <v>0</v>
      </c>
      <c r="H58" s="221">
        <v>0</v>
      </c>
      <c r="I58" s="54">
        <v>0</v>
      </c>
      <c r="J58" s="54">
        <f t="shared" ref="J58:J65" si="14">L58+O58</f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39">
        <f t="shared" ref="P58:P127" si="15">E58+J58</f>
        <v>15000</v>
      </c>
    </row>
    <row r="59" spans="1:16" ht="31.2" x14ac:dyDescent="0.3">
      <c r="A59" s="227" t="s">
        <v>80</v>
      </c>
      <c r="B59" s="344" t="s">
        <v>81</v>
      </c>
      <c r="C59" s="344" t="s">
        <v>56</v>
      </c>
      <c r="D59" s="53" t="s">
        <v>82</v>
      </c>
      <c r="E59" s="221">
        <f t="shared" si="13"/>
        <v>18450</v>
      </c>
      <c r="F59" s="221">
        <v>18450</v>
      </c>
      <c r="G59" s="221">
        <v>0</v>
      </c>
      <c r="H59" s="221">
        <v>0</v>
      </c>
      <c r="I59" s="54">
        <v>0</v>
      </c>
      <c r="J59" s="54">
        <f t="shared" si="14"/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239">
        <f t="shared" si="15"/>
        <v>18450</v>
      </c>
    </row>
    <row r="60" spans="1:16" ht="46.8" x14ac:dyDescent="0.3">
      <c r="A60" s="358" t="s">
        <v>480</v>
      </c>
      <c r="B60" s="300" t="s">
        <v>481</v>
      </c>
      <c r="C60" s="344" t="s">
        <v>56</v>
      </c>
      <c r="D60" s="53" t="s">
        <v>482</v>
      </c>
      <c r="E60" s="221">
        <f t="shared" si="13"/>
        <v>50445</v>
      </c>
      <c r="F60" s="221">
        <v>50445</v>
      </c>
      <c r="G60" s="221">
        <v>0</v>
      </c>
      <c r="H60" s="221">
        <v>0</v>
      </c>
      <c r="I60" s="54">
        <v>0</v>
      </c>
      <c r="J60" s="54">
        <f t="shared" ref="J60:J61" si="16">L60+O60</f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239">
        <f t="shared" ref="P60:P61" si="17">E60+J60</f>
        <v>50445</v>
      </c>
    </row>
    <row r="61" spans="1:16" ht="46.8" x14ac:dyDescent="0.3">
      <c r="A61" s="358" t="s">
        <v>477</v>
      </c>
      <c r="B61" s="300" t="s">
        <v>478</v>
      </c>
      <c r="C61" s="300" t="s">
        <v>78</v>
      </c>
      <c r="D61" s="301" t="s">
        <v>479</v>
      </c>
      <c r="E61" s="221">
        <f t="shared" si="13"/>
        <v>50420</v>
      </c>
      <c r="F61" s="221">
        <v>50420</v>
      </c>
      <c r="G61" s="221">
        <v>0</v>
      </c>
      <c r="H61" s="221">
        <v>0</v>
      </c>
      <c r="I61" s="54">
        <v>0</v>
      </c>
      <c r="J61" s="54">
        <f t="shared" si="16"/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239">
        <f t="shared" si="17"/>
        <v>50420</v>
      </c>
    </row>
    <row r="62" spans="1:16" ht="31.2" x14ac:dyDescent="0.3">
      <c r="A62" s="227" t="s">
        <v>387</v>
      </c>
      <c r="B62" s="484" t="s">
        <v>388</v>
      </c>
      <c r="C62" s="484" t="s">
        <v>49</v>
      </c>
      <c r="D62" s="53" t="s">
        <v>389</v>
      </c>
      <c r="E62" s="221">
        <f t="shared" si="13"/>
        <v>3517227</v>
      </c>
      <c r="F62" s="221">
        <v>3517227</v>
      </c>
      <c r="G62" s="221">
        <f>2719168+598217</f>
        <v>3317385</v>
      </c>
      <c r="H62" s="221">
        <v>82842</v>
      </c>
      <c r="I62" s="54">
        <v>0</v>
      </c>
      <c r="J62" s="54">
        <f t="shared" si="14"/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239">
        <f t="shared" si="15"/>
        <v>3517227</v>
      </c>
    </row>
    <row r="63" spans="1:16" ht="109.2" x14ac:dyDescent="0.3">
      <c r="A63" s="227" t="s">
        <v>390</v>
      </c>
      <c r="B63" s="344" t="s">
        <v>391</v>
      </c>
      <c r="C63" s="344" t="s">
        <v>49</v>
      </c>
      <c r="D63" s="53" t="s">
        <v>392</v>
      </c>
      <c r="E63" s="221">
        <f t="shared" si="13"/>
        <v>62136</v>
      </c>
      <c r="F63" s="221">
        <v>62136</v>
      </c>
      <c r="G63" s="221">
        <v>0</v>
      </c>
      <c r="H63" s="221">
        <v>0</v>
      </c>
      <c r="I63" s="54">
        <v>0</v>
      </c>
      <c r="J63" s="54">
        <f t="shared" si="14"/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239">
        <f t="shared" si="15"/>
        <v>62136</v>
      </c>
    </row>
    <row r="64" spans="1:16" ht="64.2" customHeight="1" x14ac:dyDescent="0.3">
      <c r="A64" s="358" t="s">
        <v>474</v>
      </c>
      <c r="B64" s="300" t="s">
        <v>475</v>
      </c>
      <c r="C64" s="300" t="s">
        <v>49</v>
      </c>
      <c r="D64" s="302" t="s">
        <v>476</v>
      </c>
      <c r="E64" s="221">
        <f t="shared" si="13"/>
        <v>18905</v>
      </c>
      <c r="F64" s="221">
        <v>18905</v>
      </c>
      <c r="G64" s="221">
        <v>0</v>
      </c>
      <c r="H64" s="221">
        <v>0</v>
      </c>
      <c r="I64" s="54">
        <v>0</v>
      </c>
      <c r="J64" s="54">
        <f t="shared" ref="J64" si="18">L64+O64</f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239">
        <f t="shared" ref="P64" si="19">E64+J64</f>
        <v>18905</v>
      </c>
    </row>
    <row r="65" spans="1:16" ht="46.8" x14ac:dyDescent="0.3">
      <c r="A65" s="227" t="s">
        <v>393</v>
      </c>
      <c r="B65" s="344" t="s">
        <v>394</v>
      </c>
      <c r="C65" s="344" t="s">
        <v>83</v>
      </c>
      <c r="D65" s="53" t="s">
        <v>395</v>
      </c>
      <c r="E65" s="221">
        <f t="shared" si="13"/>
        <v>5011797</v>
      </c>
      <c r="F65" s="221">
        <v>5011797</v>
      </c>
      <c r="G65" s="221">
        <f>3910708+860356</f>
        <v>4771064</v>
      </c>
      <c r="H65" s="221">
        <v>114018</v>
      </c>
      <c r="I65" s="54">
        <v>0</v>
      </c>
      <c r="J65" s="54">
        <f t="shared" si="14"/>
        <v>9900</v>
      </c>
      <c r="K65" s="54">
        <v>0</v>
      </c>
      <c r="L65" s="54">
        <v>9900</v>
      </c>
      <c r="M65" s="54">
        <v>0</v>
      </c>
      <c r="N65" s="54">
        <v>0</v>
      </c>
      <c r="O65" s="54">
        <v>0</v>
      </c>
      <c r="P65" s="239">
        <f t="shared" si="15"/>
        <v>5021697</v>
      </c>
    </row>
    <row r="66" spans="1:16" ht="31.8" thickBot="1" x14ac:dyDescent="0.35">
      <c r="A66" s="254" t="s">
        <v>84</v>
      </c>
      <c r="B66" s="255" t="s">
        <v>85</v>
      </c>
      <c r="C66" s="255" t="s">
        <v>83</v>
      </c>
      <c r="D66" s="256" t="s">
        <v>86</v>
      </c>
      <c r="E66" s="257">
        <f t="shared" si="13"/>
        <v>12192000</v>
      </c>
      <c r="F66" s="257">
        <f>11199600+92400+900000</f>
        <v>12192000</v>
      </c>
      <c r="G66" s="257">
        <v>0</v>
      </c>
      <c r="H66" s="257">
        <v>0</v>
      </c>
      <c r="I66" s="258">
        <v>0</v>
      </c>
      <c r="J66" s="258">
        <f>L66+O66</f>
        <v>0</v>
      </c>
      <c r="K66" s="258">
        <v>0</v>
      </c>
      <c r="L66" s="258">
        <v>0</v>
      </c>
      <c r="M66" s="258">
        <v>0</v>
      </c>
      <c r="N66" s="258">
        <v>0</v>
      </c>
      <c r="O66" s="258">
        <v>0</v>
      </c>
      <c r="P66" s="259">
        <f t="shared" si="15"/>
        <v>12192000</v>
      </c>
    </row>
    <row r="67" spans="1:16" ht="54" customHeight="1" thickBot="1" x14ac:dyDescent="0.35">
      <c r="A67" s="210" t="s">
        <v>87</v>
      </c>
      <c r="B67" s="211" t="s">
        <v>17</v>
      </c>
      <c r="C67" s="211" t="s">
        <v>17</v>
      </c>
      <c r="D67" s="212" t="s">
        <v>88</v>
      </c>
      <c r="E67" s="199">
        <f>E68</f>
        <v>1601990</v>
      </c>
      <c r="F67" s="199">
        <f>F68</f>
        <v>1601990</v>
      </c>
      <c r="G67" s="199">
        <f t="shared" ref="G67:I67" si="20">G68</f>
        <v>1520678</v>
      </c>
      <c r="H67" s="199">
        <f t="shared" si="20"/>
        <v>0</v>
      </c>
      <c r="I67" s="199">
        <f t="shared" si="20"/>
        <v>0</v>
      </c>
      <c r="J67" s="199">
        <f>J68</f>
        <v>0</v>
      </c>
      <c r="K67" s="199">
        <f>K68</f>
        <v>0</v>
      </c>
      <c r="L67" s="199">
        <f t="shared" ref="L67:O67" si="21">L68</f>
        <v>0</v>
      </c>
      <c r="M67" s="199">
        <f t="shared" si="21"/>
        <v>0</v>
      </c>
      <c r="N67" s="199">
        <f t="shared" si="21"/>
        <v>0</v>
      </c>
      <c r="O67" s="199">
        <f t="shared" si="21"/>
        <v>0</v>
      </c>
      <c r="P67" s="224">
        <f t="shared" si="15"/>
        <v>1601990</v>
      </c>
    </row>
    <row r="68" spans="1:16" ht="46.8" x14ac:dyDescent="0.3">
      <c r="A68" s="216" t="s">
        <v>89</v>
      </c>
      <c r="B68" s="217" t="s">
        <v>17</v>
      </c>
      <c r="C68" s="217" t="s">
        <v>17</v>
      </c>
      <c r="D68" s="218" t="s">
        <v>88</v>
      </c>
      <c r="E68" s="225">
        <f>E69+E70</f>
        <v>1601990</v>
      </c>
      <c r="F68" s="225">
        <f>F69+F70</f>
        <v>1601990</v>
      </c>
      <c r="G68" s="225">
        <f t="shared" ref="G68:I68" si="22">G69+G70</f>
        <v>1520678</v>
      </c>
      <c r="H68" s="225">
        <f t="shared" si="22"/>
        <v>0</v>
      </c>
      <c r="I68" s="225">
        <f t="shared" si="22"/>
        <v>0</v>
      </c>
      <c r="J68" s="225">
        <f>J69+J70</f>
        <v>0</v>
      </c>
      <c r="K68" s="225">
        <f>K69+K70</f>
        <v>0</v>
      </c>
      <c r="L68" s="225">
        <f t="shared" ref="L68:O68" si="23">L69+L70</f>
        <v>0</v>
      </c>
      <c r="M68" s="225">
        <f t="shared" si="23"/>
        <v>0</v>
      </c>
      <c r="N68" s="225">
        <f t="shared" si="23"/>
        <v>0</v>
      </c>
      <c r="O68" s="225">
        <f t="shared" si="23"/>
        <v>0</v>
      </c>
      <c r="P68" s="240">
        <f t="shared" si="15"/>
        <v>1601990</v>
      </c>
    </row>
    <row r="69" spans="1:16" ht="46.8" x14ac:dyDescent="0.3">
      <c r="A69" s="227" t="s">
        <v>396</v>
      </c>
      <c r="B69" s="344" t="s">
        <v>47</v>
      </c>
      <c r="C69" s="344" t="s">
        <v>20</v>
      </c>
      <c r="D69" s="53" t="s">
        <v>377</v>
      </c>
      <c r="E69" s="221">
        <f>F69+I69</f>
        <v>1565990</v>
      </c>
      <c r="F69" s="221">
        <v>1565990</v>
      </c>
      <c r="G69" s="221">
        <f>1246457+274221</f>
        <v>1520678</v>
      </c>
      <c r="H69" s="221">
        <v>0</v>
      </c>
      <c r="I69" s="54">
        <v>0</v>
      </c>
      <c r="J69" s="54">
        <f>L69+O69</f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239">
        <f t="shared" si="15"/>
        <v>1565990</v>
      </c>
    </row>
    <row r="70" spans="1:16" ht="31.8" thickBot="1" x14ac:dyDescent="0.35">
      <c r="A70" s="236" t="s">
        <v>90</v>
      </c>
      <c r="B70" s="208" t="s">
        <v>91</v>
      </c>
      <c r="C70" s="208" t="s">
        <v>71</v>
      </c>
      <c r="D70" s="97" t="s">
        <v>92</v>
      </c>
      <c r="E70" s="221">
        <f>F70+I70</f>
        <v>36000</v>
      </c>
      <c r="F70" s="222">
        <v>36000</v>
      </c>
      <c r="G70" s="222">
        <v>0</v>
      </c>
      <c r="H70" s="222">
        <v>0</v>
      </c>
      <c r="I70" s="223">
        <v>0</v>
      </c>
      <c r="J70" s="223">
        <f>L70+O70</f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241">
        <f t="shared" si="15"/>
        <v>36000</v>
      </c>
    </row>
    <row r="71" spans="1:16" s="229" customFormat="1" ht="72" customHeight="1" thickBot="1" x14ac:dyDescent="0.35">
      <c r="A71" s="210" t="s">
        <v>93</v>
      </c>
      <c r="B71" s="211" t="s">
        <v>17</v>
      </c>
      <c r="C71" s="211" t="s">
        <v>17</v>
      </c>
      <c r="D71" s="212" t="s">
        <v>94</v>
      </c>
      <c r="E71" s="199">
        <f>E72</f>
        <v>88528105</v>
      </c>
      <c r="F71" s="199">
        <f>F72</f>
        <v>88528105</v>
      </c>
      <c r="G71" s="199">
        <f t="shared" ref="G71:I71" si="24">G72</f>
        <v>44782977</v>
      </c>
      <c r="H71" s="199">
        <f t="shared" si="24"/>
        <v>8286293</v>
      </c>
      <c r="I71" s="199">
        <f t="shared" si="24"/>
        <v>0</v>
      </c>
      <c r="J71" s="199">
        <f>J72</f>
        <v>912977</v>
      </c>
      <c r="K71" s="199">
        <f>K72</f>
        <v>0</v>
      </c>
      <c r="L71" s="199">
        <f t="shared" ref="L71:O71" si="25">L72</f>
        <v>912977</v>
      </c>
      <c r="M71" s="199">
        <f t="shared" si="25"/>
        <v>769014</v>
      </c>
      <c r="N71" s="199">
        <f t="shared" si="25"/>
        <v>0</v>
      </c>
      <c r="O71" s="199">
        <f t="shared" si="25"/>
        <v>0</v>
      </c>
      <c r="P71" s="224">
        <f t="shared" si="15"/>
        <v>89441082</v>
      </c>
    </row>
    <row r="72" spans="1:16" s="226" customFormat="1" ht="62.4" x14ac:dyDescent="0.3">
      <c r="A72" s="216" t="s">
        <v>95</v>
      </c>
      <c r="B72" s="217" t="s">
        <v>17</v>
      </c>
      <c r="C72" s="217" t="s">
        <v>17</v>
      </c>
      <c r="D72" s="218" t="s">
        <v>94</v>
      </c>
      <c r="E72" s="225">
        <f>E73+E74+E75+E76+E77+E78+E79+E80+E81+E82+E83+E84+E85+E86+E87</f>
        <v>88528105</v>
      </c>
      <c r="F72" s="225">
        <f>F73+F74+F75+F76+F77+F78+F79+F80+F81+F82+F83+F84+F85+F86+F87</f>
        <v>88528105</v>
      </c>
      <c r="G72" s="225">
        <f t="shared" ref="G72:O72" si="26">G73+G74+G75+G76+G77+G78+G79+G80+G81+G82+G83+G84+G85</f>
        <v>44782977</v>
      </c>
      <c r="H72" s="225">
        <f t="shared" si="26"/>
        <v>8286293</v>
      </c>
      <c r="I72" s="225">
        <f t="shared" si="26"/>
        <v>0</v>
      </c>
      <c r="J72" s="225">
        <f t="shared" si="26"/>
        <v>912977</v>
      </c>
      <c r="K72" s="225">
        <f t="shared" si="26"/>
        <v>0</v>
      </c>
      <c r="L72" s="225">
        <f t="shared" si="26"/>
        <v>912977</v>
      </c>
      <c r="M72" s="225">
        <f t="shared" si="26"/>
        <v>769014</v>
      </c>
      <c r="N72" s="225">
        <f t="shared" si="26"/>
        <v>0</v>
      </c>
      <c r="O72" s="225">
        <f t="shared" si="26"/>
        <v>0</v>
      </c>
      <c r="P72" s="240">
        <f t="shared" si="15"/>
        <v>89441082</v>
      </c>
    </row>
    <row r="73" spans="1:16" ht="46.8" x14ac:dyDescent="0.3">
      <c r="A73" s="227" t="s">
        <v>397</v>
      </c>
      <c r="B73" s="344" t="s">
        <v>47</v>
      </c>
      <c r="C73" s="344" t="s">
        <v>20</v>
      </c>
      <c r="D73" s="53" t="s">
        <v>377</v>
      </c>
      <c r="E73" s="221">
        <f>F73+I73</f>
        <v>2368719</v>
      </c>
      <c r="F73" s="221">
        <v>2368719</v>
      </c>
      <c r="G73" s="221">
        <f>1898109+417584</f>
        <v>2315693</v>
      </c>
      <c r="H73" s="221">
        <v>0</v>
      </c>
      <c r="I73" s="54">
        <v>0</v>
      </c>
      <c r="J73" s="54">
        <f>L73+O73</f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239">
        <f t="shared" si="15"/>
        <v>2368719</v>
      </c>
    </row>
    <row r="74" spans="1:16" ht="31.2" x14ac:dyDescent="0.3">
      <c r="A74" s="227" t="s">
        <v>96</v>
      </c>
      <c r="B74" s="344" t="s">
        <v>97</v>
      </c>
      <c r="C74" s="344" t="s">
        <v>57</v>
      </c>
      <c r="D74" s="53" t="s">
        <v>98</v>
      </c>
      <c r="E74" s="221">
        <f t="shared" ref="E74:E87" si="27">F74+I74</f>
        <v>13539505</v>
      </c>
      <c r="F74" s="221">
        <v>13539505</v>
      </c>
      <c r="G74" s="221">
        <f>10632545+2339159</f>
        <v>12971704</v>
      </c>
      <c r="H74" s="221">
        <v>441577</v>
      </c>
      <c r="I74" s="54">
        <v>0</v>
      </c>
      <c r="J74" s="54">
        <f t="shared" ref="J74:J85" si="28">L74+O74</f>
        <v>769014</v>
      </c>
      <c r="K74" s="54">
        <v>0</v>
      </c>
      <c r="L74" s="54">
        <v>769014</v>
      </c>
      <c r="M74" s="54">
        <f>630339+138675</f>
        <v>769014</v>
      </c>
      <c r="N74" s="54">
        <v>0</v>
      </c>
      <c r="O74" s="54">
        <v>0</v>
      </c>
      <c r="P74" s="239">
        <f t="shared" si="15"/>
        <v>14308519</v>
      </c>
    </row>
    <row r="75" spans="1:16" ht="31.2" x14ac:dyDescent="0.3">
      <c r="A75" s="227" t="s">
        <v>99</v>
      </c>
      <c r="B75" s="344" t="s">
        <v>100</v>
      </c>
      <c r="C75" s="344" t="s">
        <v>71</v>
      </c>
      <c r="D75" s="53" t="s">
        <v>101</v>
      </c>
      <c r="E75" s="221">
        <f t="shared" si="27"/>
        <v>140000</v>
      </c>
      <c r="F75" s="221">
        <f>33600+106400</f>
        <v>140000</v>
      </c>
      <c r="G75" s="221">
        <v>0</v>
      </c>
      <c r="H75" s="221">
        <v>0</v>
      </c>
      <c r="I75" s="54">
        <v>0</v>
      </c>
      <c r="J75" s="54">
        <f t="shared" si="28"/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239">
        <f t="shared" si="15"/>
        <v>140000</v>
      </c>
    </row>
    <row r="76" spans="1:16" x14ac:dyDescent="0.3">
      <c r="A76" s="227" t="s">
        <v>102</v>
      </c>
      <c r="B76" s="344" t="s">
        <v>103</v>
      </c>
      <c r="C76" s="344" t="s">
        <v>104</v>
      </c>
      <c r="D76" s="53" t="s">
        <v>105</v>
      </c>
      <c r="E76" s="221">
        <f t="shared" si="27"/>
        <v>4468377</v>
      </c>
      <c r="F76" s="221">
        <f>4176088+292289</f>
        <v>4468377</v>
      </c>
      <c r="G76" s="221">
        <f>2944486+647787</f>
        <v>3592273</v>
      </c>
      <c r="H76" s="221">
        <v>384903</v>
      </c>
      <c r="I76" s="54">
        <v>0</v>
      </c>
      <c r="J76" s="54">
        <f t="shared" si="28"/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239">
        <f t="shared" si="15"/>
        <v>4468377</v>
      </c>
    </row>
    <row r="77" spans="1:16" ht="31.2" x14ac:dyDescent="0.3">
      <c r="A77" s="227" t="s">
        <v>106</v>
      </c>
      <c r="B77" s="344" t="s">
        <v>107</v>
      </c>
      <c r="C77" s="344" t="s">
        <v>104</v>
      </c>
      <c r="D77" s="53" t="s">
        <v>108</v>
      </c>
      <c r="E77" s="221">
        <f t="shared" si="27"/>
        <v>1115593</v>
      </c>
      <c r="F77" s="221">
        <v>1115593</v>
      </c>
      <c r="G77" s="221">
        <f>741872+163212</f>
        <v>905084</v>
      </c>
      <c r="H77" s="221">
        <v>128191</v>
      </c>
      <c r="I77" s="54">
        <v>0</v>
      </c>
      <c r="J77" s="54">
        <f t="shared" si="28"/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239">
        <f t="shared" si="15"/>
        <v>1115593</v>
      </c>
    </row>
    <row r="78" spans="1:16" ht="46.8" x14ac:dyDescent="0.3">
      <c r="A78" s="227" t="s">
        <v>109</v>
      </c>
      <c r="B78" s="344" t="s">
        <v>110</v>
      </c>
      <c r="C78" s="344" t="s">
        <v>111</v>
      </c>
      <c r="D78" s="53" t="s">
        <v>112</v>
      </c>
      <c r="E78" s="221">
        <f t="shared" si="27"/>
        <v>23259441</v>
      </c>
      <c r="F78" s="221">
        <v>23259441</v>
      </c>
      <c r="G78" s="221">
        <f>12881207+2833866</f>
        <v>15715073</v>
      </c>
      <c r="H78" s="221">
        <v>6450128</v>
      </c>
      <c r="I78" s="54">
        <v>0</v>
      </c>
      <c r="J78" s="54">
        <f t="shared" si="28"/>
        <v>143963</v>
      </c>
      <c r="K78" s="54">
        <v>0</v>
      </c>
      <c r="L78" s="54">
        <v>143963</v>
      </c>
      <c r="M78" s="54">
        <v>0</v>
      </c>
      <c r="N78" s="54">
        <v>0</v>
      </c>
      <c r="O78" s="54">
        <v>0</v>
      </c>
      <c r="P78" s="239">
        <f t="shared" si="15"/>
        <v>23403404</v>
      </c>
    </row>
    <row r="79" spans="1:16" ht="31.2" x14ac:dyDescent="0.3">
      <c r="A79" s="227" t="s">
        <v>398</v>
      </c>
      <c r="B79" s="484" t="s">
        <v>399</v>
      </c>
      <c r="C79" s="484" t="s">
        <v>113</v>
      </c>
      <c r="D79" s="53" t="s">
        <v>400</v>
      </c>
      <c r="E79" s="221">
        <f t="shared" si="27"/>
        <v>1503535</v>
      </c>
      <c r="F79" s="221">
        <v>1503535</v>
      </c>
      <c r="G79" s="221">
        <f>1158342+254835</f>
        <v>1413177</v>
      </c>
      <c r="H79" s="221">
        <v>0</v>
      </c>
      <c r="I79" s="54">
        <v>0</v>
      </c>
      <c r="J79" s="54">
        <f t="shared" si="28"/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239">
        <f t="shared" si="15"/>
        <v>1503535</v>
      </c>
    </row>
    <row r="80" spans="1:16" ht="31.2" x14ac:dyDescent="0.3">
      <c r="A80" s="227" t="s">
        <v>114</v>
      </c>
      <c r="B80" s="344" t="s">
        <v>115</v>
      </c>
      <c r="C80" s="344" t="s">
        <v>113</v>
      </c>
      <c r="D80" s="53" t="s">
        <v>116</v>
      </c>
      <c r="E80" s="221">
        <f t="shared" si="27"/>
        <v>170000</v>
      </c>
      <c r="F80" s="221">
        <f>75200+94800</f>
        <v>170000</v>
      </c>
      <c r="G80" s="221">
        <v>0</v>
      </c>
      <c r="H80" s="221">
        <v>0</v>
      </c>
      <c r="I80" s="54">
        <v>0</v>
      </c>
      <c r="J80" s="54">
        <f t="shared" si="28"/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239">
        <f t="shared" si="15"/>
        <v>170000</v>
      </c>
    </row>
    <row r="81" spans="1:16" ht="46.8" x14ac:dyDescent="0.3">
      <c r="A81" s="227" t="s">
        <v>117</v>
      </c>
      <c r="B81" s="344" t="s">
        <v>118</v>
      </c>
      <c r="C81" s="344" t="s">
        <v>119</v>
      </c>
      <c r="D81" s="53" t="s">
        <v>120</v>
      </c>
      <c r="E81" s="221">
        <f t="shared" si="27"/>
        <v>21000</v>
      </c>
      <c r="F81" s="221">
        <v>21000</v>
      </c>
      <c r="G81" s="221">
        <v>0</v>
      </c>
      <c r="H81" s="221">
        <v>0</v>
      </c>
      <c r="I81" s="54">
        <v>0</v>
      </c>
      <c r="J81" s="54">
        <f t="shared" si="28"/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239">
        <f t="shared" si="15"/>
        <v>21000</v>
      </c>
    </row>
    <row r="82" spans="1:16" ht="46.8" x14ac:dyDescent="0.3">
      <c r="A82" s="227" t="s">
        <v>121</v>
      </c>
      <c r="B82" s="344" t="s">
        <v>122</v>
      </c>
      <c r="C82" s="344" t="s">
        <v>119</v>
      </c>
      <c r="D82" s="53" t="s">
        <v>123</v>
      </c>
      <c r="E82" s="221">
        <f t="shared" si="27"/>
        <v>6441400</v>
      </c>
      <c r="F82" s="221">
        <f>5737566+703834</f>
        <v>6441400</v>
      </c>
      <c r="G82" s="221">
        <f>3930362+864680</f>
        <v>4795042</v>
      </c>
      <c r="H82" s="221">
        <v>668835</v>
      </c>
      <c r="I82" s="54">
        <v>0</v>
      </c>
      <c r="J82" s="54">
        <f t="shared" si="28"/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239">
        <f t="shared" si="15"/>
        <v>6441400</v>
      </c>
    </row>
    <row r="83" spans="1:16" ht="31.2" x14ac:dyDescent="0.3">
      <c r="A83" s="227" t="s">
        <v>401</v>
      </c>
      <c r="B83" s="344" t="s">
        <v>402</v>
      </c>
      <c r="C83" s="344" t="s">
        <v>119</v>
      </c>
      <c r="D83" s="53" t="s">
        <v>238</v>
      </c>
      <c r="E83" s="221">
        <f t="shared" si="27"/>
        <v>30174808</v>
      </c>
      <c r="F83" s="221">
        <f>23276040+6898768</f>
        <v>30174808</v>
      </c>
      <c r="G83" s="221">
        <v>0</v>
      </c>
      <c r="H83" s="221">
        <v>0</v>
      </c>
      <c r="I83" s="54">
        <v>0</v>
      </c>
      <c r="J83" s="54">
        <f t="shared" si="28"/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239">
        <f t="shared" si="15"/>
        <v>30174808</v>
      </c>
    </row>
    <row r="84" spans="1:16" ht="66" customHeight="1" x14ac:dyDescent="0.3">
      <c r="A84" s="227" t="s">
        <v>124</v>
      </c>
      <c r="B84" s="344" t="s">
        <v>125</v>
      </c>
      <c r="C84" s="344" t="s">
        <v>119</v>
      </c>
      <c r="D84" s="53" t="s">
        <v>126</v>
      </c>
      <c r="E84" s="221">
        <f t="shared" si="27"/>
        <v>4426455</v>
      </c>
      <c r="F84" s="221">
        <f>3344235+1082220</f>
        <v>4426455</v>
      </c>
      <c r="G84" s="221">
        <f>2520435+554496</f>
        <v>3074931</v>
      </c>
      <c r="H84" s="221">
        <v>212659</v>
      </c>
      <c r="I84" s="54">
        <v>0</v>
      </c>
      <c r="J84" s="54">
        <f t="shared" si="28"/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239">
        <f t="shared" si="15"/>
        <v>4426455</v>
      </c>
    </row>
    <row r="85" spans="1:16" ht="62.4" x14ac:dyDescent="0.3">
      <c r="A85" s="227" t="s">
        <v>127</v>
      </c>
      <c r="B85" s="344" t="s">
        <v>128</v>
      </c>
      <c r="C85" s="344" t="s">
        <v>119</v>
      </c>
      <c r="D85" s="53" t="s">
        <v>129</v>
      </c>
      <c r="E85" s="221">
        <f t="shared" si="27"/>
        <v>465000</v>
      </c>
      <c r="F85" s="221">
        <f>133200+331800</f>
        <v>465000</v>
      </c>
      <c r="G85" s="221">
        <v>0</v>
      </c>
      <c r="H85" s="221">
        <v>0</v>
      </c>
      <c r="I85" s="54">
        <v>0</v>
      </c>
      <c r="J85" s="54">
        <f t="shared" si="28"/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239">
        <f t="shared" si="15"/>
        <v>465000</v>
      </c>
    </row>
    <row r="86" spans="1:16" ht="46.8" x14ac:dyDescent="0.3">
      <c r="A86" s="232">
        <v>1018110</v>
      </c>
      <c r="B86" s="307">
        <v>8110</v>
      </c>
      <c r="C86" s="307" t="s">
        <v>484</v>
      </c>
      <c r="D86" s="308" t="s">
        <v>488</v>
      </c>
      <c r="E86" s="306">
        <f t="shared" si="27"/>
        <v>84272</v>
      </c>
      <c r="F86" s="306">
        <v>84272</v>
      </c>
      <c r="G86" s="306">
        <v>0</v>
      </c>
      <c r="H86" s="306">
        <v>0</v>
      </c>
      <c r="I86" s="370">
        <v>0</v>
      </c>
      <c r="J86" s="370">
        <f t="shared" ref="J86:J87" si="29">L86+O86</f>
        <v>0</v>
      </c>
      <c r="K86" s="370">
        <v>0</v>
      </c>
      <c r="L86" s="370">
        <v>0</v>
      </c>
      <c r="M86" s="370">
        <v>0</v>
      </c>
      <c r="N86" s="370">
        <v>0</v>
      </c>
      <c r="O86" s="370">
        <v>0</v>
      </c>
      <c r="P86" s="371">
        <f t="shared" ref="P86:P87" si="30">E86+J86</f>
        <v>84272</v>
      </c>
    </row>
    <row r="87" spans="1:16" ht="16.2" thickBot="1" x14ac:dyDescent="0.35">
      <c r="A87" s="236">
        <v>1019770</v>
      </c>
      <c r="B87" s="309">
        <v>9770</v>
      </c>
      <c r="C87" s="309" t="s">
        <v>424</v>
      </c>
      <c r="D87" s="311" t="s">
        <v>489</v>
      </c>
      <c r="E87" s="222">
        <f t="shared" si="27"/>
        <v>350000</v>
      </c>
      <c r="F87" s="222">
        <v>350000</v>
      </c>
      <c r="G87" s="222">
        <v>0</v>
      </c>
      <c r="H87" s="222">
        <v>0</v>
      </c>
      <c r="I87" s="223">
        <v>0</v>
      </c>
      <c r="J87" s="223">
        <f t="shared" si="29"/>
        <v>0</v>
      </c>
      <c r="K87" s="223">
        <v>0</v>
      </c>
      <c r="L87" s="223">
        <v>0</v>
      </c>
      <c r="M87" s="223">
        <v>0</v>
      </c>
      <c r="N87" s="223">
        <v>0</v>
      </c>
      <c r="O87" s="223">
        <v>0</v>
      </c>
      <c r="P87" s="241">
        <f t="shared" si="30"/>
        <v>350000</v>
      </c>
    </row>
    <row r="88" spans="1:16" s="229" customFormat="1" ht="69.599999999999994" customHeight="1" thickBot="1" x14ac:dyDescent="0.35">
      <c r="A88" s="210" t="s">
        <v>130</v>
      </c>
      <c r="B88" s="211" t="s">
        <v>17</v>
      </c>
      <c r="C88" s="211" t="s">
        <v>17</v>
      </c>
      <c r="D88" s="212" t="s">
        <v>131</v>
      </c>
      <c r="E88" s="199">
        <f>E89</f>
        <v>44663960</v>
      </c>
      <c r="F88" s="199">
        <f>F89</f>
        <v>44663960</v>
      </c>
      <c r="G88" s="199">
        <f t="shared" ref="G88:I88" si="31">G89</f>
        <v>3212187</v>
      </c>
      <c r="H88" s="199">
        <f t="shared" si="31"/>
        <v>0</v>
      </c>
      <c r="I88" s="199">
        <f t="shared" si="31"/>
        <v>0</v>
      </c>
      <c r="J88" s="230">
        <f>J89</f>
        <v>1594176</v>
      </c>
      <c r="K88" s="199">
        <f t="shared" ref="K88:O88" si="32">K89</f>
        <v>1119376</v>
      </c>
      <c r="L88" s="199">
        <f t="shared" si="32"/>
        <v>284800</v>
      </c>
      <c r="M88" s="199">
        <f t="shared" si="32"/>
        <v>0</v>
      </c>
      <c r="N88" s="199">
        <f t="shared" si="32"/>
        <v>0</v>
      </c>
      <c r="O88" s="199">
        <f t="shared" si="32"/>
        <v>1309376</v>
      </c>
      <c r="P88" s="224">
        <f>E88+J88</f>
        <v>46258136</v>
      </c>
    </row>
    <row r="89" spans="1:16" s="226" customFormat="1" ht="59.4" customHeight="1" x14ac:dyDescent="0.3">
      <c r="A89" s="216" t="s">
        <v>132</v>
      </c>
      <c r="B89" s="217" t="s">
        <v>17</v>
      </c>
      <c r="C89" s="217" t="s">
        <v>17</v>
      </c>
      <c r="D89" s="218" t="s">
        <v>131</v>
      </c>
      <c r="E89" s="225">
        <f>E90+E91+E92+E93+E94+E96</f>
        <v>44663960</v>
      </c>
      <c r="F89" s="225">
        <f>F90+F91+F92+F93+F94+F96</f>
        <v>44663960</v>
      </c>
      <c r="G89" s="225">
        <f t="shared" ref="G89:I89" si="33">G90+G91+G92+G93+G94+G96</f>
        <v>3212187</v>
      </c>
      <c r="H89" s="225">
        <f t="shared" si="33"/>
        <v>0</v>
      </c>
      <c r="I89" s="225">
        <f t="shared" si="33"/>
        <v>0</v>
      </c>
      <c r="J89" s="231">
        <f>J90+J91+J92+J93+J94+J95+J96</f>
        <v>1594176</v>
      </c>
      <c r="K89" s="225">
        <f>K90+K91+K92+K93+K94+K95+K96</f>
        <v>1119376</v>
      </c>
      <c r="L89" s="225">
        <f t="shared" ref="L89:N89" si="34">L90+L91+L92+L93+L94+L96</f>
        <v>284800</v>
      </c>
      <c r="M89" s="225">
        <f t="shared" si="34"/>
        <v>0</v>
      </c>
      <c r="N89" s="225">
        <f t="shared" si="34"/>
        <v>0</v>
      </c>
      <c r="O89" s="225">
        <f>O90+O91+O92+O93+O94+O95+O96</f>
        <v>1309376</v>
      </c>
      <c r="P89" s="240">
        <f>E89+J89</f>
        <v>46258136</v>
      </c>
    </row>
    <row r="90" spans="1:16" ht="46.8" x14ac:dyDescent="0.3">
      <c r="A90" s="227" t="s">
        <v>133</v>
      </c>
      <c r="B90" s="344" t="s">
        <v>47</v>
      </c>
      <c r="C90" s="344" t="s">
        <v>20</v>
      </c>
      <c r="D90" s="53" t="s">
        <v>377</v>
      </c>
      <c r="E90" s="221">
        <f>F90</f>
        <v>3307308</v>
      </c>
      <c r="F90" s="221">
        <v>3307308</v>
      </c>
      <c r="G90" s="221">
        <f>2632940+579247</f>
        <v>3212187</v>
      </c>
      <c r="H90" s="221">
        <v>0</v>
      </c>
      <c r="I90" s="54">
        <v>0</v>
      </c>
      <c r="J90" s="54">
        <f>L90+O90</f>
        <v>23000</v>
      </c>
      <c r="K90" s="54">
        <f>O90</f>
        <v>23000</v>
      </c>
      <c r="L90" s="54">
        <v>0</v>
      </c>
      <c r="M90" s="54">
        <v>0</v>
      </c>
      <c r="N90" s="54">
        <v>0</v>
      </c>
      <c r="O90" s="54">
        <v>23000</v>
      </c>
      <c r="P90" s="239">
        <f t="shared" si="15"/>
        <v>3330308</v>
      </c>
    </row>
    <row r="91" spans="1:16" ht="31.2" x14ac:dyDescent="0.3">
      <c r="A91" s="227" t="s">
        <v>134</v>
      </c>
      <c r="B91" s="344" t="s">
        <v>135</v>
      </c>
      <c r="C91" s="344" t="s">
        <v>136</v>
      </c>
      <c r="D91" s="53" t="s">
        <v>137</v>
      </c>
      <c r="E91" s="221">
        <f t="shared" ref="E91:E96" si="35">F91</f>
        <v>7980</v>
      </c>
      <c r="F91" s="221">
        <v>7980</v>
      </c>
      <c r="G91" s="221">
        <v>0</v>
      </c>
      <c r="H91" s="221">
        <v>0</v>
      </c>
      <c r="I91" s="54">
        <v>0</v>
      </c>
      <c r="J91" s="54">
        <f t="shared" ref="J91:J94" si="36">L91+O91</f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239">
        <f t="shared" si="15"/>
        <v>7980</v>
      </c>
    </row>
    <row r="92" spans="1:16" ht="31.2" x14ac:dyDescent="0.3">
      <c r="A92" s="227" t="s">
        <v>138</v>
      </c>
      <c r="B92" s="344" t="s">
        <v>139</v>
      </c>
      <c r="C92" s="344" t="s">
        <v>30</v>
      </c>
      <c r="D92" s="53" t="s">
        <v>140</v>
      </c>
      <c r="E92" s="221">
        <f t="shared" si="35"/>
        <v>304536</v>
      </c>
      <c r="F92" s="221">
        <v>304536</v>
      </c>
      <c r="G92" s="221">
        <v>0</v>
      </c>
      <c r="H92" s="221">
        <v>0</v>
      </c>
      <c r="I92" s="54">
        <v>0</v>
      </c>
      <c r="J92" s="54">
        <f t="shared" si="36"/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239">
        <f t="shared" si="15"/>
        <v>304536</v>
      </c>
    </row>
    <row r="93" spans="1:16" ht="31.2" x14ac:dyDescent="0.3">
      <c r="A93" s="227" t="s">
        <v>141</v>
      </c>
      <c r="B93" s="344" t="s">
        <v>29</v>
      </c>
      <c r="C93" s="344" t="s">
        <v>30</v>
      </c>
      <c r="D93" s="53" t="s">
        <v>31</v>
      </c>
      <c r="E93" s="221">
        <f t="shared" si="35"/>
        <v>38711160</v>
      </c>
      <c r="F93" s="221">
        <f>33931726+59165+872130+2246444+395712+81220+218667+181096+725000</f>
        <v>38711160</v>
      </c>
      <c r="G93" s="221">
        <v>0</v>
      </c>
      <c r="H93" s="221">
        <v>0</v>
      </c>
      <c r="I93" s="54">
        <v>0</v>
      </c>
      <c r="J93" s="54">
        <f t="shared" si="36"/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239">
        <f t="shared" si="15"/>
        <v>38711160</v>
      </c>
    </row>
    <row r="94" spans="1:16" ht="51.6" customHeight="1" x14ac:dyDescent="0.3">
      <c r="A94" s="227" t="s">
        <v>142</v>
      </c>
      <c r="B94" s="344" t="s">
        <v>143</v>
      </c>
      <c r="C94" s="344" t="s">
        <v>144</v>
      </c>
      <c r="D94" s="53" t="s">
        <v>145</v>
      </c>
      <c r="E94" s="221">
        <f t="shared" si="35"/>
        <v>2332976</v>
      </c>
      <c r="F94" s="221">
        <f>1799030+533946</f>
        <v>2332976</v>
      </c>
      <c r="G94" s="221">
        <v>0</v>
      </c>
      <c r="H94" s="221">
        <v>0</v>
      </c>
      <c r="I94" s="54">
        <v>0</v>
      </c>
      <c r="J94" s="54">
        <f t="shared" si="36"/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239">
        <f t="shared" si="15"/>
        <v>2332976</v>
      </c>
    </row>
    <row r="95" spans="1:16" ht="27.75" customHeight="1" x14ac:dyDescent="0.3">
      <c r="A95" s="362" t="s">
        <v>500</v>
      </c>
      <c r="B95" s="309" t="s">
        <v>501</v>
      </c>
      <c r="C95" s="309" t="s">
        <v>502</v>
      </c>
      <c r="D95" s="312" t="s">
        <v>503</v>
      </c>
      <c r="E95" s="222">
        <f t="shared" ref="E95" si="37">F95</f>
        <v>0</v>
      </c>
      <c r="F95" s="222">
        <v>0</v>
      </c>
      <c r="G95" s="222">
        <v>0</v>
      </c>
      <c r="H95" s="222">
        <v>0</v>
      </c>
      <c r="I95" s="223">
        <v>0</v>
      </c>
      <c r="J95" s="54">
        <f>L95+O95</f>
        <v>1096376</v>
      </c>
      <c r="K95" s="223">
        <f>O95</f>
        <v>1096376</v>
      </c>
      <c r="L95" s="223"/>
      <c r="M95" s="223"/>
      <c r="N95" s="223"/>
      <c r="O95" s="223">
        <v>1096376</v>
      </c>
      <c r="P95" s="239">
        <f t="shared" si="15"/>
        <v>1096376</v>
      </c>
    </row>
    <row r="96" spans="1:16" ht="31.8" thickBot="1" x14ac:dyDescent="0.35">
      <c r="A96" s="236" t="s">
        <v>146</v>
      </c>
      <c r="B96" s="208" t="s">
        <v>147</v>
      </c>
      <c r="C96" s="208" t="s">
        <v>148</v>
      </c>
      <c r="D96" s="97" t="s">
        <v>149</v>
      </c>
      <c r="E96" s="222">
        <f t="shared" si="35"/>
        <v>0</v>
      </c>
      <c r="F96" s="222">
        <v>0</v>
      </c>
      <c r="G96" s="222">
        <v>0</v>
      </c>
      <c r="H96" s="222">
        <v>0</v>
      </c>
      <c r="I96" s="223">
        <v>0</v>
      </c>
      <c r="J96" s="54">
        <f>L96+O96</f>
        <v>474800</v>
      </c>
      <c r="K96" s="223">
        <v>0</v>
      </c>
      <c r="L96" s="223">
        <v>284800</v>
      </c>
      <c r="M96" s="223">
        <v>0</v>
      </c>
      <c r="N96" s="223">
        <v>0</v>
      </c>
      <c r="O96" s="223">
        <v>190000</v>
      </c>
      <c r="P96" s="241">
        <f t="shared" si="15"/>
        <v>474800</v>
      </c>
    </row>
    <row r="97" spans="1:16" s="229" customFormat="1" ht="81" customHeight="1" thickBot="1" x14ac:dyDescent="0.35">
      <c r="A97" s="210" t="s">
        <v>150</v>
      </c>
      <c r="B97" s="211" t="s">
        <v>17</v>
      </c>
      <c r="C97" s="211" t="s">
        <v>17</v>
      </c>
      <c r="D97" s="212" t="s">
        <v>151</v>
      </c>
      <c r="E97" s="199">
        <f>E98</f>
        <v>2724181</v>
      </c>
      <c r="F97" s="199">
        <f>E97</f>
        <v>2724181</v>
      </c>
      <c r="G97" s="199">
        <f>G98</f>
        <v>2537382</v>
      </c>
      <c r="H97" s="199">
        <f t="shared" ref="H97:I97" si="38">H98</f>
        <v>79018</v>
      </c>
      <c r="I97" s="199">
        <f t="shared" si="38"/>
        <v>0</v>
      </c>
      <c r="J97" s="199">
        <f>J98</f>
        <v>68091860</v>
      </c>
      <c r="K97" s="199">
        <f>K98</f>
        <v>68091860</v>
      </c>
      <c r="L97" s="199">
        <f t="shared" ref="L97:O97" si="39">L98</f>
        <v>0</v>
      </c>
      <c r="M97" s="199">
        <f t="shared" si="39"/>
        <v>0</v>
      </c>
      <c r="N97" s="199">
        <f t="shared" si="39"/>
        <v>0</v>
      </c>
      <c r="O97" s="199">
        <f t="shared" si="39"/>
        <v>68091860</v>
      </c>
      <c r="P97" s="224">
        <f>E97+J97</f>
        <v>70816041</v>
      </c>
    </row>
    <row r="98" spans="1:16" s="226" customFormat="1" ht="46.8" x14ac:dyDescent="0.3">
      <c r="A98" s="216" t="s">
        <v>152</v>
      </c>
      <c r="B98" s="217" t="s">
        <v>17</v>
      </c>
      <c r="C98" s="217" t="s">
        <v>17</v>
      </c>
      <c r="D98" s="218" t="s">
        <v>151</v>
      </c>
      <c r="E98" s="225">
        <f>E99+E101+E109</f>
        <v>2724181</v>
      </c>
      <c r="F98" s="225">
        <f>F99+F101+F109</f>
        <v>2724181</v>
      </c>
      <c r="G98" s="225">
        <f t="shared" ref="G98:I98" si="40">G99+G101+G109</f>
        <v>2537382</v>
      </c>
      <c r="H98" s="225">
        <f t="shared" si="40"/>
        <v>79018</v>
      </c>
      <c r="I98" s="225">
        <f t="shared" si="40"/>
        <v>0</v>
      </c>
      <c r="J98" s="225">
        <f>J99+J100+J101+J102+J103+J105+J106+J107+J108+J109+J110+J111+J104</f>
        <v>68091860</v>
      </c>
      <c r="K98" s="225">
        <f>K99+K100+K101+K102+K103+K105+K106+K107+K108+K109+K110+K111+K104</f>
        <v>68091860</v>
      </c>
      <c r="L98" s="225">
        <f t="shared" ref="L98:N98" si="41">L99+L100+L101+L102+L103+L105+L106+L107+L108+L109+L110+L111</f>
        <v>0</v>
      </c>
      <c r="M98" s="225">
        <f t="shared" si="41"/>
        <v>0</v>
      </c>
      <c r="N98" s="225">
        <f t="shared" si="41"/>
        <v>0</v>
      </c>
      <c r="O98" s="225">
        <f>O99+O100+O101+O102+O103+O105+O106+O107+O108+O109+O110+O111+O104</f>
        <v>68091860</v>
      </c>
      <c r="P98" s="240">
        <f>E98+J98</f>
        <v>70816041</v>
      </c>
    </row>
    <row r="99" spans="1:16" ht="46.8" x14ac:dyDescent="0.3">
      <c r="A99" s="227" t="s">
        <v>403</v>
      </c>
      <c r="B99" s="344" t="s">
        <v>47</v>
      </c>
      <c r="C99" s="344" t="s">
        <v>20</v>
      </c>
      <c r="D99" s="53" t="s">
        <v>377</v>
      </c>
      <c r="E99" s="221">
        <f>F99+I99</f>
        <v>2724181</v>
      </c>
      <c r="F99" s="221">
        <v>2724181</v>
      </c>
      <c r="G99" s="221">
        <f>2093847+460646-14026-3085</f>
        <v>2537382</v>
      </c>
      <c r="H99" s="221">
        <v>79018</v>
      </c>
      <c r="I99" s="54">
        <v>0</v>
      </c>
      <c r="J99" s="54">
        <f>L99+O99</f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239">
        <f t="shared" si="15"/>
        <v>2724181</v>
      </c>
    </row>
    <row r="100" spans="1:16" x14ac:dyDescent="0.3">
      <c r="A100" s="227">
        <v>1511010</v>
      </c>
      <c r="B100" s="344" t="s">
        <v>49</v>
      </c>
      <c r="C100" s="344" t="s">
        <v>50</v>
      </c>
      <c r="D100" s="53" t="s">
        <v>51</v>
      </c>
      <c r="E100" s="221">
        <f t="shared" ref="E100" si="42">F100+I100</f>
        <v>0</v>
      </c>
      <c r="F100" s="221">
        <v>0</v>
      </c>
      <c r="G100" s="221">
        <v>0</v>
      </c>
      <c r="H100" s="221">
        <v>0</v>
      </c>
      <c r="I100" s="54">
        <v>0</v>
      </c>
      <c r="J100" s="54">
        <f t="shared" ref="J100:J111" si="43">L100+O100</f>
        <v>4694110</v>
      </c>
      <c r="K100" s="54">
        <f>O100</f>
        <v>4694110</v>
      </c>
      <c r="L100" s="54">
        <v>0</v>
      </c>
      <c r="M100" s="54">
        <v>0</v>
      </c>
      <c r="N100" s="54">
        <v>0</v>
      </c>
      <c r="O100" s="54">
        <v>4694110</v>
      </c>
      <c r="P100" s="239">
        <f t="shared" si="15"/>
        <v>4694110</v>
      </c>
    </row>
    <row r="101" spans="1:16" ht="54.6" customHeight="1" x14ac:dyDescent="0.3">
      <c r="A101" s="227" t="s">
        <v>180</v>
      </c>
      <c r="B101" s="344" t="s">
        <v>53</v>
      </c>
      <c r="C101" s="344" t="s">
        <v>54</v>
      </c>
      <c r="D101" s="53" t="s">
        <v>464</v>
      </c>
      <c r="E101" s="221">
        <f t="shared" ref="E101:E111" si="44">F101+I101</f>
        <v>0</v>
      </c>
      <c r="F101" s="221">
        <v>0</v>
      </c>
      <c r="G101" s="221">
        <v>0</v>
      </c>
      <c r="H101" s="221">
        <v>0</v>
      </c>
      <c r="I101" s="54">
        <v>0</v>
      </c>
      <c r="J101" s="54">
        <f t="shared" si="43"/>
        <v>14803413</v>
      </c>
      <c r="K101" s="54">
        <f t="shared" ref="K101:K111" si="45">O101</f>
        <v>14803413</v>
      </c>
      <c r="L101" s="54">
        <v>0</v>
      </c>
      <c r="M101" s="54">
        <v>0</v>
      </c>
      <c r="N101" s="54">
        <v>0</v>
      </c>
      <c r="O101" s="54">
        <f>6202186+6588451+2012776</f>
        <v>14803413</v>
      </c>
      <c r="P101" s="239">
        <f t="shared" si="15"/>
        <v>14803413</v>
      </c>
    </row>
    <row r="102" spans="1:16" ht="31.2" x14ac:dyDescent="0.3">
      <c r="A102" s="362" t="s">
        <v>504</v>
      </c>
      <c r="B102" s="309" t="s">
        <v>22</v>
      </c>
      <c r="C102" s="309" t="s">
        <v>23</v>
      </c>
      <c r="D102" s="311" t="s">
        <v>24</v>
      </c>
      <c r="E102" s="221">
        <f t="shared" ref="E102:E108" si="46">F102+I102</f>
        <v>0</v>
      </c>
      <c r="F102" s="221">
        <v>0</v>
      </c>
      <c r="G102" s="221">
        <v>0</v>
      </c>
      <c r="H102" s="221">
        <v>0</v>
      </c>
      <c r="I102" s="54">
        <v>0</v>
      </c>
      <c r="J102" s="54">
        <f t="shared" si="43"/>
        <v>612798</v>
      </c>
      <c r="K102" s="54">
        <f t="shared" si="45"/>
        <v>612798</v>
      </c>
      <c r="L102" s="54">
        <v>0</v>
      </c>
      <c r="M102" s="54">
        <v>0</v>
      </c>
      <c r="N102" s="54">
        <v>0</v>
      </c>
      <c r="O102" s="223">
        <f>103135+509663</f>
        <v>612798</v>
      </c>
      <c r="P102" s="239">
        <f t="shared" si="15"/>
        <v>612798</v>
      </c>
    </row>
    <row r="103" spans="1:16" ht="46.8" x14ac:dyDescent="0.3">
      <c r="A103" s="362" t="s">
        <v>505</v>
      </c>
      <c r="B103" s="309" t="s">
        <v>110</v>
      </c>
      <c r="C103" s="309" t="s">
        <v>111</v>
      </c>
      <c r="D103" s="311" t="s">
        <v>506</v>
      </c>
      <c r="E103" s="221">
        <f t="shared" si="46"/>
        <v>0</v>
      </c>
      <c r="F103" s="221">
        <v>0</v>
      </c>
      <c r="G103" s="221">
        <v>0</v>
      </c>
      <c r="H103" s="221">
        <v>0</v>
      </c>
      <c r="I103" s="54">
        <v>0</v>
      </c>
      <c r="J103" s="54">
        <f t="shared" si="43"/>
        <v>385436</v>
      </c>
      <c r="K103" s="54">
        <f t="shared" si="45"/>
        <v>385436</v>
      </c>
      <c r="L103" s="54">
        <v>0</v>
      </c>
      <c r="M103" s="54">
        <v>0</v>
      </c>
      <c r="N103" s="54">
        <v>0</v>
      </c>
      <c r="O103" s="223">
        <v>385436</v>
      </c>
      <c r="P103" s="239">
        <f t="shared" si="15"/>
        <v>385436</v>
      </c>
    </row>
    <row r="104" spans="1:16" ht="46.8" x14ac:dyDescent="0.3">
      <c r="A104" s="362" t="s">
        <v>597</v>
      </c>
      <c r="B104" s="309" t="s">
        <v>598</v>
      </c>
      <c r="C104" s="309" t="s">
        <v>30</v>
      </c>
      <c r="D104" s="311" t="s">
        <v>596</v>
      </c>
      <c r="E104" s="221"/>
      <c r="F104" s="221"/>
      <c r="G104" s="221"/>
      <c r="H104" s="221"/>
      <c r="I104" s="54"/>
      <c r="J104" s="54">
        <f t="shared" si="43"/>
        <v>7702800</v>
      </c>
      <c r="K104" s="54">
        <f t="shared" si="45"/>
        <v>7702800</v>
      </c>
      <c r="L104" s="54"/>
      <c r="M104" s="54"/>
      <c r="N104" s="54"/>
      <c r="O104" s="223">
        <v>7702800</v>
      </c>
      <c r="P104" s="239">
        <f t="shared" si="15"/>
        <v>7702800</v>
      </c>
    </row>
    <row r="105" spans="1:16" ht="31.2" x14ac:dyDescent="0.3">
      <c r="A105" s="362" t="s">
        <v>581</v>
      </c>
      <c r="B105" s="309" t="s">
        <v>139</v>
      </c>
      <c r="C105" s="309" t="s">
        <v>30</v>
      </c>
      <c r="D105" s="311" t="s">
        <v>140</v>
      </c>
      <c r="E105" s="221"/>
      <c r="F105" s="221"/>
      <c r="G105" s="221"/>
      <c r="H105" s="221"/>
      <c r="I105" s="54"/>
      <c r="J105" s="54">
        <f>O105</f>
        <v>213272</v>
      </c>
      <c r="K105" s="54">
        <f t="shared" si="45"/>
        <v>213272</v>
      </c>
      <c r="L105" s="54"/>
      <c r="M105" s="54"/>
      <c r="N105" s="54"/>
      <c r="O105" s="223">
        <v>213272</v>
      </c>
      <c r="P105" s="239">
        <f t="shared" si="15"/>
        <v>213272</v>
      </c>
    </row>
    <row r="106" spans="1:16" ht="31.2" x14ac:dyDescent="0.3">
      <c r="A106" s="362" t="s">
        <v>507</v>
      </c>
      <c r="B106" s="309" t="s">
        <v>29</v>
      </c>
      <c r="C106" s="309" t="s">
        <v>30</v>
      </c>
      <c r="D106" s="311" t="s">
        <v>31</v>
      </c>
      <c r="E106" s="221">
        <f t="shared" si="46"/>
        <v>0</v>
      </c>
      <c r="F106" s="221">
        <v>0</v>
      </c>
      <c r="G106" s="221">
        <v>0</v>
      </c>
      <c r="H106" s="221">
        <v>0</v>
      </c>
      <c r="I106" s="54">
        <v>0</v>
      </c>
      <c r="J106" s="54">
        <f t="shared" si="43"/>
        <v>13743876</v>
      </c>
      <c r="K106" s="54">
        <f t="shared" si="45"/>
        <v>13743876</v>
      </c>
      <c r="L106" s="54">
        <v>0</v>
      </c>
      <c r="M106" s="54">
        <v>0</v>
      </c>
      <c r="N106" s="54">
        <v>0</v>
      </c>
      <c r="O106" s="223">
        <f>8403808+2127676+1495530+1644000+36203+36659</f>
        <v>13743876</v>
      </c>
      <c r="P106" s="239">
        <f t="shared" si="15"/>
        <v>13743876</v>
      </c>
    </row>
    <row r="107" spans="1:16" ht="27" customHeight="1" x14ac:dyDescent="0.3">
      <c r="A107" s="362" t="s">
        <v>508</v>
      </c>
      <c r="B107" s="309" t="s">
        <v>509</v>
      </c>
      <c r="C107" s="309" t="s">
        <v>153</v>
      </c>
      <c r="D107" s="311" t="s">
        <v>510</v>
      </c>
      <c r="E107" s="221">
        <f t="shared" si="46"/>
        <v>0</v>
      </c>
      <c r="F107" s="221">
        <v>0</v>
      </c>
      <c r="G107" s="221">
        <v>0</v>
      </c>
      <c r="H107" s="221">
        <v>0</v>
      </c>
      <c r="I107" s="54">
        <v>0</v>
      </c>
      <c r="J107" s="54">
        <f t="shared" si="43"/>
        <v>307755</v>
      </c>
      <c r="K107" s="54">
        <f t="shared" si="45"/>
        <v>307755</v>
      </c>
      <c r="L107" s="54">
        <v>0</v>
      </c>
      <c r="M107" s="54">
        <v>0</v>
      </c>
      <c r="N107" s="54">
        <v>0</v>
      </c>
      <c r="O107" s="223">
        <v>307755</v>
      </c>
      <c r="P107" s="239">
        <f t="shared" si="15"/>
        <v>307755</v>
      </c>
    </row>
    <row r="108" spans="1:16" ht="31.2" x14ac:dyDescent="0.3">
      <c r="A108" s="362" t="s">
        <v>511</v>
      </c>
      <c r="B108" s="309" t="s">
        <v>512</v>
      </c>
      <c r="C108" s="309" t="s">
        <v>153</v>
      </c>
      <c r="D108" s="311" t="s">
        <v>513</v>
      </c>
      <c r="E108" s="221">
        <f t="shared" si="46"/>
        <v>0</v>
      </c>
      <c r="F108" s="221">
        <v>0</v>
      </c>
      <c r="G108" s="221">
        <v>0</v>
      </c>
      <c r="H108" s="221">
        <v>0</v>
      </c>
      <c r="I108" s="54">
        <v>0</v>
      </c>
      <c r="J108" s="54">
        <f t="shared" si="43"/>
        <v>1865034</v>
      </c>
      <c r="K108" s="54">
        <f t="shared" si="45"/>
        <v>1865034</v>
      </c>
      <c r="L108" s="54">
        <v>0</v>
      </c>
      <c r="M108" s="54">
        <v>0</v>
      </c>
      <c r="N108" s="54">
        <v>0</v>
      </c>
      <c r="O108" s="223">
        <v>1865034</v>
      </c>
      <c r="P108" s="239">
        <f t="shared" si="15"/>
        <v>1865034</v>
      </c>
    </row>
    <row r="109" spans="1:16" ht="31.2" x14ac:dyDescent="0.3">
      <c r="A109" s="236" t="s">
        <v>154</v>
      </c>
      <c r="B109" s="208" t="s">
        <v>155</v>
      </c>
      <c r="C109" s="208" t="s">
        <v>153</v>
      </c>
      <c r="D109" s="97" t="s">
        <v>156</v>
      </c>
      <c r="E109" s="222">
        <f t="shared" si="44"/>
        <v>0</v>
      </c>
      <c r="F109" s="222">
        <v>0</v>
      </c>
      <c r="G109" s="222">
        <v>0</v>
      </c>
      <c r="H109" s="222">
        <v>0</v>
      </c>
      <c r="I109" s="223">
        <v>0</v>
      </c>
      <c r="J109" s="223">
        <f t="shared" si="43"/>
        <v>3090106</v>
      </c>
      <c r="K109" s="54">
        <f t="shared" si="45"/>
        <v>3090106</v>
      </c>
      <c r="L109" s="223">
        <v>0</v>
      </c>
      <c r="M109" s="223">
        <v>0</v>
      </c>
      <c r="N109" s="223">
        <v>0</v>
      </c>
      <c r="O109" s="223">
        <f>2724014+196092+170000</f>
        <v>3090106</v>
      </c>
      <c r="P109" s="241">
        <f t="shared" si="15"/>
        <v>3090106</v>
      </c>
    </row>
    <row r="110" spans="1:16" ht="46.8" x14ac:dyDescent="0.3">
      <c r="A110" s="358" t="s">
        <v>514</v>
      </c>
      <c r="B110" s="300" t="s">
        <v>143</v>
      </c>
      <c r="C110" s="300" t="s">
        <v>144</v>
      </c>
      <c r="D110" s="301" t="s">
        <v>145</v>
      </c>
      <c r="E110" s="221">
        <f t="shared" si="44"/>
        <v>0</v>
      </c>
      <c r="F110" s="221">
        <v>0</v>
      </c>
      <c r="G110" s="221">
        <v>0</v>
      </c>
      <c r="H110" s="221">
        <v>0</v>
      </c>
      <c r="I110" s="54">
        <v>0</v>
      </c>
      <c r="J110" s="54">
        <f t="shared" si="43"/>
        <v>18643182</v>
      </c>
      <c r="K110" s="54">
        <f t="shared" si="45"/>
        <v>18643182</v>
      </c>
      <c r="L110" s="54">
        <v>0</v>
      </c>
      <c r="M110" s="54">
        <v>0</v>
      </c>
      <c r="N110" s="54">
        <v>0</v>
      </c>
      <c r="O110" s="54">
        <f>4443182+200000+14000000</f>
        <v>18643182</v>
      </c>
      <c r="P110" s="239">
        <f t="shared" si="15"/>
        <v>18643182</v>
      </c>
    </row>
    <row r="111" spans="1:16" ht="31.8" thickBot="1" x14ac:dyDescent="0.35">
      <c r="A111" s="362" t="s">
        <v>515</v>
      </c>
      <c r="B111" s="309" t="s">
        <v>491</v>
      </c>
      <c r="C111" s="309" t="s">
        <v>373</v>
      </c>
      <c r="D111" s="311" t="s">
        <v>516</v>
      </c>
      <c r="E111" s="222">
        <f t="shared" si="44"/>
        <v>0</v>
      </c>
      <c r="F111" s="222">
        <v>0</v>
      </c>
      <c r="G111" s="222">
        <v>0</v>
      </c>
      <c r="H111" s="222">
        <v>0</v>
      </c>
      <c r="I111" s="223">
        <v>0</v>
      </c>
      <c r="J111" s="223">
        <f t="shared" si="43"/>
        <v>2030078</v>
      </c>
      <c r="K111" s="223">
        <f t="shared" si="45"/>
        <v>2030078</v>
      </c>
      <c r="L111" s="223">
        <v>0</v>
      </c>
      <c r="M111" s="223">
        <v>0</v>
      </c>
      <c r="N111" s="223">
        <v>0</v>
      </c>
      <c r="O111" s="223">
        <f>468060+782460+779558</f>
        <v>2030078</v>
      </c>
      <c r="P111" s="241">
        <f t="shared" si="15"/>
        <v>2030078</v>
      </c>
    </row>
    <row r="112" spans="1:16" s="229" customFormat="1" ht="73.95" customHeight="1" thickBot="1" x14ac:dyDescent="0.35">
      <c r="A112" s="210" t="s">
        <v>404</v>
      </c>
      <c r="B112" s="211" t="s">
        <v>17</v>
      </c>
      <c r="C112" s="211" t="s">
        <v>17</v>
      </c>
      <c r="D112" s="212" t="s">
        <v>405</v>
      </c>
      <c r="E112" s="199">
        <f>E113</f>
        <v>3322510</v>
      </c>
      <c r="F112" s="199">
        <f t="shared" ref="F112:I112" si="47">F113</f>
        <v>3322510</v>
      </c>
      <c r="G112" s="199">
        <f t="shared" si="47"/>
        <v>3135882</v>
      </c>
      <c r="H112" s="199">
        <f t="shared" si="47"/>
        <v>0</v>
      </c>
      <c r="I112" s="199">
        <f t="shared" si="47"/>
        <v>0</v>
      </c>
      <c r="J112" s="199">
        <f>J113</f>
        <v>0</v>
      </c>
      <c r="K112" s="199">
        <f>K113</f>
        <v>0</v>
      </c>
      <c r="L112" s="199">
        <f t="shared" ref="L112:O113" si="48">L113</f>
        <v>0</v>
      </c>
      <c r="M112" s="199">
        <f t="shared" si="48"/>
        <v>0</v>
      </c>
      <c r="N112" s="199">
        <f t="shared" si="48"/>
        <v>0</v>
      </c>
      <c r="O112" s="199">
        <f t="shared" si="48"/>
        <v>0</v>
      </c>
      <c r="P112" s="224">
        <f>E112+J112</f>
        <v>3322510</v>
      </c>
    </row>
    <row r="113" spans="1:16" s="226" customFormat="1" ht="62.4" x14ac:dyDescent="0.3">
      <c r="A113" s="216" t="s">
        <v>406</v>
      </c>
      <c r="B113" s="217" t="s">
        <v>17</v>
      </c>
      <c r="C113" s="217" t="s">
        <v>17</v>
      </c>
      <c r="D113" s="218" t="s">
        <v>405</v>
      </c>
      <c r="E113" s="225">
        <f>E114</f>
        <v>3322510</v>
      </c>
      <c r="F113" s="225">
        <f>F114</f>
        <v>3322510</v>
      </c>
      <c r="G113" s="225">
        <f>G114</f>
        <v>3135882</v>
      </c>
      <c r="H113" s="225">
        <f>H114</f>
        <v>0</v>
      </c>
      <c r="I113" s="231">
        <f>I114</f>
        <v>0</v>
      </c>
      <c r="J113" s="225">
        <f>J114</f>
        <v>0</v>
      </c>
      <c r="K113" s="225">
        <f>K114</f>
        <v>0</v>
      </c>
      <c r="L113" s="225">
        <f t="shared" si="48"/>
        <v>0</v>
      </c>
      <c r="M113" s="225">
        <f t="shared" si="48"/>
        <v>0</v>
      </c>
      <c r="N113" s="225">
        <f t="shared" si="48"/>
        <v>0</v>
      </c>
      <c r="O113" s="225">
        <f>O114</f>
        <v>0</v>
      </c>
      <c r="P113" s="240">
        <f>E113+J113</f>
        <v>3322510</v>
      </c>
    </row>
    <row r="114" spans="1:16" ht="82.2" customHeight="1" x14ac:dyDescent="0.3">
      <c r="A114" s="227" t="s">
        <v>407</v>
      </c>
      <c r="B114" s="484" t="s">
        <v>47</v>
      </c>
      <c r="C114" s="484" t="s">
        <v>20</v>
      </c>
      <c r="D114" s="53" t="s">
        <v>377</v>
      </c>
      <c r="E114" s="221">
        <f>F114+I114</f>
        <v>3322510</v>
      </c>
      <c r="F114" s="221">
        <v>3322510</v>
      </c>
      <c r="G114" s="221">
        <f>2570395+565487</f>
        <v>3135882</v>
      </c>
      <c r="H114" s="221">
        <v>0</v>
      </c>
      <c r="I114" s="54">
        <v>0</v>
      </c>
      <c r="J114" s="54">
        <f>K114+O114</f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239">
        <f t="shared" si="15"/>
        <v>3322510</v>
      </c>
    </row>
    <row r="115" spans="1:16" s="229" customFormat="1" ht="47.4" thickBot="1" x14ac:dyDescent="0.35">
      <c r="A115" s="538" t="s">
        <v>408</v>
      </c>
      <c r="B115" s="539" t="s">
        <v>17</v>
      </c>
      <c r="C115" s="539" t="s">
        <v>17</v>
      </c>
      <c r="D115" s="540" t="s">
        <v>409</v>
      </c>
      <c r="E115" s="541">
        <f>E116</f>
        <v>3337950</v>
      </c>
      <c r="F115" s="541">
        <f>F116</f>
        <v>3337950</v>
      </c>
      <c r="G115" s="541">
        <f t="shared" ref="G115:I116" si="49">G116</f>
        <v>3228360</v>
      </c>
      <c r="H115" s="541">
        <f t="shared" si="49"/>
        <v>0</v>
      </c>
      <c r="I115" s="541">
        <f t="shared" si="49"/>
        <v>0</v>
      </c>
      <c r="J115" s="542">
        <f>J116</f>
        <v>0</v>
      </c>
      <c r="K115" s="542">
        <f>K116</f>
        <v>0</v>
      </c>
      <c r="L115" s="542">
        <f t="shared" ref="L115:O116" si="50">L116</f>
        <v>0</v>
      </c>
      <c r="M115" s="542">
        <f t="shared" si="50"/>
        <v>0</v>
      </c>
      <c r="N115" s="542">
        <f t="shared" si="50"/>
        <v>0</v>
      </c>
      <c r="O115" s="542">
        <f t="shared" si="50"/>
        <v>0</v>
      </c>
      <c r="P115" s="543">
        <f>E115+J115</f>
        <v>3337950</v>
      </c>
    </row>
    <row r="116" spans="1:16" s="226" customFormat="1" ht="46.8" x14ac:dyDescent="0.3">
      <c r="A116" s="216" t="s">
        <v>410</v>
      </c>
      <c r="B116" s="217" t="s">
        <v>17</v>
      </c>
      <c r="C116" s="217" t="s">
        <v>17</v>
      </c>
      <c r="D116" s="218" t="s">
        <v>409</v>
      </c>
      <c r="E116" s="225">
        <f>E117</f>
        <v>3337950</v>
      </c>
      <c r="F116" s="225">
        <f>F117</f>
        <v>3337950</v>
      </c>
      <c r="G116" s="225">
        <f t="shared" si="49"/>
        <v>3228360</v>
      </c>
      <c r="H116" s="225">
        <f t="shared" si="49"/>
        <v>0</v>
      </c>
      <c r="I116" s="225">
        <f t="shared" si="49"/>
        <v>0</v>
      </c>
      <c r="J116" s="231">
        <f>J117</f>
        <v>0</v>
      </c>
      <c r="K116" s="231">
        <f>K117</f>
        <v>0</v>
      </c>
      <c r="L116" s="231">
        <f t="shared" si="50"/>
        <v>0</v>
      </c>
      <c r="M116" s="231">
        <f t="shared" si="50"/>
        <v>0</v>
      </c>
      <c r="N116" s="231">
        <f t="shared" si="50"/>
        <v>0</v>
      </c>
      <c r="O116" s="231">
        <f t="shared" si="50"/>
        <v>0</v>
      </c>
      <c r="P116" s="240">
        <f>E116+J116</f>
        <v>3337950</v>
      </c>
    </row>
    <row r="117" spans="1:16" ht="47.4" thickBot="1" x14ac:dyDescent="0.35">
      <c r="A117" s="236" t="s">
        <v>411</v>
      </c>
      <c r="B117" s="208" t="s">
        <v>47</v>
      </c>
      <c r="C117" s="208" t="s">
        <v>20</v>
      </c>
      <c r="D117" s="97" t="s">
        <v>377</v>
      </c>
      <c r="E117" s="222">
        <f>F117+I117</f>
        <v>3337950</v>
      </c>
      <c r="F117" s="222">
        <v>3337950</v>
      </c>
      <c r="G117" s="222">
        <f>2646196+582164</f>
        <v>3228360</v>
      </c>
      <c r="H117" s="222">
        <v>0</v>
      </c>
      <c r="I117" s="223">
        <v>0</v>
      </c>
      <c r="J117" s="223">
        <f>K117+O117</f>
        <v>0</v>
      </c>
      <c r="K117" s="223">
        <v>0</v>
      </c>
      <c r="L117" s="223">
        <v>0</v>
      </c>
      <c r="M117" s="223">
        <v>0</v>
      </c>
      <c r="N117" s="223">
        <v>0</v>
      </c>
      <c r="O117" s="223">
        <v>0</v>
      </c>
      <c r="P117" s="241">
        <f t="shared" si="15"/>
        <v>3337950</v>
      </c>
    </row>
    <row r="118" spans="1:16" s="229" customFormat="1" ht="47.4" thickBot="1" x14ac:dyDescent="0.35">
      <c r="A118" s="210" t="s">
        <v>412</v>
      </c>
      <c r="B118" s="211" t="s">
        <v>17</v>
      </c>
      <c r="C118" s="211" t="s">
        <v>17</v>
      </c>
      <c r="D118" s="212" t="s">
        <v>413</v>
      </c>
      <c r="E118" s="199">
        <f>E119</f>
        <v>2929356</v>
      </c>
      <c r="F118" s="199">
        <f>F119</f>
        <v>2929356</v>
      </c>
      <c r="G118" s="199">
        <f t="shared" ref="G118:I118" si="51">G119</f>
        <v>2372386</v>
      </c>
      <c r="H118" s="199">
        <f t="shared" si="51"/>
        <v>0</v>
      </c>
      <c r="I118" s="199">
        <f t="shared" si="51"/>
        <v>0</v>
      </c>
      <c r="J118" s="230">
        <f>J119</f>
        <v>345200</v>
      </c>
      <c r="K118" s="199">
        <f>K119</f>
        <v>45200</v>
      </c>
      <c r="L118" s="199">
        <f>L119</f>
        <v>300000</v>
      </c>
      <c r="M118" s="199">
        <f t="shared" ref="M118:O118" si="52">M119</f>
        <v>0</v>
      </c>
      <c r="N118" s="199">
        <f t="shared" si="52"/>
        <v>0</v>
      </c>
      <c r="O118" s="199">
        <f t="shared" si="52"/>
        <v>45200</v>
      </c>
      <c r="P118" s="224">
        <f>E118+J118</f>
        <v>3274556</v>
      </c>
    </row>
    <row r="119" spans="1:16" s="226" customFormat="1" ht="46.8" x14ac:dyDescent="0.3">
      <c r="A119" s="216" t="s">
        <v>414</v>
      </c>
      <c r="B119" s="217" t="s">
        <v>17</v>
      </c>
      <c r="C119" s="217" t="s">
        <v>17</v>
      </c>
      <c r="D119" s="218" t="s">
        <v>413</v>
      </c>
      <c r="E119" s="225">
        <f>E120+E122+E123</f>
        <v>2929356</v>
      </c>
      <c r="F119" s="225">
        <f>F120+F122+F123</f>
        <v>2929356</v>
      </c>
      <c r="G119" s="225">
        <f>G120</f>
        <v>2372386</v>
      </c>
      <c r="H119" s="225">
        <f>H120+H126</f>
        <v>0</v>
      </c>
      <c r="I119" s="225">
        <f>I120+I126</f>
        <v>0</v>
      </c>
      <c r="J119" s="231">
        <f>J120+J121+J122+J123</f>
        <v>345200</v>
      </c>
      <c r="K119" s="225">
        <f>K120+K121+K122</f>
        <v>45200</v>
      </c>
      <c r="L119" s="225">
        <f>L120+L121+L122+L123</f>
        <v>300000</v>
      </c>
      <c r="M119" s="225">
        <f t="shared" ref="M119:N119" si="53">M120+M121+M122</f>
        <v>0</v>
      </c>
      <c r="N119" s="225">
        <f t="shared" si="53"/>
        <v>0</v>
      </c>
      <c r="O119" s="225">
        <f>O120+O121+O122</f>
        <v>45200</v>
      </c>
      <c r="P119" s="240">
        <f>E119+J119</f>
        <v>3274556</v>
      </c>
    </row>
    <row r="120" spans="1:16" ht="46.8" x14ac:dyDescent="0.3">
      <c r="A120" s="236" t="s">
        <v>415</v>
      </c>
      <c r="B120" s="208" t="s">
        <v>47</v>
      </c>
      <c r="C120" s="208" t="s">
        <v>20</v>
      </c>
      <c r="D120" s="97" t="s">
        <v>377</v>
      </c>
      <c r="E120" s="222">
        <f>F120+I120</f>
        <v>2444653</v>
      </c>
      <c r="F120" s="222">
        <v>2444653</v>
      </c>
      <c r="G120" s="222">
        <f>1944579+427807</f>
        <v>2372386</v>
      </c>
      <c r="H120" s="222">
        <v>0</v>
      </c>
      <c r="I120" s="223">
        <v>0</v>
      </c>
      <c r="J120" s="223">
        <f>K120+O120</f>
        <v>0</v>
      </c>
      <c r="K120" s="223">
        <v>0</v>
      </c>
      <c r="L120" s="223">
        <v>0</v>
      </c>
      <c r="M120" s="223">
        <v>0</v>
      </c>
      <c r="N120" s="223">
        <v>0</v>
      </c>
      <c r="O120" s="223">
        <v>0</v>
      </c>
      <c r="P120" s="241">
        <f t="shared" si="15"/>
        <v>2444653</v>
      </c>
    </row>
    <row r="121" spans="1:16" ht="78" x14ac:dyDescent="0.3">
      <c r="A121" s="236">
        <v>3117660</v>
      </c>
      <c r="B121" s="208">
        <v>7660</v>
      </c>
      <c r="C121" s="208">
        <v>490</v>
      </c>
      <c r="D121" s="97" t="s">
        <v>517</v>
      </c>
      <c r="E121" s="222">
        <v>0</v>
      </c>
      <c r="F121" s="223">
        <v>0</v>
      </c>
      <c r="G121" s="223">
        <f>H121+L121</f>
        <v>0</v>
      </c>
      <c r="H121" s="222">
        <v>0</v>
      </c>
      <c r="I121" s="223">
        <v>0</v>
      </c>
      <c r="J121" s="54">
        <f t="shared" ref="J121" si="54">L121+O121</f>
        <v>45200</v>
      </c>
      <c r="K121" s="223">
        <f>O121</f>
        <v>45200</v>
      </c>
      <c r="L121" s="223">
        <v>0</v>
      </c>
      <c r="M121" s="223">
        <v>0</v>
      </c>
      <c r="N121" s="223">
        <v>0</v>
      </c>
      <c r="O121" s="223">
        <f>20000+25200</f>
        <v>45200</v>
      </c>
      <c r="P121" s="241">
        <f t="shared" si="15"/>
        <v>45200</v>
      </c>
    </row>
    <row r="122" spans="1:16" ht="31.2" x14ac:dyDescent="0.3">
      <c r="A122" s="358" t="s">
        <v>490</v>
      </c>
      <c r="B122" s="300" t="s">
        <v>491</v>
      </c>
      <c r="C122" s="300" t="s">
        <v>373</v>
      </c>
      <c r="D122" s="614" t="s">
        <v>516</v>
      </c>
      <c r="E122" s="221">
        <f>F122+I122</f>
        <v>120080</v>
      </c>
      <c r="F122" s="221">
        <v>120080</v>
      </c>
      <c r="G122" s="221">
        <v>0</v>
      </c>
      <c r="H122" s="221">
        <v>0</v>
      </c>
      <c r="I122" s="54">
        <v>0</v>
      </c>
      <c r="J122" s="54">
        <f>K122+O122</f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239">
        <f t="shared" ref="P122" si="55">E122+J122</f>
        <v>120080</v>
      </c>
    </row>
    <row r="123" spans="1:16" ht="31.8" thickBot="1" x14ac:dyDescent="0.35">
      <c r="A123" s="612" t="s">
        <v>570</v>
      </c>
      <c r="B123" s="307" t="s">
        <v>580</v>
      </c>
      <c r="C123" s="307" t="s">
        <v>572</v>
      </c>
      <c r="D123" s="613" t="s">
        <v>571</v>
      </c>
      <c r="E123" s="221">
        <f>F123+I123</f>
        <v>364623</v>
      </c>
      <c r="F123" s="306">
        <f>189736+149887+25000</f>
        <v>364623</v>
      </c>
      <c r="G123" s="306"/>
      <c r="H123" s="306"/>
      <c r="I123" s="370"/>
      <c r="J123" s="370">
        <f>L123</f>
        <v>300000</v>
      </c>
      <c r="K123" s="370"/>
      <c r="L123" s="370">
        <v>300000</v>
      </c>
      <c r="M123" s="370"/>
      <c r="N123" s="370"/>
      <c r="O123" s="370"/>
      <c r="P123" s="239">
        <f>E123+J123</f>
        <v>664623</v>
      </c>
    </row>
    <row r="124" spans="1:16" s="229" customFormat="1" ht="55.2" customHeight="1" thickBot="1" x14ac:dyDescent="0.35">
      <c r="A124" s="210" t="s">
        <v>416</v>
      </c>
      <c r="B124" s="211" t="s">
        <v>17</v>
      </c>
      <c r="C124" s="211" t="s">
        <v>17</v>
      </c>
      <c r="D124" s="212" t="s">
        <v>417</v>
      </c>
      <c r="E124" s="199">
        <f>E125</f>
        <v>46072981</v>
      </c>
      <c r="F124" s="199">
        <f>F125</f>
        <v>46072981</v>
      </c>
      <c r="G124" s="199">
        <f t="shared" ref="G124:I124" si="56">G125</f>
        <v>4654791</v>
      </c>
      <c r="H124" s="199">
        <f t="shared" si="56"/>
        <v>0</v>
      </c>
      <c r="I124" s="199">
        <f t="shared" si="56"/>
        <v>0</v>
      </c>
      <c r="J124" s="230">
        <f>J125</f>
        <v>0</v>
      </c>
      <c r="K124" s="230">
        <f>K125</f>
        <v>0</v>
      </c>
      <c r="L124" s="230"/>
      <c r="M124" s="230"/>
      <c r="N124" s="230"/>
      <c r="O124" s="230"/>
      <c r="P124" s="224">
        <f>E124+J124</f>
        <v>46072981</v>
      </c>
    </row>
    <row r="125" spans="1:16" s="226" customFormat="1" ht="46.8" x14ac:dyDescent="0.3">
      <c r="A125" s="216" t="s">
        <v>418</v>
      </c>
      <c r="B125" s="217" t="s">
        <v>17</v>
      </c>
      <c r="C125" s="217" t="s">
        <v>17</v>
      </c>
      <c r="D125" s="218" t="s">
        <v>417</v>
      </c>
      <c r="E125" s="225">
        <f>E126+E127+E128</f>
        <v>46072981</v>
      </c>
      <c r="F125" s="225">
        <f>F126+F127+F128</f>
        <v>46072981</v>
      </c>
      <c r="G125" s="225">
        <f t="shared" ref="G125:I125" si="57">G126+G127+G128</f>
        <v>4654791</v>
      </c>
      <c r="H125" s="225">
        <f t="shared" si="57"/>
        <v>0</v>
      </c>
      <c r="I125" s="225">
        <f t="shared" si="57"/>
        <v>0</v>
      </c>
      <c r="J125" s="231">
        <f>J126+J127+J128</f>
        <v>0</v>
      </c>
      <c r="K125" s="231">
        <f>K126+K127+K128</f>
        <v>0</v>
      </c>
      <c r="L125" s="231">
        <f t="shared" ref="L125:O125" si="58">L126+L127+L128</f>
        <v>0</v>
      </c>
      <c r="M125" s="231">
        <f t="shared" si="58"/>
        <v>0</v>
      </c>
      <c r="N125" s="231">
        <f t="shared" si="58"/>
        <v>0</v>
      </c>
      <c r="O125" s="231">
        <f t="shared" si="58"/>
        <v>0</v>
      </c>
      <c r="P125" s="240">
        <f>E125+J125</f>
        <v>46072981</v>
      </c>
    </row>
    <row r="126" spans="1:16" ht="46.8" x14ac:dyDescent="0.3">
      <c r="A126" s="227" t="s">
        <v>419</v>
      </c>
      <c r="B126" s="344" t="s">
        <v>47</v>
      </c>
      <c r="C126" s="344" t="s">
        <v>20</v>
      </c>
      <c r="D126" s="53" t="s">
        <v>377</v>
      </c>
      <c r="E126" s="221">
        <f>F126+I126</f>
        <v>4856581</v>
      </c>
      <c r="F126" s="221">
        <f>4819366+37215</f>
        <v>4856581</v>
      </c>
      <c r="G126" s="221">
        <f>3844180+810611</f>
        <v>4654791</v>
      </c>
      <c r="H126" s="221">
        <v>0</v>
      </c>
      <c r="I126" s="54">
        <v>0</v>
      </c>
      <c r="J126" s="223">
        <f t="shared" ref="J126:J128" si="59">K126+O126</f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239">
        <f t="shared" si="15"/>
        <v>4856581</v>
      </c>
    </row>
    <row r="127" spans="1:16" x14ac:dyDescent="0.3">
      <c r="A127" s="227" t="s">
        <v>420</v>
      </c>
      <c r="B127" s="344" t="s">
        <v>421</v>
      </c>
      <c r="C127" s="344" t="s">
        <v>422</v>
      </c>
      <c r="D127" s="53" t="s">
        <v>423</v>
      </c>
      <c r="E127" s="221">
        <f>F127</f>
        <v>4131200</v>
      </c>
      <c r="F127" s="200">
        <v>4131200</v>
      </c>
      <c r="G127" s="221">
        <v>0</v>
      </c>
      <c r="H127" s="221">
        <v>0</v>
      </c>
      <c r="I127" s="221">
        <v>0</v>
      </c>
      <c r="J127" s="223">
        <f t="shared" si="59"/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239">
        <f t="shared" si="15"/>
        <v>4131200</v>
      </c>
    </row>
    <row r="128" spans="1:16" ht="16.2" thickBot="1" x14ac:dyDescent="0.35">
      <c r="A128" s="232" t="s">
        <v>157</v>
      </c>
      <c r="B128" s="233" t="s">
        <v>158</v>
      </c>
      <c r="C128" s="233" t="s">
        <v>424</v>
      </c>
      <c r="D128" s="234" t="s">
        <v>159</v>
      </c>
      <c r="E128" s="222">
        <f>F128</f>
        <v>37085200</v>
      </c>
      <c r="F128" s="201">
        <v>37085200</v>
      </c>
      <c r="G128" s="222">
        <v>0</v>
      </c>
      <c r="H128" s="222">
        <v>0</v>
      </c>
      <c r="I128" s="222">
        <v>0</v>
      </c>
      <c r="J128" s="223">
        <f t="shared" si="59"/>
        <v>0</v>
      </c>
      <c r="K128" s="223">
        <v>0</v>
      </c>
      <c r="L128" s="223">
        <v>0</v>
      </c>
      <c r="M128" s="223">
        <v>0</v>
      </c>
      <c r="N128" s="223">
        <v>0</v>
      </c>
      <c r="O128" s="223">
        <v>0</v>
      </c>
      <c r="P128" s="241">
        <f>E128+J128</f>
        <v>37085200</v>
      </c>
    </row>
    <row r="129" spans="1:16" ht="16.2" thickBot="1" x14ac:dyDescent="0.35">
      <c r="A129" s="210" t="s">
        <v>7</v>
      </c>
      <c r="B129" s="211" t="s">
        <v>7</v>
      </c>
      <c r="C129" s="211" t="s">
        <v>7</v>
      </c>
      <c r="D129" s="276" t="s">
        <v>160</v>
      </c>
      <c r="E129" s="199">
        <f t="shared" ref="E129:O129" si="60">E23+E38+E55+E67+E71+E88+E97+E112+E115+E118+E124</f>
        <v>510676786</v>
      </c>
      <c r="F129" s="199">
        <f t="shared" si="60"/>
        <v>510676786</v>
      </c>
      <c r="G129" s="199">
        <f t="shared" si="60"/>
        <v>265427895</v>
      </c>
      <c r="H129" s="199">
        <f t="shared" si="60"/>
        <v>35232076</v>
      </c>
      <c r="I129" s="199">
        <f t="shared" si="60"/>
        <v>0</v>
      </c>
      <c r="J129" s="199">
        <f t="shared" si="60"/>
        <v>102007224</v>
      </c>
      <c r="K129" s="199">
        <f t="shared" si="60"/>
        <v>88286420</v>
      </c>
      <c r="L129" s="199">
        <f t="shared" si="60"/>
        <v>13437300</v>
      </c>
      <c r="M129" s="199">
        <f t="shared" si="60"/>
        <v>4342918</v>
      </c>
      <c r="N129" s="199">
        <f t="shared" si="60"/>
        <v>84765</v>
      </c>
      <c r="O129" s="199">
        <f t="shared" si="60"/>
        <v>88569924</v>
      </c>
      <c r="P129" s="224">
        <f>E129+J129</f>
        <v>612684010</v>
      </c>
    </row>
    <row r="130" spans="1:16" x14ac:dyDescent="0.3">
      <c r="A130" s="273"/>
      <c r="B130" s="273"/>
      <c r="C130" s="273"/>
      <c r="D130" s="274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</row>
    <row r="131" spans="1:16" ht="16.95" customHeight="1" x14ac:dyDescent="0.3">
      <c r="L131" s="637"/>
      <c r="O131" s="637"/>
    </row>
    <row r="132" spans="1:16" s="368" customFormat="1" ht="28.95" customHeight="1" x14ac:dyDescent="0.3">
      <c r="A132" s="731" t="s">
        <v>236</v>
      </c>
      <c r="B132" s="731"/>
      <c r="C132" s="731"/>
      <c r="D132" s="731"/>
      <c r="E132" s="364"/>
      <c r="F132" s="364"/>
      <c r="G132" s="364"/>
      <c r="H132" s="364"/>
      <c r="I132" s="364"/>
      <c r="J132" s="364" t="s">
        <v>237</v>
      </c>
      <c r="K132" s="364"/>
      <c r="L132" s="365"/>
      <c r="M132" s="364"/>
      <c r="N132" s="364"/>
      <c r="O132" s="366"/>
      <c r="P132" s="367"/>
    </row>
    <row r="133" spans="1:16" ht="16.95" customHeight="1" x14ac:dyDescent="0.3">
      <c r="E133" s="235"/>
      <c r="J133" s="235"/>
    </row>
    <row r="139" spans="1:16" x14ac:dyDescent="0.3">
      <c r="G139" s="271"/>
    </row>
  </sheetData>
  <mergeCells count="31">
    <mergeCell ref="N11:P11"/>
    <mergeCell ref="A132:D132"/>
    <mergeCell ref="L19:L21"/>
    <mergeCell ref="M19:N19"/>
    <mergeCell ref="O19:O21"/>
    <mergeCell ref="G20:G21"/>
    <mergeCell ref="H20:H21"/>
    <mergeCell ref="M20:M21"/>
    <mergeCell ref="N20:N21"/>
    <mergeCell ref="E19:E21"/>
    <mergeCell ref="F19:F21"/>
    <mergeCell ref="G19:H19"/>
    <mergeCell ref="I19:I21"/>
    <mergeCell ref="J19:J21"/>
    <mergeCell ref="K19:K21"/>
    <mergeCell ref="N5:O5"/>
    <mergeCell ref="A14:P14"/>
    <mergeCell ref="A15:P15"/>
    <mergeCell ref="A18:A21"/>
    <mergeCell ref="B18:B21"/>
    <mergeCell ref="C18:C21"/>
    <mergeCell ref="D18:D21"/>
    <mergeCell ref="E18:I18"/>
    <mergeCell ref="J18:O18"/>
    <mergeCell ref="P18:P21"/>
    <mergeCell ref="N12:P12"/>
    <mergeCell ref="N13:P13"/>
    <mergeCell ref="N7:P7"/>
    <mergeCell ref="N8:P8"/>
    <mergeCell ref="N9:P9"/>
    <mergeCell ref="N10:P10"/>
  </mergeCells>
  <pageMargins left="0.78740157480314965" right="0.78740157480314965" top="1.1811023622047245" bottom="0.39370078740157483" header="0.31496062992125984" footer="0.31496062992125984"/>
  <pageSetup paperSize="9" scale="54" fitToHeight="0" orientation="landscape" r:id="rId1"/>
  <rowBreaks count="2" manualBreakCount="2">
    <brk id="96" max="15" man="1"/>
    <brk id="11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topLeftCell="A53" zoomScale="90" zoomScaleNormal="100" zoomScaleSheetLayoutView="90" workbookViewId="0">
      <selection activeCell="D63" sqref="D63"/>
    </sheetView>
  </sheetViews>
  <sheetFormatPr defaultRowHeight="13.8" x14ac:dyDescent="0.3"/>
  <cols>
    <col min="1" max="1" width="21.109375" customWidth="1"/>
    <col min="2" max="2" width="20.6640625" customWidth="1"/>
    <col min="3" max="3" width="81.6640625" customWidth="1"/>
    <col min="4" max="4" width="25" customWidth="1"/>
  </cols>
  <sheetData>
    <row r="1" spans="1:5" ht="18" x14ac:dyDescent="0.35">
      <c r="C1" s="287" t="s">
        <v>459</v>
      </c>
      <c r="D1" s="286"/>
      <c r="E1" s="285"/>
    </row>
    <row r="2" spans="1:5" ht="18" x14ac:dyDescent="0.35">
      <c r="C2" s="733" t="s">
        <v>458</v>
      </c>
      <c r="D2" s="733"/>
      <c r="E2" s="285"/>
    </row>
    <row r="3" spans="1:5" ht="18" x14ac:dyDescent="0.35">
      <c r="C3" s="734" t="s">
        <v>594</v>
      </c>
      <c r="D3" s="734"/>
      <c r="E3" s="285"/>
    </row>
    <row r="4" spans="1:5" ht="18" x14ac:dyDescent="0.35">
      <c r="C4" s="735" t="s">
        <v>595</v>
      </c>
      <c r="D4" s="735"/>
      <c r="E4" s="285"/>
    </row>
    <row r="5" spans="1:5" ht="18" x14ac:dyDescent="0.35">
      <c r="C5" s="736" t="s">
        <v>585</v>
      </c>
      <c r="D5" s="736"/>
      <c r="E5" s="285"/>
    </row>
    <row r="7" spans="1:5" ht="15.6" x14ac:dyDescent="0.3">
      <c r="C7" s="3" t="s">
        <v>558</v>
      </c>
      <c r="D7" s="136"/>
      <c r="E7" s="5"/>
    </row>
    <row r="8" spans="1:5" ht="15.6" x14ac:dyDescent="0.3">
      <c r="C8" s="135" t="s">
        <v>240</v>
      </c>
      <c r="D8" s="136"/>
      <c r="E8" s="5"/>
    </row>
    <row r="9" spans="1:5" ht="15.6" x14ac:dyDescent="0.3">
      <c r="C9" s="137" t="s">
        <v>241</v>
      </c>
      <c r="D9" s="136"/>
      <c r="E9" s="5"/>
    </row>
    <row r="10" spans="1:5" ht="15.6" x14ac:dyDescent="0.3">
      <c r="A10" s="138"/>
      <c r="C10" s="137" t="s">
        <v>360</v>
      </c>
      <c r="D10" s="136"/>
      <c r="E10" s="5"/>
    </row>
    <row r="11" spans="1:5" ht="15.6" x14ac:dyDescent="0.3">
      <c r="C11" s="139" t="s">
        <v>436</v>
      </c>
      <c r="D11" s="140"/>
      <c r="E11" s="5"/>
    </row>
    <row r="12" spans="1:5" ht="19.2" customHeight="1" x14ac:dyDescent="0.3">
      <c r="C12" s="139" t="s">
        <v>437</v>
      </c>
      <c r="D12" s="136"/>
      <c r="E12" s="5"/>
    </row>
    <row r="13" spans="1:5" ht="15.6" customHeight="1" x14ac:dyDescent="0.3">
      <c r="C13" s="756" t="s">
        <v>460</v>
      </c>
      <c r="D13" s="756"/>
      <c r="E13" s="5"/>
    </row>
    <row r="14" spans="1:5" ht="21" x14ac:dyDescent="0.4">
      <c r="A14" s="706" t="s">
        <v>428</v>
      </c>
      <c r="B14" s="707"/>
      <c r="C14" s="707"/>
      <c r="D14" s="707"/>
    </row>
    <row r="15" spans="1:5" s="144" customFormat="1" ht="18" x14ac:dyDescent="0.35">
      <c r="A15" s="757" t="s">
        <v>286</v>
      </c>
      <c r="B15" s="758"/>
      <c r="C15" s="758"/>
      <c r="D15" s="758"/>
    </row>
    <row r="16" spans="1:5" s="144" customFormat="1" ht="18" x14ac:dyDescent="0.35">
      <c r="A16" s="758" t="s">
        <v>0</v>
      </c>
      <c r="B16" s="758"/>
      <c r="C16" s="758"/>
      <c r="D16" s="758"/>
    </row>
    <row r="17" spans="1:4" s="144" customFormat="1" ht="21.9" customHeight="1" x14ac:dyDescent="0.35">
      <c r="A17" s="544" t="s">
        <v>242</v>
      </c>
      <c r="B17" s="143"/>
      <c r="C17" s="143"/>
      <c r="D17" s="143"/>
    </row>
    <row r="18" spans="1:4" s="144" customFormat="1" ht="18.600000000000001" thickBot="1" x14ac:dyDescent="0.4">
      <c r="A18" s="143"/>
      <c r="B18" s="143"/>
      <c r="C18" s="143"/>
      <c r="D18" s="285" t="s">
        <v>1</v>
      </c>
    </row>
    <row r="19" spans="1:4" s="144" customFormat="1" ht="64.2" customHeight="1" x14ac:dyDescent="0.35">
      <c r="A19" s="545" t="s">
        <v>243</v>
      </c>
      <c r="B19" s="759" t="s">
        <v>244</v>
      </c>
      <c r="C19" s="760"/>
      <c r="D19" s="592" t="s">
        <v>2</v>
      </c>
    </row>
    <row r="20" spans="1:4" s="144" customFormat="1" ht="18" x14ac:dyDescent="0.35">
      <c r="A20" s="546">
        <v>1</v>
      </c>
      <c r="B20" s="761">
        <v>2</v>
      </c>
      <c r="C20" s="762"/>
      <c r="D20" s="547">
        <v>3</v>
      </c>
    </row>
    <row r="21" spans="1:4" s="144" customFormat="1" ht="18" x14ac:dyDescent="0.35">
      <c r="A21" s="740" t="s">
        <v>245</v>
      </c>
      <c r="B21" s="741"/>
      <c r="C21" s="741"/>
      <c r="D21" s="739"/>
    </row>
    <row r="22" spans="1:4" s="615" customFormat="1" ht="72" customHeight="1" x14ac:dyDescent="0.35">
      <c r="A22" s="618">
        <v>41021400</v>
      </c>
      <c r="B22" s="751" t="s">
        <v>574</v>
      </c>
      <c r="C22" s="752"/>
      <c r="D22" s="617">
        <f>D23</f>
        <v>28740200</v>
      </c>
    </row>
    <row r="23" spans="1:4" s="144" customFormat="1" ht="18" x14ac:dyDescent="0.35">
      <c r="A23" s="533" t="s">
        <v>248</v>
      </c>
      <c r="B23" s="747" t="s">
        <v>249</v>
      </c>
      <c r="C23" s="748"/>
      <c r="D23" s="616">
        <f>7037400+21702800</f>
        <v>28740200</v>
      </c>
    </row>
    <row r="24" spans="1:4" s="144" customFormat="1" ht="18" x14ac:dyDescent="0.35">
      <c r="A24" s="548" t="s">
        <v>246</v>
      </c>
      <c r="B24" s="549" t="s">
        <v>247</v>
      </c>
      <c r="C24" s="550"/>
      <c r="D24" s="551">
        <v>63608200</v>
      </c>
    </row>
    <row r="25" spans="1:4" s="144" customFormat="1" ht="24" customHeight="1" x14ac:dyDescent="0.35">
      <c r="A25" s="533" t="s">
        <v>248</v>
      </c>
      <c r="B25" s="747" t="s">
        <v>249</v>
      </c>
      <c r="C25" s="748"/>
      <c r="D25" s="552">
        <v>63608200</v>
      </c>
    </row>
    <row r="26" spans="1:4" s="144" customFormat="1" ht="41.4" customHeight="1" x14ac:dyDescent="0.35">
      <c r="A26" s="548" t="s">
        <v>250</v>
      </c>
      <c r="B26" s="549" t="s">
        <v>251</v>
      </c>
      <c r="C26" s="550"/>
      <c r="D26" s="551">
        <v>715470</v>
      </c>
    </row>
    <row r="27" spans="1:4" s="144" customFormat="1" ht="29.4" customHeight="1" x14ac:dyDescent="0.35">
      <c r="A27" s="533">
        <v>15100000000</v>
      </c>
      <c r="B27" s="747" t="s">
        <v>252</v>
      </c>
      <c r="C27" s="748"/>
      <c r="D27" s="552">
        <v>715470</v>
      </c>
    </row>
    <row r="28" spans="1:4" s="144" customFormat="1" ht="74.400000000000006" customHeight="1" x14ac:dyDescent="0.35">
      <c r="A28" s="548">
        <v>41051200</v>
      </c>
      <c r="B28" s="745" t="s">
        <v>468</v>
      </c>
      <c r="C28" s="746"/>
      <c r="D28" s="551">
        <v>138306</v>
      </c>
    </row>
    <row r="29" spans="1:4" s="144" customFormat="1" ht="22.95" customHeight="1" x14ac:dyDescent="0.35">
      <c r="A29" s="533">
        <v>15100000000</v>
      </c>
      <c r="B29" s="747" t="s">
        <v>252</v>
      </c>
      <c r="C29" s="748"/>
      <c r="D29" s="552">
        <v>138306</v>
      </c>
    </row>
    <row r="30" spans="1:4" s="144" customFormat="1" ht="71.400000000000006" customHeight="1" x14ac:dyDescent="0.35">
      <c r="A30" s="548">
        <v>41051200</v>
      </c>
      <c r="B30" s="749" t="s">
        <v>469</v>
      </c>
      <c r="C30" s="750"/>
      <c r="D30" s="551">
        <v>85974</v>
      </c>
    </row>
    <row r="31" spans="1:4" s="144" customFormat="1" ht="22.95" customHeight="1" x14ac:dyDescent="0.35">
      <c r="A31" s="533">
        <v>15100000000</v>
      </c>
      <c r="B31" s="747" t="s">
        <v>252</v>
      </c>
      <c r="C31" s="748"/>
      <c r="D31" s="553">
        <v>85974</v>
      </c>
    </row>
    <row r="32" spans="1:4" s="615" customFormat="1" ht="51.6" customHeight="1" x14ac:dyDescent="0.35">
      <c r="A32" s="548">
        <v>41051700</v>
      </c>
      <c r="B32" s="753" t="s">
        <v>576</v>
      </c>
      <c r="C32" s="754"/>
      <c r="D32" s="619">
        <f>D33</f>
        <v>37033</v>
      </c>
    </row>
    <row r="33" spans="1:4" s="144" customFormat="1" ht="24" customHeight="1" x14ac:dyDescent="0.35">
      <c r="A33" s="533">
        <v>15100000000</v>
      </c>
      <c r="B33" s="747" t="s">
        <v>252</v>
      </c>
      <c r="C33" s="748"/>
      <c r="D33" s="553">
        <v>37033</v>
      </c>
    </row>
    <row r="34" spans="1:4" s="556" customFormat="1" ht="39" customHeight="1" x14ac:dyDescent="0.3">
      <c r="A34" s="554">
        <v>41053900</v>
      </c>
      <c r="B34" s="745" t="s">
        <v>253</v>
      </c>
      <c r="C34" s="746"/>
      <c r="D34" s="555">
        <v>50445</v>
      </c>
    </row>
    <row r="35" spans="1:4" s="556" customFormat="1" ht="18" x14ac:dyDescent="0.35">
      <c r="A35" s="557" t="s">
        <v>254</v>
      </c>
      <c r="B35" s="764" t="s">
        <v>252</v>
      </c>
      <c r="C35" s="765"/>
      <c r="D35" s="343">
        <v>50445</v>
      </c>
    </row>
    <row r="36" spans="1:4" s="556" customFormat="1" ht="39" customHeight="1" x14ac:dyDescent="0.3">
      <c r="A36" s="554">
        <v>41053900</v>
      </c>
      <c r="B36" s="745" t="s">
        <v>255</v>
      </c>
      <c r="C36" s="746"/>
      <c r="D36" s="558">
        <v>50420</v>
      </c>
    </row>
    <row r="37" spans="1:4" s="556" customFormat="1" ht="19.2" customHeight="1" x14ac:dyDescent="0.3">
      <c r="A37" s="557" t="s">
        <v>254</v>
      </c>
      <c r="B37" s="766" t="s">
        <v>252</v>
      </c>
      <c r="C37" s="767"/>
      <c r="D37" s="343">
        <v>50420</v>
      </c>
    </row>
    <row r="38" spans="1:4" s="556" customFormat="1" ht="55.2" customHeight="1" x14ac:dyDescent="0.3">
      <c r="A38" s="554">
        <v>41053900</v>
      </c>
      <c r="B38" s="745" t="s">
        <v>256</v>
      </c>
      <c r="C38" s="746"/>
      <c r="D38" s="558">
        <v>18905</v>
      </c>
    </row>
    <row r="39" spans="1:4" s="556" customFormat="1" ht="18" x14ac:dyDescent="0.35">
      <c r="A39" s="557" t="s">
        <v>254</v>
      </c>
      <c r="B39" s="764" t="s">
        <v>252</v>
      </c>
      <c r="C39" s="765"/>
      <c r="D39" s="343">
        <v>18905</v>
      </c>
    </row>
    <row r="40" spans="1:4" s="144" customFormat="1" ht="18" x14ac:dyDescent="0.35">
      <c r="A40" s="537"/>
      <c r="B40" s="559"/>
      <c r="C40" s="560"/>
      <c r="D40" s="561"/>
    </row>
    <row r="41" spans="1:4" s="144" customFormat="1" ht="18" x14ac:dyDescent="0.35">
      <c r="A41" s="740" t="s">
        <v>257</v>
      </c>
      <c r="B41" s="741"/>
      <c r="C41" s="741"/>
      <c r="D41" s="739"/>
    </row>
    <row r="42" spans="1:4" s="563" customFormat="1" ht="18" x14ac:dyDescent="0.35">
      <c r="A42" s="548"/>
      <c r="B42" s="549"/>
      <c r="C42" s="550"/>
      <c r="D42" s="562"/>
    </row>
    <row r="43" spans="1:4" s="144" customFormat="1" ht="18" x14ac:dyDescent="0.35">
      <c r="A43" s="564" t="s">
        <v>7</v>
      </c>
      <c r="B43" s="565" t="s">
        <v>258</v>
      </c>
      <c r="C43" s="550"/>
      <c r="D43" s="566">
        <f>D44+D45</f>
        <v>93444953</v>
      </c>
    </row>
    <row r="44" spans="1:4" s="144" customFormat="1" ht="23.4" customHeight="1" x14ac:dyDescent="0.35">
      <c r="A44" s="564" t="s">
        <v>7</v>
      </c>
      <c r="B44" s="565" t="s">
        <v>259</v>
      </c>
      <c r="C44" s="550"/>
      <c r="D44" s="566">
        <f>D22+D24+D26+D30+D28+D34+D36+D38+D32</f>
        <v>93444953</v>
      </c>
    </row>
    <row r="45" spans="1:4" s="144" customFormat="1" ht="22.95" customHeight="1" x14ac:dyDescent="0.35">
      <c r="A45" s="564" t="s">
        <v>7</v>
      </c>
      <c r="B45" s="565" t="s">
        <v>260</v>
      </c>
      <c r="C45" s="550"/>
      <c r="D45" s="566">
        <v>0</v>
      </c>
    </row>
    <row r="46" spans="1:4" s="595" customFormat="1" ht="21.9" customHeight="1" x14ac:dyDescent="0.35">
      <c r="A46" s="593" t="s">
        <v>261</v>
      </c>
      <c r="B46" s="567"/>
      <c r="C46" s="567"/>
      <c r="D46" s="594" t="s">
        <v>1</v>
      </c>
    </row>
    <row r="47" spans="1:4" s="144" customFormat="1" ht="126" x14ac:dyDescent="0.35">
      <c r="A47" s="568" t="s">
        <v>262</v>
      </c>
      <c r="B47" s="569" t="s">
        <v>263</v>
      </c>
      <c r="C47" s="570" t="s">
        <v>264</v>
      </c>
      <c r="D47" s="571" t="s">
        <v>2</v>
      </c>
    </row>
    <row r="48" spans="1:4" s="144" customFormat="1" ht="18" x14ac:dyDescent="0.35">
      <c r="A48" s="572">
        <v>1</v>
      </c>
      <c r="B48" s="573">
        <v>2</v>
      </c>
      <c r="C48" s="573">
        <v>3</v>
      </c>
      <c r="D48" s="574">
        <v>4</v>
      </c>
    </row>
    <row r="49" spans="1:4" s="144" customFormat="1" ht="21.6" customHeight="1" x14ac:dyDescent="0.35">
      <c r="A49" s="742" t="s">
        <v>265</v>
      </c>
      <c r="B49" s="743"/>
      <c r="C49" s="744"/>
      <c r="D49" s="575"/>
    </row>
    <row r="50" spans="1:4" s="144" customFormat="1" ht="23.4" customHeight="1" x14ac:dyDescent="0.35">
      <c r="A50" s="576" t="s">
        <v>157</v>
      </c>
      <c r="B50" s="577" t="s">
        <v>158</v>
      </c>
      <c r="C50" s="578" t="s">
        <v>159</v>
      </c>
      <c r="D50" s="579">
        <f>D51</f>
        <v>37085200</v>
      </c>
    </row>
    <row r="51" spans="1:4" s="144" customFormat="1" ht="19.95" customHeight="1" x14ac:dyDescent="0.35">
      <c r="A51" s="530" t="s">
        <v>248</v>
      </c>
      <c r="B51" s="531" t="s">
        <v>158</v>
      </c>
      <c r="C51" s="532" t="s">
        <v>249</v>
      </c>
      <c r="D51" s="580">
        <v>37085200</v>
      </c>
    </row>
    <row r="52" spans="1:4" s="142" customFormat="1" ht="28.2" customHeight="1" x14ac:dyDescent="0.3">
      <c r="A52" s="527" t="s">
        <v>562</v>
      </c>
      <c r="B52" s="528">
        <v>9770</v>
      </c>
      <c r="C52" s="591" t="s">
        <v>561</v>
      </c>
      <c r="D52" s="529">
        <f>D53</f>
        <v>350000</v>
      </c>
    </row>
    <row r="53" spans="1:4" s="143" customFormat="1" ht="18" x14ac:dyDescent="0.35">
      <c r="A53" s="533">
        <v>15327200000</v>
      </c>
      <c r="B53" s="534">
        <v>9770</v>
      </c>
      <c r="C53" s="535" t="s">
        <v>266</v>
      </c>
      <c r="D53" s="620">
        <v>350000</v>
      </c>
    </row>
    <row r="54" spans="1:4" s="143" customFormat="1" ht="43.2" customHeight="1" x14ac:dyDescent="0.35">
      <c r="A54" s="527" t="s">
        <v>486</v>
      </c>
      <c r="B54" s="528">
        <v>9800</v>
      </c>
      <c r="C54" s="536" t="s">
        <v>487</v>
      </c>
      <c r="D54" s="529">
        <f>D55+D56+D57+D58</f>
        <v>4675900</v>
      </c>
    </row>
    <row r="55" spans="1:4" s="143" customFormat="1" ht="24" customHeight="1" x14ac:dyDescent="0.35">
      <c r="A55" s="530" t="s">
        <v>248</v>
      </c>
      <c r="B55" s="531">
        <v>9800</v>
      </c>
      <c r="C55" s="532" t="s">
        <v>249</v>
      </c>
      <c r="D55" s="580">
        <v>1000000</v>
      </c>
    </row>
    <row r="56" spans="1:4" s="143" customFormat="1" ht="30.6" customHeight="1" x14ac:dyDescent="0.35">
      <c r="A56" s="530" t="s">
        <v>248</v>
      </c>
      <c r="B56" s="531">
        <v>9800</v>
      </c>
      <c r="C56" s="532" t="s">
        <v>249</v>
      </c>
      <c r="D56" s="580">
        <f>8400000-6950000</f>
        <v>1450000</v>
      </c>
    </row>
    <row r="57" spans="1:4" s="143" customFormat="1" ht="30.6" customHeight="1" x14ac:dyDescent="0.35">
      <c r="A57" s="530" t="s">
        <v>248</v>
      </c>
      <c r="B57" s="531">
        <v>9800</v>
      </c>
      <c r="C57" s="532" t="s">
        <v>249</v>
      </c>
      <c r="D57" s="580">
        <v>2000000</v>
      </c>
    </row>
    <row r="58" spans="1:4" s="143" customFormat="1" ht="30.6" customHeight="1" x14ac:dyDescent="0.35">
      <c r="A58" s="530" t="s">
        <v>248</v>
      </c>
      <c r="B58" s="531">
        <v>9800</v>
      </c>
      <c r="C58" s="532" t="s">
        <v>249</v>
      </c>
      <c r="D58" s="580">
        <v>225900</v>
      </c>
    </row>
    <row r="59" spans="1:4" s="144" customFormat="1" ht="20.100000000000001" customHeight="1" x14ac:dyDescent="0.35">
      <c r="A59" s="737" t="s">
        <v>267</v>
      </c>
      <c r="B59" s="738"/>
      <c r="C59" s="738"/>
      <c r="D59" s="739"/>
    </row>
    <row r="60" spans="1:4" s="143" customFormat="1" ht="51.6" customHeight="1" x14ac:dyDescent="0.35">
      <c r="A60" s="527" t="s">
        <v>486</v>
      </c>
      <c r="B60" s="528">
        <v>9800</v>
      </c>
      <c r="C60" s="536" t="s">
        <v>487</v>
      </c>
      <c r="D60" s="529">
        <f>D61+D62+D63</f>
        <v>7939600</v>
      </c>
    </row>
    <row r="61" spans="1:4" s="143" customFormat="1" ht="30.6" customHeight="1" x14ac:dyDescent="0.35">
      <c r="A61" s="530" t="s">
        <v>248</v>
      </c>
      <c r="B61" s="531">
        <v>9800</v>
      </c>
      <c r="C61" s="532" t="s">
        <v>249</v>
      </c>
      <c r="D61" s="580">
        <v>900000</v>
      </c>
    </row>
    <row r="62" spans="1:4" s="143" customFormat="1" ht="30.6" customHeight="1" x14ac:dyDescent="0.35">
      <c r="A62" s="530" t="s">
        <v>248</v>
      </c>
      <c r="B62" s="531">
        <v>9800</v>
      </c>
      <c r="C62" s="532" t="s">
        <v>249</v>
      </c>
      <c r="D62" s="580">
        <v>6950000</v>
      </c>
    </row>
    <row r="63" spans="1:4" s="143" customFormat="1" ht="30.6" customHeight="1" x14ac:dyDescent="0.35">
      <c r="A63" s="530" t="s">
        <v>248</v>
      </c>
      <c r="B63" s="531">
        <v>9800</v>
      </c>
      <c r="C63" s="532" t="s">
        <v>249</v>
      </c>
      <c r="D63" s="580">
        <v>89600</v>
      </c>
    </row>
    <row r="64" spans="1:4" s="144" customFormat="1" ht="28.95" customHeight="1" x14ac:dyDescent="0.35">
      <c r="A64" s="581" t="s">
        <v>7</v>
      </c>
      <c r="B64" s="582" t="s">
        <v>7</v>
      </c>
      <c r="C64" s="565" t="s">
        <v>258</v>
      </c>
      <c r="D64" s="575">
        <f>D65+D66</f>
        <v>50050700</v>
      </c>
    </row>
    <row r="65" spans="1:16" s="144" customFormat="1" ht="30" customHeight="1" x14ac:dyDescent="0.35">
      <c r="A65" s="581" t="s">
        <v>7</v>
      </c>
      <c r="B65" s="582" t="s">
        <v>7</v>
      </c>
      <c r="C65" s="565" t="s">
        <v>259</v>
      </c>
      <c r="D65" s="583">
        <f>D50+D52+D54</f>
        <v>42111100</v>
      </c>
    </row>
    <row r="66" spans="1:16" s="144" customFormat="1" ht="18.600000000000001" thickBot="1" x14ac:dyDescent="0.4">
      <c r="A66" s="584" t="s">
        <v>7</v>
      </c>
      <c r="B66" s="585" t="s">
        <v>7</v>
      </c>
      <c r="C66" s="586" t="s">
        <v>260</v>
      </c>
      <c r="D66" s="587">
        <f>D60</f>
        <v>7939600</v>
      </c>
    </row>
    <row r="67" spans="1:16" s="144" customFormat="1" ht="18" x14ac:dyDescent="0.35">
      <c r="A67" s="588"/>
      <c r="B67" s="588"/>
      <c r="C67" s="589"/>
      <c r="D67" s="590"/>
    </row>
    <row r="68" spans="1:16" ht="15.6" x14ac:dyDescent="0.3">
      <c r="A68" s="1"/>
      <c r="B68" s="1"/>
      <c r="C68" s="1"/>
      <c r="D68" s="1"/>
    </row>
    <row r="69" spans="1:16" s="194" customFormat="1" ht="42.6" customHeight="1" x14ac:dyDescent="0.35">
      <c r="A69" s="763" t="s">
        <v>449</v>
      </c>
      <c r="B69" s="763"/>
      <c r="C69" s="763"/>
      <c r="D69" s="763"/>
      <c r="E69" s="755"/>
      <c r="F69" s="755"/>
      <c r="G69" s="193"/>
      <c r="H69" s="193"/>
      <c r="I69" s="193"/>
      <c r="K69" s="193"/>
      <c r="L69" s="195"/>
      <c r="M69" s="193"/>
      <c r="N69" s="196"/>
      <c r="O69" s="197"/>
      <c r="P69" s="198"/>
    </row>
    <row r="70" spans="1:16" s="144" customFormat="1" ht="20.399999999999999" customHeight="1" x14ac:dyDescent="0.35">
      <c r="A70" s="142"/>
      <c r="B70" s="143"/>
      <c r="C70" s="1"/>
      <c r="D70" s="143"/>
    </row>
  </sheetData>
  <mergeCells count="32">
    <mergeCell ref="E69:F69"/>
    <mergeCell ref="C13:D13"/>
    <mergeCell ref="A14:D14"/>
    <mergeCell ref="A15:D15"/>
    <mergeCell ref="A16:D16"/>
    <mergeCell ref="B19:C19"/>
    <mergeCell ref="B20:C20"/>
    <mergeCell ref="A21:D21"/>
    <mergeCell ref="B27:C27"/>
    <mergeCell ref="A69:D69"/>
    <mergeCell ref="B34:C34"/>
    <mergeCell ref="B35:C35"/>
    <mergeCell ref="B36:C36"/>
    <mergeCell ref="B37:C37"/>
    <mergeCell ref="B38:C38"/>
    <mergeCell ref="B39:C39"/>
    <mergeCell ref="C2:D2"/>
    <mergeCell ref="C3:D3"/>
    <mergeCell ref="C4:D4"/>
    <mergeCell ref="C5:D5"/>
    <mergeCell ref="A59:D59"/>
    <mergeCell ref="A41:D41"/>
    <mergeCell ref="A49:C49"/>
    <mergeCell ref="B28:C28"/>
    <mergeCell ref="B29:C29"/>
    <mergeCell ref="B30:C30"/>
    <mergeCell ref="B31:C31"/>
    <mergeCell ref="B25:C25"/>
    <mergeCell ref="B22:C22"/>
    <mergeCell ref="B23:C23"/>
    <mergeCell ref="B33:C33"/>
    <mergeCell ref="B32:C32"/>
  </mergeCells>
  <pageMargins left="1.1811023622047245" right="0.39370078740157483" top="0.78740157480314965" bottom="0.78740157480314965" header="0.31496062992125984" footer="0.31496062992125984"/>
  <pageSetup paperSize="9" scale="64" orientation="portrait" r:id="rId1"/>
  <rowBreaks count="1" manualBreakCount="1">
    <brk id="4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view="pageBreakPreview" topLeftCell="A38" zoomScale="80" zoomScaleNormal="80" zoomScaleSheetLayoutView="80" workbookViewId="0">
      <selection activeCell="I40" sqref="I40"/>
    </sheetView>
  </sheetViews>
  <sheetFormatPr defaultColWidth="9.109375" defaultRowHeight="13.8" x14ac:dyDescent="0.25"/>
  <cols>
    <col min="1" max="1" width="13" style="10" customWidth="1"/>
    <col min="2" max="2" width="12.5546875" style="10" customWidth="1"/>
    <col min="3" max="3" width="13.44140625" style="10" customWidth="1"/>
    <col min="4" max="4" width="41.6640625" style="10" customWidth="1"/>
    <col min="5" max="5" width="40.33203125" style="10" customWidth="1"/>
    <col min="6" max="6" width="42.109375" style="10" customWidth="1"/>
    <col min="7" max="7" width="14" style="10" customWidth="1"/>
    <col min="8" max="8" width="14.6640625" style="10" customWidth="1"/>
    <col min="9" max="9" width="14.5546875" style="10" customWidth="1"/>
    <col min="10" max="10" width="14.88671875" style="10" customWidth="1"/>
    <col min="11" max="16384" width="9.109375" style="10"/>
  </cols>
  <sheetData>
    <row r="1" spans="1:10" ht="15.6" x14ac:dyDescent="0.25">
      <c r="H1" s="280" t="s">
        <v>461</v>
      </c>
      <c r="I1" s="4"/>
      <c r="J1" s="5"/>
    </row>
    <row r="2" spans="1:10" ht="15.6" x14ac:dyDescent="0.25">
      <c r="H2" s="280" t="s">
        <v>208</v>
      </c>
      <c r="I2" s="4"/>
      <c r="J2" s="5"/>
    </row>
    <row r="3" spans="1:10" ht="15.6" x14ac:dyDescent="0.3">
      <c r="H3" s="6" t="s">
        <v>605</v>
      </c>
      <c r="I3" s="7"/>
      <c r="J3" s="5"/>
    </row>
    <row r="4" spans="1:10" ht="15.6" x14ac:dyDescent="0.3">
      <c r="H4" s="6" t="s">
        <v>606</v>
      </c>
      <c r="I4" s="4"/>
      <c r="J4" s="5"/>
    </row>
    <row r="5" spans="1:10" ht="15.6" x14ac:dyDescent="0.25">
      <c r="H5" s="687" t="s">
        <v>612</v>
      </c>
      <c r="I5" s="687"/>
      <c r="J5" s="5"/>
    </row>
    <row r="7" spans="1:10" ht="15.6" x14ac:dyDescent="0.25">
      <c r="H7" s="3" t="s">
        <v>556</v>
      </c>
      <c r="I7" s="4"/>
      <c r="J7" s="5"/>
    </row>
    <row r="8" spans="1:10" ht="15.6" x14ac:dyDescent="0.25">
      <c r="H8" s="3" t="s">
        <v>8</v>
      </c>
      <c r="I8" s="4"/>
      <c r="J8" s="5"/>
    </row>
    <row r="9" spans="1:10" ht="15.6" x14ac:dyDescent="0.25">
      <c r="H9" s="62" t="s">
        <v>9</v>
      </c>
      <c r="I9" s="4"/>
      <c r="J9" s="5"/>
    </row>
    <row r="10" spans="1:10" ht="15.6" x14ac:dyDescent="0.25">
      <c r="H10" s="62" t="s">
        <v>275</v>
      </c>
      <c r="I10" s="4"/>
      <c r="J10" s="5"/>
    </row>
    <row r="11" spans="1:10" ht="15.6" x14ac:dyDescent="0.3">
      <c r="H11" s="6" t="s">
        <v>431</v>
      </c>
      <c r="I11" s="7"/>
      <c r="J11" s="5"/>
    </row>
    <row r="12" spans="1:10" ht="15.6" x14ac:dyDescent="0.3">
      <c r="H12" s="6" t="s">
        <v>438</v>
      </c>
      <c r="I12" s="4"/>
      <c r="J12" s="5"/>
    </row>
    <row r="13" spans="1:10" ht="15.6" x14ac:dyDescent="0.25">
      <c r="H13" s="11" t="s">
        <v>463</v>
      </c>
      <c r="I13" s="63"/>
      <c r="J13" s="5"/>
    </row>
    <row r="14" spans="1:10" ht="15.6" x14ac:dyDescent="0.25">
      <c r="I14" s="11"/>
      <c r="J14" s="12"/>
    </row>
    <row r="15" spans="1:10" ht="15.6" x14ac:dyDescent="0.25">
      <c r="H15" s="11"/>
      <c r="I15" s="11"/>
      <c r="J15" s="12"/>
    </row>
    <row r="16" spans="1:10" ht="21" x14ac:dyDescent="0.4">
      <c r="A16" s="706" t="s">
        <v>274</v>
      </c>
      <c r="B16" s="707"/>
      <c r="C16" s="707"/>
      <c r="D16" s="707"/>
      <c r="E16" s="707"/>
      <c r="F16" s="707"/>
      <c r="G16" s="707"/>
      <c r="H16" s="707"/>
      <c r="I16" s="707"/>
      <c r="J16" s="707"/>
    </row>
    <row r="18" spans="1:10" ht="15.6" x14ac:dyDescent="0.3">
      <c r="A18" s="772">
        <v>1559100000</v>
      </c>
      <c r="B18" s="772"/>
    </row>
    <row r="19" spans="1:10" ht="16.2" thickBot="1" x14ac:dyDescent="0.35">
      <c r="A19" s="1" t="s">
        <v>0</v>
      </c>
      <c r="B19" s="1"/>
      <c r="J19" s="13" t="s">
        <v>10</v>
      </c>
    </row>
    <row r="20" spans="1:10" ht="15.6" x14ac:dyDescent="0.25">
      <c r="A20" s="773" t="s">
        <v>11</v>
      </c>
      <c r="B20" s="775" t="s">
        <v>12</v>
      </c>
      <c r="C20" s="775" t="s">
        <v>13</v>
      </c>
      <c r="D20" s="777" t="s">
        <v>14</v>
      </c>
      <c r="E20" s="769" t="s">
        <v>161</v>
      </c>
      <c r="F20" s="769" t="s">
        <v>162</v>
      </c>
      <c r="G20" s="711" t="s">
        <v>2</v>
      </c>
      <c r="H20" s="769" t="s">
        <v>3</v>
      </c>
      <c r="I20" s="769" t="s">
        <v>4</v>
      </c>
      <c r="J20" s="771"/>
    </row>
    <row r="21" spans="1:10" ht="106.5" customHeight="1" thickBot="1" x14ac:dyDescent="0.3">
      <c r="A21" s="774"/>
      <c r="B21" s="776"/>
      <c r="C21" s="776"/>
      <c r="D21" s="778"/>
      <c r="E21" s="770"/>
      <c r="F21" s="770"/>
      <c r="G21" s="713"/>
      <c r="H21" s="770"/>
      <c r="I21" s="672" t="s">
        <v>5</v>
      </c>
      <c r="J21" s="14" t="s">
        <v>6</v>
      </c>
    </row>
    <row r="22" spans="1:10" ht="16.2" thickBot="1" x14ac:dyDescent="0.3">
      <c r="A22" s="15">
        <v>1</v>
      </c>
      <c r="B22" s="16">
        <v>2</v>
      </c>
      <c r="C22" s="16">
        <v>3</v>
      </c>
      <c r="D22" s="129">
        <v>4</v>
      </c>
      <c r="E22" s="16">
        <v>5</v>
      </c>
      <c r="F22" s="16">
        <v>6</v>
      </c>
      <c r="G22" s="17">
        <v>7</v>
      </c>
      <c r="H22" s="16">
        <v>8</v>
      </c>
      <c r="I22" s="18">
        <v>9</v>
      </c>
      <c r="J22" s="19">
        <v>10</v>
      </c>
    </row>
    <row r="23" spans="1:10" ht="55.5" customHeight="1" thickBot="1" x14ac:dyDescent="0.3">
      <c r="A23" s="380" t="s">
        <v>16</v>
      </c>
      <c r="B23" s="20" t="s">
        <v>17</v>
      </c>
      <c r="C23" s="20" t="s">
        <v>17</v>
      </c>
      <c r="D23" s="130" t="s">
        <v>18</v>
      </c>
      <c r="E23" s="21" t="s">
        <v>17</v>
      </c>
      <c r="F23" s="21" t="s">
        <v>17</v>
      </c>
      <c r="G23" s="22">
        <f>H23+I23</f>
        <v>68221303</v>
      </c>
      <c r="H23" s="23">
        <f>H24</f>
        <v>51688399</v>
      </c>
      <c r="I23" s="23">
        <f>I24</f>
        <v>16532904</v>
      </c>
      <c r="J23" s="24">
        <f>J24</f>
        <v>16439400</v>
      </c>
    </row>
    <row r="24" spans="1:10" ht="48.6" customHeight="1" x14ac:dyDescent="0.25">
      <c r="A24" s="381" t="s">
        <v>19</v>
      </c>
      <c r="B24" s="40" t="s">
        <v>17</v>
      </c>
      <c r="C24" s="40" t="s">
        <v>17</v>
      </c>
      <c r="D24" s="56" t="s">
        <v>18</v>
      </c>
      <c r="E24" s="26" t="s">
        <v>17</v>
      </c>
      <c r="F24" s="26" t="s">
        <v>17</v>
      </c>
      <c r="G24" s="37">
        <f>H24+I24</f>
        <v>68221303</v>
      </c>
      <c r="H24" s="38">
        <f>H26+H25+H27+H28+H29+H30+H32+H33+H36+H34+H37+H39+H40</f>
        <v>51688399</v>
      </c>
      <c r="I24" s="38">
        <f>I26+I27+I28+I29+I30+I33+I34+I36+I35+I25+I37+I38+I31+I39+I40</f>
        <v>16532904</v>
      </c>
      <c r="J24" s="39">
        <f>J26+J27+J28+J29+J30+J33+J34+J36+J35+J25+J37+J38+J31+J39+J40</f>
        <v>16439400</v>
      </c>
    </row>
    <row r="25" spans="1:10" ht="93.6" customHeight="1" x14ac:dyDescent="0.25">
      <c r="A25" s="669" t="s">
        <v>368</v>
      </c>
      <c r="B25" s="668" t="s">
        <v>369</v>
      </c>
      <c r="C25" s="668" t="s">
        <v>20</v>
      </c>
      <c r="D25" s="53" t="s">
        <v>370</v>
      </c>
      <c r="E25" s="46" t="s">
        <v>543</v>
      </c>
      <c r="F25" s="376" t="s">
        <v>554</v>
      </c>
      <c r="G25" s="27">
        <f>H25+I25</f>
        <v>196176</v>
      </c>
      <c r="H25" s="28">
        <v>196176</v>
      </c>
      <c r="I25" s="31">
        <v>0</v>
      </c>
      <c r="J25" s="32">
        <v>0</v>
      </c>
    </row>
    <row r="26" spans="1:10" ht="73.95" customHeight="1" x14ac:dyDescent="0.25">
      <c r="A26" s="669" t="s">
        <v>21</v>
      </c>
      <c r="B26" s="244" t="s">
        <v>22</v>
      </c>
      <c r="C26" s="244" t="s">
        <v>23</v>
      </c>
      <c r="D26" s="57" t="s">
        <v>24</v>
      </c>
      <c r="E26" s="147" t="s">
        <v>277</v>
      </c>
      <c r="F26" s="376" t="s">
        <v>569</v>
      </c>
      <c r="G26" s="8">
        <f>H26+I26</f>
        <v>14393424</v>
      </c>
      <c r="H26" s="31">
        <v>6952624</v>
      </c>
      <c r="I26" s="31">
        <v>7440800</v>
      </c>
      <c r="J26" s="32">
        <v>7440800</v>
      </c>
    </row>
    <row r="27" spans="1:10" ht="102.75" customHeight="1" x14ac:dyDescent="0.25">
      <c r="A27" s="669" t="s">
        <v>21</v>
      </c>
      <c r="B27" s="244" t="s">
        <v>22</v>
      </c>
      <c r="C27" s="244" t="s">
        <v>23</v>
      </c>
      <c r="D27" s="57" t="s">
        <v>24</v>
      </c>
      <c r="E27" s="147" t="s">
        <v>276</v>
      </c>
      <c r="F27" s="147" t="s">
        <v>278</v>
      </c>
      <c r="G27" s="8">
        <f>H27+I27</f>
        <v>17268740</v>
      </c>
      <c r="H27" s="31">
        <v>17268740</v>
      </c>
      <c r="I27" s="31">
        <v>0</v>
      </c>
      <c r="J27" s="32">
        <v>0</v>
      </c>
    </row>
    <row r="28" spans="1:10" ht="81" customHeight="1" x14ac:dyDescent="0.25">
      <c r="A28" s="669" t="s">
        <v>25</v>
      </c>
      <c r="B28" s="244" t="s">
        <v>26</v>
      </c>
      <c r="C28" s="244" t="s">
        <v>27</v>
      </c>
      <c r="D28" s="57" t="s">
        <v>28</v>
      </c>
      <c r="E28" s="30" t="s">
        <v>163</v>
      </c>
      <c r="F28" s="377" t="s">
        <v>563</v>
      </c>
      <c r="G28" s="8">
        <f t="shared" ref="G28:G40" si="0">H28+I28</f>
        <v>2254549</v>
      </c>
      <c r="H28" s="31">
        <v>1950549</v>
      </c>
      <c r="I28" s="31">
        <v>304000</v>
      </c>
      <c r="J28" s="32">
        <v>304000</v>
      </c>
    </row>
    <row r="29" spans="1:10" ht="72.75" customHeight="1" x14ac:dyDescent="0.25">
      <c r="A29" s="74" t="s">
        <v>32</v>
      </c>
      <c r="B29" s="45" t="s">
        <v>33</v>
      </c>
      <c r="C29" s="45" t="s">
        <v>34</v>
      </c>
      <c r="D29" s="46" t="s">
        <v>35</v>
      </c>
      <c r="E29" s="46" t="s">
        <v>279</v>
      </c>
      <c r="F29" s="372" t="s">
        <v>281</v>
      </c>
      <c r="G29" s="27">
        <f t="shared" si="0"/>
        <v>235745</v>
      </c>
      <c r="H29" s="28">
        <v>235745</v>
      </c>
      <c r="I29" s="28">
        <v>0</v>
      </c>
      <c r="J29" s="29">
        <v>0</v>
      </c>
    </row>
    <row r="30" spans="1:10" ht="63.6" hidden="1" customHeight="1" x14ac:dyDescent="0.25">
      <c r="A30" s="74" t="s">
        <v>32</v>
      </c>
      <c r="B30" s="45" t="s">
        <v>33</v>
      </c>
      <c r="C30" s="45" t="s">
        <v>34</v>
      </c>
      <c r="D30" s="60" t="s">
        <v>35</v>
      </c>
      <c r="E30" s="46"/>
      <c r="F30" s="46"/>
      <c r="G30" s="8">
        <f t="shared" si="0"/>
        <v>0</v>
      </c>
      <c r="H30" s="28"/>
      <c r="I30" s="28">
        <v>0</v>
      </c>
      <c r="J30" s="29">
        <v>0</v>
      </c>
    </row>
    <row r="31" spans="1:10" ht="153" customHeight="1" x14ac:dyDescent="0.25">
      <c r="A31" s="490" t="s">
        <v>518</v>
      </c>
      <c r="B31" s="300" t="s">
        <v>519</v>
      </c>
      <c r="C31" s="300" t="s">
        <v>373</v>
      </c>
      <c r="D31" s="301" t="s">
        <v>520</v>
      </c>
      <c r="E31" s="46" t="s">
        <v>185</v>
      </c>
      <c r="F31" s="392" t="s">
        <v>613</v>
      </c>
      <c r="G31" s="8">
        <f t="shared" ref="G31" si="1">H31+I31</f>
        <v>93504</v>
      </c>
      <c r="H31" s="31">
        <v>0</v>
      </c>
      <c r="I31" s="31">
        <v>93504</v>
      </c>
      <c r="J31" s="32">
        <v>0</v>
      </c>
    </row>
    <row r="32" spans="1:10" ht="80.25" customHeight="1" x14ac:dyDescent="0.25">
      <c r="A32" s="382" t="s">
        <v>483</v>
      </c>
      <c r="B32" s="75">
        <v>8110</v>
      </c>
      <c r="C32" s="313" t="s">
        <v>484</v>
      </c>
      <c r="D32" s="304" t="s">
        <v>485</v>
      </c>
      <c r="E32" s="46" t="s">
        <v>544</v>
      </c>
      <c r="F32" s="376" t="s">
        <v>586</v>
      </c>
      <c r="G32" s="8">
        <f t="shared" si="0"/>
        <v>79145</v>
      </c>
      <c r="H32" s="28">
        <f>7200+71945</f>
        <v>79145</v>
      </c>
      <c r="I32" s="31">
        <v>0</v>
      </c>
      <c r="J32" s="32">
        <v>0</v>
      </c>
    </row>
    <row r="33" spans="1:10" ht="80.400000000000006" customHeight="1" x14ac:dyDescent="0.25">
      <c r="A33" s="669" t="s">
        <v>36</v>
      </c>
      <c r="B33" s="244" t="s">
        <v>37</v>
      </c>
      <c r="C33" s="244" t="s">
        <v>38</v>
      </c>
      <c r="D33" s="57" t="s">
        <v>39</v>
      </c>
      <c r="E33" s="30" t="s">
        <v>164</v>
      </c>
      <c r="F33" s="53" t="s">
        <v>591</v>
      </c>
      <c r="G33" s="8">
        <f t="shared" si="0"/>
        <v>12000</v>
      </c>
      <c r="H33" s="31">
        <f>99500-87500</f>
        <v>12000</v>
      </c>
      <c r="I33" s="31">
        <v>0</v>
      </c>
      <c r="J33" s="32">
        <v>0</v>
      </c>
    </row>
    <row r="34" spans="1:10" ht="78" customHeight="1" x14ac:dyDescent="0.25">
      <c r="A34" s="383" t="s">
        <v>183</v>
      </c>
      <c r="B34" s="671">
        <v>8230</v>
      </c>
      <c r="C34" s="244" t="s">
        <v>38</v>
      </c>
      <c r="D34" s="58" t="s">
        <v>184</v>
      </c>
      <c r="E34" s="148" t="s">
        <v>280</v>
      </c>
      <c r="F34" s="53" t="s">
        <v>550</v>
      </c>
      <c r="G34" s="8">
        <f t="shared" si="0"/>
        <v>17315214</v>
      </c>
      <c r="H34" s="54">
        <v>17315214</v>
      </c>
      <c r="I34" s="31">
        <v>0</v>
      </c>
      <c r="J34" s="32">
        <v>0</v>
      </c>
    </row>
    <row r="35" spans="1:10" ht="127.2" customHeight="1" x14ac:dyDescent="0.25">
      <c r="A35" s="384" t="s">
        <v>492</v>
      </c>
      <c r="B35" s="309" t="s">
        <v>493</v>
      </c>
      <c r="C35" s="309" t="s">
        <v>38</v>
      </c>
      <c r="D35" s="349" t="s">
        <v>182</v>
      </c>
      <c r="E35" s="346" t="s">
        <v>546</v>
      </c>
      <c r="F35" s="392" t="s">
        <v>613</v>
      </c>
      <c r="G35" s="8">
        <f t="shared" si="0"/>
        <v>755000</v>
      </c>
      <c r="H35" s="31">
        <v>0</v>
      </c>
      <c r="I35" s="35">
        <v>755000</v>
      </c>
      <c r="J35" s="350">
        <v>755000</v>
      </c>
    </row>
    <row r="36" spans="1:10" ht="135" customHeight="1" x14ac:dyDescent="0.25">
      <c r="A36" s="385" t="s">
        <v>40</v>
      </c>
      <c r="B36" s="9" t="s">
        <v>41</v>
      </c>
      <c r="C36" s="9" t="s">
        <v>42</v>
      </c>
      <c r="D36" s="131" t="s">
        <v>43</v>
      </c>
      <c r="E36" s="33" t="s">
        <v>165</v>
      </c>
      <c r="F36" s="97" t="s">
        <v>564</v>
      </c>
      <c r="G36" s="34">
        <f t="shared" si="0"/>
        <v>3002306</v>
      </c>
      <c r="H36" s="35">
        <v>3002306</v>
      </c>
      <c r="I36" s="35">
        <v>0</v>
      </c>
      <c r="J36" s="36">
        <v>0</v>
      </c>
    </row>
    <row r="37" spans="1:10" ht="82.5" customHeight="1" x14ac:dyDescent="0.25">
      <c r="A37" s="490" t="s">
        <v>486</v>
      </c>
      <c r="B37" s="671">
        <v>9800</v>
      </c>
      <c r="C37" s="303" t="s">
        <v>424</v>
      </c>
      <c r="D37" s="305" t="s">
        <v>487</v>
      </c>
      <c r="E37" s="33" t="s">
        <v>545</v>
      </c>
      <c r="F37" s="376" t="s">
        <v>568</v>
      </c>
      <c r="G37" s="34">
        <f t="shared" si="0"/>
        <v>1000000</v>
      </c>
      <c r="H37" s="35">
        <v>1000000</v>
      </c>
      <c r="I37" s="35">
        <v>0</v>
      </c>
      <c r="J37" s="36">
        <v>0</v>
      </c>
    </row>
    <row r="38" spans="1:10" ht="82.5" customHeight="1" x14ac:dyDescent="0.25">
      <c r="A38" s="490" t="s">
        <v>486</v>
      </c>
      <c r="B38" s="671">
        <v>9800</v>
      </c>
      <c r="C38" s="303" t="s">
        <v>424</v>
      </c>
      <c r="D38" s="305" t="s">
        <v>487</v>
      </c>
      <c r="E38" s="348" t="s">
        <v>551</v>
      </c>
      <c r="F38" s="378" t="s">
        <v>553</v>
      </c>
      <c r="G38" s="34">
        <f t="shared" si="0"/>
        <v>900000</v>
      </c>
      <c r="H38" s="35">
        <v>0</v>
      </c>
      <c r="I38" s="35">
        <v>900000</v>
      </c>
      <c r="J38" s="36">
        <v>900000</v>
      </c>
    </row>
    <row r="39" spans="1:10" ht="121.2" customHeight="1" x14ac:dyDescent="0.25">
      <c r="A39" s="384" t="s">
        <v>486</v>
      </c>
      <c r="B39" s="391">
        <v>9800</v>
      </c>
      <c r="C39" s="390" t="s">
        <v>424</v>
      </c>
      <c r="D39" s="355" t="s">
        <v>487</v>
      </c>
      <c r="E39" s="33" t="s">
        <v>185</v>
      </c>
      <c r="F39" s="392" t="s">
        <v>613</v>
      </c>
      <c r="G39" s="34">
        <f t="shared" si="0"/>
        <v>10400000</v>
      </c>
      <c r="H39" s="35">
        <f>8400000-6950000+2000000</f>
        <v>3450000</v>
      </c>
      <c r="I39" s="35">
        <v>6950000</v>
      </c>
      <c r="J39" s="36">
        <f>I39</f>
        <v>6950000</v>
      </c>
    </row>
    <row r="40" spans="1:10" s="667" customFormat="1" ht="103.95" customHeight="1" thickBot="1" x14ac:dyDescent="0.3">
      <c r="A40" s="490" t="s">
        <v>486</v>
      </c>
      <c r="B40" s="671">
        <v>9800</v>
      </c>
      <c r="C40" s="303" t="s">
        <v>424</v>
      </c>
      <c r="D40" s="663" t="s">
        <v>487</v>
      </c>
      <c r="E40" s="299" t="s">
        <v>614</v>
      </c>
      <c r="F40" s="53" t="s">
        <v>615</v>
      </c>
      <c r="G40" s="8">
        <f t="shared" si="0"/>
        <v>315500</v>
      </c>
      <c r="H40" s="664">
        <v>225900</v>
      </c>
      <c r="I40" s="665">
        <v>89600</v>
      </c>
      <c r="J40" s="666">
        <f>I40</f>
        <v>89600</v>
      </c>
    </row>
    <row r="41" spans="1:10" ht="57.6" customHeight="1" thickBot="1" x14ac:dyDescent="0.3">
      <c r="A41" s="380" t="s">
        <v>44</v>
      </c>
      <c r="B41" s="20" t="s">
        <v>17</v>
      </c>
      <c r="C41" s="20" t="s">
        <v>17</v>
      </c>
      <c r="D41" s="130" t="s">
        <v>45</v>
      </c>
      <c r="E41" s="21" t="s">
        <v>17</v>
      </c>
      <c r="F41" s="21" t="s">
        <v>17</v>
      </c>
      <c r="G41" s="22">
        <f t="shared" ref="G41:G82" si="2">H41+I41</f>
        <v>11028786</v>
      </c>
      <c r="H41" s="23">
        <f>H42</f>
        <v>10637191</v>
      </c>
      <c r="I41" s="23">
        <f>I42</f>
        <v>391595</v>
      </c>
      <c r="J41" s="24">
        <f>J42</f>
        <v>391595</v>
      </c>
    </row>
    <row r="42" spans="1:10" ht="52.2" customHeight="1" x14ac:dyDescent="0.25">
      <c r="A42" s="386" t="s">
        <v>46</v>
      </c>
      <c r="B42" s="25" t="s">
        <v>17</v>
      </c>
      <c r="C42" s="25" t="s">
        <v>17</v>
      </c>
      <c r="D42" s="56" t="s">
        <v>45</v>
      </c>
      <c r="E42" s="26" t="s">
        <v>17</v>
      </c>
      <c r="F42" s="26" t="s">
        <v>17</v>
      </c>
      <c r="G42" s="37">
        <f>H42+I42</f>
        <v>11028786</v>
      </c>
      <c r="H42" s="38">
        <f>H43+H44+H45+H46+H47+H48+H49+H50</f>
        <v>10637191</v>
      </c>
      <c r="I42" s="38">
        <f>I43+I44+I45+I46+I47+I48+I49+I50</f>
        <v>391595</v>
      </c>
      <c r="J42" s="39">
        <f>J43+J44+J45+J46+J47+J48+J49+J50</f>
        <v>391595</v>
      </c>
    </row>
    <row r="43" spans="1:10" ht="93" customHeight="1" x14ac:dyDescent="0.25">
      <c r="A43" s="669" t="s">
        <v>48</v>
      </c>
      <c r="B43" s="244" t="s">
        <v>49</v>
      </c>
      <c r="C43" s="244" t="s">
        <v>50</v>
      </c>
      <c r="D43" s="57" t="s">
        <v>51</v>
      </c>
      <c r="E43" s="30" t="s">
        <v>166</v>
      </c>
      <c r="F43" s="378" t="s">
        <v>587</v>
      </c>
      <c r="G43" s="8">
        <f t="shared" ref="G43:G50" si="3">H43+I43</f>
        <v>267608</v>
      </c>
      <c r="H43" s="31">
        <f>208488+10709+48411</f>
        <v>267608</v>
      </c>
      <c r="I43" s="31">
        <v>0</v>
      </c>
      <c r="J43" s="32">
        <v>0</v>
      </c>
    </row>
    <row r="44" spans="1:10" ht="91.95" customHeight="1" x14ac:dyDescent="0.25">
      <c r="A44" s="669" t="s">
        <v>52</v>
      </c>
      <c r="B44" s="244" t="s">
        <v>53</v>
      </c>
      <c r="C44" s="244" t="s">
        <v>54</v>
      </c>
      <c r="D44" s="57" t="s">
        <v>464</v>
      </c>
      <c r="E44" s="30" t="s">
        <v>166</v>
      </c>
      <c r="F44" s="378" t="s">
        <v>587</v>
      </c>
      <c r="G44" s="8">
        <f t="shared" si="3"/>
        <v>10299916</v>
      </c>
      <c r="H44" s="31">
        <f>4118423+108930+1434318+2980000+1314500</f>
        <v>9956171</v>
      </c>
      <c r="I44" s="31">
        <f>J44</f>
        <v>343745</v>
      </c>
      <c r="J44" s="32">
        <f>168195+175550</f>
        <v>343745</v>
      </c>
    </row>
    <row r="45" spans="1:10" ht="82.95" customHeight="1" x14ac:dyDescent="0.25">
      <c r="A45" s="669" t="s">
        <v>55</v>
      </c>
      <c r="B45" s="244" t="s">
        <v>56</v>
      </c>
      <c r="C45" s="244" t="s">
        <v>57</v>
      </c>
      <c r="D45" s="57" t="s">
        <v>58</v>
      </c>
      <c r="E45" s="30" t="s">
        <v>166</v>
      </c>
      <c r="F45" s="378" t="s">
        <v>587</v>
      </c>
      <c r="G45" s="8">
        <f t="shared" si="3"/>
        <v>24467</v>
      </c>
      <c r="H45" s="31">
        <v>24467</v>
      </c>
      <c r="I45" s="31">
        <v>0</v>
      </c>
      <c r="J45" s="32">
        <v>0</v>
      </c>
    </row>
    <row r="46" spans="1:10" ht="90" customHeight="1" x14ac:dyDescent="0.25">
      <c r="A46" s="669" t="s">
        <v>60</v>
      </c>
      <c r="B46" s="244" t="s">
        <v>61</v>
      </c>
      <c r="C46" s="244" t="s">
        <v>59</v>
      </c>
      <c r="D46" s="57" t="s">
        <v>62</v>
      </c>
      <c r="E46" s="30" t="s">
        <v>166</v>
      </c>
      <c r="F46" s="378" t="s">
        <v>587</v>
      </c>
      <c r="G46" s="8">
        <f t="shared" si="3"/>
        <v>18100</v>
      </c>
      <c r="H46" s="31">
        <v>18100</v>
      </c>
      <c r="I46" s="31">
        <v>0</v>
      </c>
      <c r="J46" s="32">
        <v>0</v>
      </c>
    </row>
    <row r="47" spans="1:10" ht="91.2" customHeight="1" x14ac:dyDescent="0.25">
      <c r="A47" s="669" t="s">
        <v>63</v>
      </c>
      <c r="B47" s="244" t="s">
        <v>64</v>
      </c>
      <c r="C47" s="244" t="s">
        <v>59</v>
      </c>
      <c r="D47" s="57" t="s">
        <v>65</v>
      </c>
      <c r="E47" s="30" t="s">
        <v>166</v>
      </c>
      <c r="F47" s="378" t="s">
        <v>587</v>
      </c>
      <c r="G47" s="8">
        <f t="shared" si="3"/>
        <v>3458</v>
      </c>
      <c r="H47" s="31">
        <v>3458</v>
      </c>
      <c r="I47" s="31">
        <v>0</v>
      </c>
      <c r="J47" s="32">
        <v>0</v>
      </c>
    </row>
    <row r="48" spans="1:10" ht="80.400000000000006" customHeight="1" x14ac:dyDescent="0.25">
      <c r="A48" s="669" t="s">
        <v>66</v>
      </c>
      <c r="B48" s="244" t="s">
        <v>67</v>
      </c>
      <c r="C48" s="244" t="s">
        <v>59</v>
      </c>
      <c r="D48" s="57" t="s">
        <v>68</v>
      </c>
      <c r="E48" s="30" t="s">
        <v>167</v>
      </c>
      <c r="F48" s="378" t="s">
        <v>587</v>
      </c>
      <c r="G48" s="8">
        <f t="shared" si="3"/>
        <v>10005</v>
      </c>
      <c r="H48" s="31">
        <v>10005</v>
      </c>
      <c r="I48" s="31">
        <v>0</v>
      </c>
      <c r="J48" s="32">
        <v>0</v>
      </c>
    </row>
    <row r="49" spans="1:10" ht="94.95" customHeight="1" x14ac:dyDescent="0.25">
      <c r="A49" s="669" t="s">
        <v>69</v>
      </c>
      <c r="B49" s="244" t="s">
        <v>70</v>
      </c>
      <c r="C49" s="244" t="s">
        <v>71</v>
      </c>
      <c r="D49" s="57" t="s">
        <v>72</v>
      </c>
      <c r="E49" s="30" t="s">
        <v>168</v>
      </c>
      <c r="F49" s="53" t="s">
        <v>181</v>
      </c>
      <c r="G49" s="8">
        <f t="shared" si="3"/>
        <v>357382</v>
      </c>
      <c r="H49" s="31">
        <v>357382</v>
      </c>
      <c r="I49" s="31">
        <v>0</v>
      </c>
      <c r="J49" s="32">
        <v>0</v>
      </c>
    </row>
    <row r="50" spans="1:10" ht="88.95" customHeight="1" thickBot="1" x14ac:dyDescent="0.3">
      <c r="A50" s="382" t="s">
        <v>498</v>
      </c>
      <c r="B50" s="361" t="s">
        <v>499</v>
      </c>
      <c r="C50" s="313" t="s">
        <v>484</v>
      </c>
      <c r="D50" s="373" t="s">
        <v>485</v>
      </c>
      <c r="E50" s="61" t="s">
        <v>547</v>
      </c>
      <c r="F50" s="376" t="s">
        <v>586</v>
      </c>
      <c r="G50" s="374">
        <f t="shared" si="3"/>
        <v>47850</v>
      </c>
      <c r="H50" s="28">
        <f>423000-423000</f>
        <v>0</v>
      </c>
      <c r="I50" s="28">
        <v>47850</v>
      </c>
      <c r="J50" s="29">
        <v>47850</v>
      </c>
    </row>
    <row r="51" spans="1:10" ht="58.2" customHeight="1" thickBot="1" x14ac:dyDescent="0.3">
      <c r="A51" s="380" t="s">
        <v>73</v>
      </c>
      <c r="B51" s="20" t="s">
        <v>17</v>
      </c>
      <c r="C51" s="20" t="s">
        <v>17</v>
      </c>
      <c r="D51" s="130" t="s">
        <v>74</v>
      </c>
      <c r="E51" s="21" t="s">
        <v>17</v>
      </c>
      <c r="F51" s="21" t="s">
        <v>17</v>
      </c>
      <c r="G51" s="22">
        <f t="shared" si="2"/>
        <v>12225450</v>
      </c>
      <c r="H51" s="23">
        <f>H52</f>
        <v>12225450</v>
      </c>
      <c r="I51" s="23">
        <f>I52</f>
        <v>0</v>
      </c>
      <c r="J51" s="24">
        <f>J52</f>
        <v>0</v>
      </c>
    </row>
    <row r="52" spans="1:10" ht="60" customHeight="1" x14ac:dyDescent="0.25">
      <c r="A52" s="386" t="s">
        <v>75</v>
      </c>
      <c r="B52" s="25" t="s">
        <v>17</v>
      </c>
      <c r="C52" s="25" t="s">
        <v>17</v>
      </c>
      <c r="D52" s="56" t="s">
        <v>74</v>
      </c>
      <c r="E52" s="26" t="s">
        <v>17</v>
      </c>
      <c r="F52" s="26" t="s">
        <v>17</v>
      </c>
      <c r="G52" s="37">
        <f t="shared" si="2"/>
        <v>12225450</v>
      </c>
      <c r="H52" s="38">
        <f>H53+H54+H55</f>
        <v>12225450</v>
      </c>
      <c r="I52" s="38">
        <f>I53+I54+I55</f>
        <v>0</v>
      </c>
      <c r="J52" s="39">
        <f>J53+J54+J55</f>
        <v>0</v>
      </c>
    </row>
    <row r="53" spans="1:10" ht="115.2" customHeight="1" x14ac:dyDescent="0.25">
      <c r="A53" s="669" t="s">
        <v>76</v>
      </c>
      <c r="B53" s="244" t="s">
        <v>77</v>
      </c>
      <c r="C53" s="244" t="s">
        <v>78</v>
      </c>
      <c r="D53" s="57" t="s">
        <v>79</v>
      </c>
      <c r="E53" s="30" t="s">
        <v>169</v>
      </c>
      <c r="F53" s="30" t="s">
        <v>170</v>
      </c>
      <c r="G53" s="8">
        <f t="shared" si="2"/>
        <v>15000</v>
      </c>
      <c r="H53" s="31">
        <v>15000</v>
      </c>
      <c r="I53" s="31">
        <v>0</v>
      </c>
      <c r="J53" s="32">
        <v>0</v>
      </c>
    </row>
    <row r="54" spans="1:10" ht="120" customHeight="1" x14ac:dyDescent="0.25">
      <c r="A54" s="669" t="s">
        <v>80</v>
      </c>
      <c r="B54" s="244" t="s">
        <v>81</v>
      </c>
      <c r="C54" s="244" t="s">
        <v>56</v>
      </c>
      <c r="D54" s="57" t="s">
        <v>82</v>
      </c>
      <c r="E54" s="30" t="s">
        <v>169</v>
      </c>
      <c r="F54" s="30" t="s">
        <v>170</v>
      </c>
      <c r="G54" s="8">
        <f t="shared" si="2"/>
        <v>18450</v>
      </c>
      <c r="H54" s="31">
        <v>18450</v>
      </c>
      <c r="I54" s="31">
        <v>0</v>
      </c>
      <c r="J54" s="32">
        <v>0</v>
      </c>
    </row>
    <row r="55" spans="1:10" ht="83.4" customHeight="1" thickBot="1" x14ac:dyDescent="0.3">
      <c r="A55" s="385" t="s">
        <v>84</v>
      </c>
      <c r="B55" s="9" t="s">
        <v>85</v>
      </c>
      <c r="C55" s="9" t="s">
        <v>83</v>
      </c>
      <c r="D55" s="131" t="s">
        <v>86</v>
      </c>
      <c r="E55" s="33" t="s">
        <v>172</v>
      </c>
      <c r="F55" s="379" t="s">
        <v>588</v>
      </c>
      <c r="G55" s="34">
        <f t="shared" si="2"/>
        <v>12192000</v>
      </c>
      <c r="H55" s="35">
        <f>11199600+92400+900000</f>
        <v>12192000</v>
      </c>
      <c r="I55" s="35">
        <v>0</v>
      </c>
      <c r="J55" s="36">
        <v>0</v>
      </c>
    </row>
    <row r="56" spans="1:10" ht="55.5" customHeight="1" thickBot="1" x14ac:dyDescent="0.3">
      <c r="A56" s="380" t="s">
        <v>87</v>
      </c>
      <c r="B56" s="20" t="s">
        <v>17</v>
      </c>
      <c r="C56" s="20" t="s">
        <v>17</v>
      </c>
      <c r="D56" s="130" t="s">
        <v>88</v>
      </c>
      <c r="E56" s="21" t="s">
        <v>17</v>
      </c>
      <c r="F56" s="21" t="s">
        <v>17</v>
      </c>
      <c r="G56" s="22">
        <f t="shared" si="2"/>
        <v>36000</v>
      </c>
      <c r="H56" s="23">
        <f t="shared" ref="H56:J57" si="4">H57</f>
        <v>36000</v>
      </c>
      <c r="I56" s="23">
        <f t="shared" si="4"/>
        <v>0</v>
      </c>
      <c r="J56" s="24">
        <f t="shared" si="4"/>
        <v>0</v>
      </c>
    </row>
    <row r="57" spans="1:10" ht="52.95" customHeight="1" x14ac:dyDescent="0.25">
      <c r="A57" s="381" t="s">
        <v>89</v>
      </c>
      <c r="B57" s="40" t="s">
        <v>17</v>
      </c>
      <c r="C57" s="40" t="s">
        <v>17</v>
      </c>
      <c r="D57" s="132" t="s">
        <v>88</v>
      </c>
      <c r="E57" s="41" t="s">
        <v>17</v>
      </c>
      <c r="F57" s="41" t="s">
        <v>17</v>
      </c>
      <c r="G57" s="42">
        <f>H57+I57</f>
        <v>36000</v>
      </c>
      <c r="H57" s="43">
        <f t="shared" si="4"/>
        <v>36000</v>
      </c>
      <c r="I57" s="43">
        <f t="shared" si="4"/>
        <v>0</v>
      </c>
      <c r="J57" s="44">
        <f t="shared" si="4"/>
        <v>0</v>
      </c>
    </row>
    <row r="58" spans="1:10" ht="76.5" customHeight="1" thickBot="1" x14ac:dyDescent="0.3">
      <c r="A58" s="670" t="s">
        <v>90</v>
      </c>
      <c r="B58" s="672" t="s">
        <v>91</v>
      </c>
      <c r="C58" s="672" t="s">
        <v>71</v>
      </c>
      <c r="D58" s="266" t="s">
        <v>92</v>
      </c>
      <c r="E58" s="267" t="s">
        <v>173</v>
      </c>
      <c r="F58" s="267" t="s">
        <v>552</v>
      </c>
      <c r="G58" s="268">
        <f>H58</f>
        <v>36000</v>
      </c>
      <c r="H58" s="269">
        <v>36000</v>
      </c>
      <c r="I58" s="269">
        <v>0</v>
      </c>
      <c r="J58" s="270">
        <v>0</v>
      </c>
    </row>
    <row r="59" spans="1:10" ht="73.2" customHeight="1" thickBot="1" x14ac:dyDescent="0.3">
      <c r="A59" s="380" t="s">
        <v>93</v>
      </c>
      <c r="B59" s="20" t="s">
        <v>17</v>
      </c>
      <c r="C59" s="20" t="s">
        <v>17</v>
      </c>
      <c r="D59" s="130" t="s">
        <v>94</v>
      </c>
      <c r="E59" s="21" t="s">
        <v>17</v>
      </c>
      <c r="F59" s="21" t="s">
        <v>17</v>
      </c>
      <c r="G59" s="22">
        <f t="shared" si="2"/>
        <v>33404654</v>
      </c>
      <c r="H59" s="23">
        <f>H60</f>
        <v>33404654</v>
      </c>
      <c r="I59" s="23">
        <f>I60</f>
        <v>0</v>
      </c>
      <c r="J59" s="24">
        <f>J60</f>
        <v>0</v>
      </c>
    </row>
    <row r="60" spans="1:10" ht="72" customHeight="1" x14ac:dyDescent="0.25">
      <c r="A60" s="386" t="s">
        <v>95</v>
      </c>
      <c r="B60" s="25" t="s">
        <v>17</v>
      </c>
      <c r="C60" s="25" t="s">
        <v>17</v>
      </c>
      <c r="D60" s="56" t="s">
        <v>94</v>
      </c>
      <c r="E60" s="26" t="s">
        <v>17</v>
      </c>
      <c r="F60" s="26" t="s">
        <v>17</v>
      </c>
      <c r="G60" s="38">
        <f>G61+G62+G63+G64+G65+G66+G67+G68+G70+G71+G69+G72+G73</f>
        <v>33404654</v>
      </c>
      <c r="H60" s="38">
        <f>H61+H62+H63+H64+H65+H66+H67+H68+H70+H71+H69+H72+H73</f>
        <v>33404654</v>
      </c>
      <c r="I60" s="38">
        <f>I61+I62+I63+I64+I65+I66+I67+I68+I70+I71+I69</f>
        <v>0</v>
      </c>
      <c r="J60" s="39">
        <f>J61+J62+J63+J64+J65+J66+J67+J68+J70+J71+J69</f>
        <v>0</v>
      </c>
    </row>
    <row r="61" spans="1:10" ht="62.4" x14ac:dyDescent="0.25">
      <c r="A61" s="669" t="s">
        <v>96</v>
      </c>
      <c r="B61" s="244" t="s">
        <v>97</v>
      </c>
      <c r="C61" s="244" t="s">
        <v>57</v>
      </c>
      <c r="D61" s="57" t="s">
        <v>98</v>
      </c>
      <c r="E61" s="30" t="s">
        <v>174</v>
      </c>
      <c r="F61" s="30" t="s">
        <v>565</v>
      </c>
      <c r="G61" s="8">
        <f t="shared" si="2"/>
        <v>23912</v>
      </c>
      <c r="H61" s="31">
        <v>23912</v>
      </c>
      <c r="I61" s="31">
        <v>0</v>
      </c>
      <c r="J61" s="32">
        <v>0</v>
      </c>
    </row>
    <row r="62" spans="1:10" ht="62.4" x14ac:dyDescent="0.25">
      <c r="A62" s="669" t="s">
        <v>99</v>
      </c>
      <c r="B62" s="244" t="s">
        <v>100</v>
      </c>
      <c r="C62" s="244" t="s">
        <v>71</v>
      </c>
      <c r="D62" s="57" t="s">
        <v>101</v>
      </c>
      <c r="E62" s="30" t="s">
        <v>171</v>
      </c>
      <c r="F62" s="377" t="s">
        <v>566</v>
      </c>
      <c r="G62" s="8">
        <f t="shared" si="2"/>
        <v>140000</v>
      </c>
      <c r="H62" s="31">
        <f>33600+106400</f>
        <v>140000</v>
      </c>
      <c r="I62" s="31">
        <v>0</v>
      </c>
      <c r="J62" s="32">
        <v>0</v>
      </c>
    </row>
    <row r="63" spans="1:10" ht="67.5" customHeight="1" x14ac:dyDescent="0.25">
      <c r="A63" s="669" t="s">
        <v>102</v>
      </c>
      <c r="B63" s="244" t="s">
        <v>103</v>
      </c>
      <c r="C63" s="244" t="s">
        <v>104</v>
      </c>
      <c r="D63" s="57" t="s">
        <v>105</v>
      </c>
      <c r="E63" s="30" t="s">
        <v>174</v>
      </c>
      <c r="F63" s="30" t="s">
        <v>565</v>
      </c>
      <c r="G63" s="8">
        <f t="shared" si="2"/>
        <v>11224</v>
      </c>
      <c r="H63" s="31">
        <v>11224</v>
      </c>
      <c r="I63" s="31">
        <v>0</v>
      </c>
      <c r="J63" s="32">
        <v>0</v>
      </c>
    </row>
    <row r="64" spans="1:10" ht="69" customHeight="1" x14ac:dyDescent="0.25">
      <c r="A64" s="669" t="s">
        <v>106</v>
      </c>
      <c r="B64" s="244" t="s">
        <v>107</v>
      </c>
      <c r="C64" s="244" t="s">
        <v>104</v>
      </c>
      <c r="D64" s="57" t="s">
        <v>108</v>
      </c>
      <c r="E64" s="30" t="s">
        <v>174</v>
      </c>
      <c r="F64" s="30" t="s">
        <v>565</v>
      </c>
      <c r="G64" s="8">
        <f t="shared" si="2"/>
        <v>1100</v>
      </c>
      <c r="H64" s="31">
        <v>1100</v>
      </c>
      <c r="I64" s="31">
        <v>0</v>
      </c>
      <c r="J64" s="32">
        <v>0</v>
      </c>
    </row>
    <row r="65" spans="1:10" ht="71.25" customHeight="1" x14ac:dyDescent="0.25">
      <c r="A65" s="669" t="s">
        <v>109</v>
      </c>
      <c r="B65" s="244" t="s">
        <v>110</v>
      </c>
      <c r="C65" s="244" t="s">
        <v>111</v>
      </c>
      <c r="D65" s="57" t="s">
        <v>112</v>
      </c>
      <c r="E65" s="30" t="s">
        <v>174</v>
      </c>
      <c r="F65" s="30" t="s">
        <v>565</v>
      </c>
      <c r="G65" s="8">
        <f t="shared" si="2"/>
        <v>23780</v>
      </c>
      <c r="H65" s="31">
        <v>23780</v>
      </c>
      <c r="I65" s="31">
        <v>0</v>
      </c>
      <c r="J65" s="32">
        <v>0</v>
      </c>
    </row>
    <row r="66" spans="1:10" ht="69" customHeight="1" x14ac:dyDescent="0.25">
      <c r="A66" s="669" t="s">
        <v>114</v>
      </c>
      <c r="B66" s="244" t="s">
        <v>115</v>
      </c>
      <c r="C66" s="244" t="s">
        <v>113</v>
      </c>
      <c r="D66" s="57" t="s">
        <v>116</v>
      </c>
      <c r="E66" s="30" t="s">
        <v>174</v>
      </c>
      <c r="F66" s="30" t="s">
        <v>565</v>
      </c>
      <c r="G66" s="8">
        <f t="shared" si="2"/>
        <v>170000</v>
      </c>
      <c r="H66" s="31">
        <f>75200+94800</f>
        <v>170000</v>
      </c>
      <c r="I66" s="31">
        <v>0</v>
      </c>
      <c r="J66" s="32">
        <v>0</v>
      </c>
    </row>
    <row r="67" spans="1:10" ht="78" customHeight="1" x14ac:dyDescent="0.25">
      <c r="A67" s="669" t="s">
        <v>117</v>
      </c>
      <c r="B67" s="244" t="s">
        <v>118</v>
      </c>
      <c r="C67" s="244" t="s">
        <v>119</v>
      </c>
      <c r="D67" s="57" t="s">
        <v>120</v>
      </c>
      <c r="E67" s="30" t="s">
        <v>175</v>
      </c>
      <c r="F67" s="30" t="s">
        <v>567</v>
      </c>
      <c r="G67" s="8">
        <f t="shared" si="2"/>
        <v>21000</v>
      </c>
      <c r="H67" s="31">
        <v>21000</v>
      </c>
      <c r="I67" s="31">
        <v>0</v>
      </c>
      <c r="J67" s="32">
        <v>0</v>
      </c>
    </row>
    <row r="68" spans="1:10" ht="78" customHeight="1" x14ac:dyDescent="0.25">
      <c r="A68" s="669" t="s">
        <v>121</v>
      </c>
      <c r="B68" s="244" t="s">
        <v>122</v>
      </c>
      <c r="C68" s="244" t="s">
        <v>119</v>
      </c>
      <c r="D68" s="57" t="s">
        <v>123</v>
      </c>
      <c r="E68" s="30" t="s">
        <v>175</v>
      </c>
      <c r="F68" s="30" t="s">
        <v>567</v>
      </c>
      <c r="G68" s="8">
        <f t="shared" si="2"/>
        <v>836474</v>
      </c>
      <c r="H68" s="31">
        <f>132640+703834</f>
        <v>836474</v>
      </c>
      <c r="I68" s="31">
        <v>0</v>
      </c>
      <c r="J68" s="32">
        <v>0</v>
      </c>
    </row>
    <row r="69" spans="1:10" s="1" customFormat="1" ht="71.400000000000006" customHeight="1" x14ac:dyDescent="0.3">
      <c r="A69" s="74">
        <v>1015041</v>
      </c>
      <c r="B69" s="75">
        <v>5041</v>
      </c>
      <c r="C69" s="75" t="s">
        <v>119</v>
      </c>
      <c r="D69" s="133" t="s">
        <v>238</v>
      </c>
      <c r="E69" s="30" t="s">
        <v>175</v>
      </c>
      <c r="F69" s="30" t="s">
        <v>567</v>
      </c>
      <c r="G69" s="8">
        <f t="shared" si="2"/>
        <v>30174808</v>
      </c>
      <c r="H69" s="31">
        <f>23276040+6898768</f>
        <v>30174808</v>
      </c>
      <c r="I69" s="31">
        <v>0</v>
      </c>
      <c r="J69" s="32">
        <v>0</v>
      </c>
    </row>
    <row r="70" spans="1:10" ht="78" x14ac:dyDescent="0.25">
      <c r="A70" s="669" t="s">
        <v>124</v>
      </c>
      <c r="B70" s="244" t="s">
        <v>125</v>
      </c>
      <c r="C70" s="244" t="s">
        <v>119</v>
      </c>
      <c r="D70" s="57" t="s">
        <v>126</v>
      </c>
      <c r="E70" s="30" t="s">
        <v>175</v>
      </c>
      <c r="F70" s="30" t="s">
        <v>567</v>
      </c>
      <c r="G70" s="8">
        <f t="shared" si="2"/>
        <v>1103084</v>
      </c>
      <c r="H70" s="31">
        <f>20864+1082220</f>
        <v>1103084</v>
      </c>
      <c r="I70" s="31">
        <v>0</v>
      </c>
      <c r="J70" s="32">
        <v>0</v>
      </c>
    </row>
    <row r="71" spans="1:10" ht="77.25" customHeight="1" x14ac:dyDescent="0.25">
      <c r="A71" s="669" t="s">
        <v>127</v>
      </c>
      <c r="B71" s="244" t="s">
        <v>128</v>
      </c>
      <c r="C71" s="244" t="s">
        <v>119</v>
      </c>
      <c r="D71" s="57" t="s">
        <v>129</v>
      </c>
      <c r="E71" s="30" t="s">
        <v>175</v>
      </c>
      <c r="F71" s="30" t="s">
        <v>567</v>
      </c>
      <c r="G71" s="8">
        <f t="shared" si="2"/>
        <v>465000</v>
      </c>
      <c r="H71" s="31">
        <f>133200+331800</f>
        <v>465000</v>
      </c>
      <c r="I71" s="31">
        <v>0</v>
      </c>
      <c r="J71" s="32">
        <v>0</v>
      </c>
    </row>
    <row r="72" spans="1:10" ht="91.95" customHeight="1" x14ac:dyDescent="0.25">
      <c r="A72" s="387">
        <v>1018110</v>
      </c>
      <c r="B72" s="307">
        <v>8110</v>
      </c>
      <c r="C72" s="307" t="s">
        <v>484</v>
      </c>
      <c r="D72" s="308" t="s">
        <v>488</v>
      </c>
      <c r="E72" s="46" t="s">
        <v>544</v>
      </c>
      <c r="F72" s="376" t="s">
        <v>586</v>
      </c>
      <c r="G72" s="8">
        <f t="shared" si="2"/>
        <v>84272</v>
      </c>
      <c r="H72" s="31">
        <v>84272</v>
      </c>
      <c r="I72" s="31">
        <v>0</v>
      </c>
      <c r="J72" s="32">
        <v>0</v>
      </c>
    </row>
    <row r="73" spans="1:10" ht="77.25" customHeight="1" thickBot="1" x14ac:dyDescent="0.3">
      <c r="A73" s="385">
        <v>1019770</v>
      </c>
      <c r="B73" s="309">
        <v>9770</v>
      </c>
      <c r="C73" s="309" t="s">
        <v>424</v>
      </c>
      <c r="D73" s="311" t="s">
        <v>489</v>
      </c>
      <c r="E73" s="33" t="s">
        <v>175</v>
      </c>
      <c r="F73" s="30" t="s">
        <v>567</v>
      </c>
      <c r="G73" s="34">
        <f t="shared" si="2"/>
        <v>350000</v>
      </c>
      <c r="H73" s="35">
        <v>350000</v>
      </c>
      <c r="I73" s="35">
        <v>0</v>
      </c>
      <c r="J73" s="36">
        <v>0</v>
      </c>
    </row>
    <row r="74" spans="1:10" ht="57.6" customHeight="1" thickBot="1" x14ac:dyDescent="0.3">
      <c r="A74" s="380" t="s">
        <v>130</v>
      </c>
      <c r="B74" s="20" t="s">
        <v>17</v>
      </c>
      <c r="C74" s="20" t="s">
        <v>17</v>
      </c>
      <c r="D74" s="130" t="s">
        <v>131</v>
      </c>
      <c r="E74" s="21" t="s">
        <v>17</v>
      </c>
      <c r="F74" s="21" t="s">
        <v>17</v>
      </c>
      <c r="G74" s="22">
        <f t="shared" si="2"/>
        <v>42927828</v>
      </c>
      <c r="H74" s="23">
        <f>H75</f>
        <v>41356652</v>
      </c>
      <c r="I74" s="23">
        <f>I75</f>
        <v>1571176</v>
      </c>
      <c r="J74" s="24">
        <f>J75</f>
        <v>1096376</v>
      </c>
    </row>
    <row r="75" spans="1:10" ht="54.6" customHeight="1" x14ac:dyDescent="0.25">
      <c r="A75" s="388">
        <v>1210000</v>
      </c>
      <c r="B75" s="25" t="s">
        <v>17</v>
      </c>
      <c r="C75" s="25" t="s">
        <v>17</v>
      </c>
      <c r="D75" s="56" t="s">
        <v>131</v>
      </c>
      <c r="E75" s="26" t="s">
        <v>17</v>
      </c>
      <c r="F75" s="26" t="s">
        <v>17</v>
      </c>
      <c r="G75" s="38">
        <f>G76+G77+G78+G79+G80+G81+G82</f>
        <v>42927828</v>
      </c>
      <c r="H75" s="38">
        <f>H76+H77+H78+H79+H80+H81+H82</f>
        <v>41356652</v>
      </c>
      <c r="I75" s="38">
        <f>I76+I77+I78+I79+I80+I82+I81</f>
        <v>1571176</v>
      </c>
      <c r="J75" s="39">
        <f>J76+J77+J78+J79+J80+J82+J81</f>
        <v>1096376</v>
      </c>
    </row>
    <row r="76" spans="1:10" ht="90.6" customHeight="1" x14ac:dyDescent="0.25">
      <c r="A76" s="669" t="s">
        <v>134</v>
      </c>
      <c r="B76" s="244" t="s">
        <v>135</v>
      </c>
      <c r="C76" s="244" t="s">
        <v>136</v>
      </c>
      <c r="D76" s="57" t="s">
        <v>137</v>
      </c>
      <c r="E76" s="30" t="s">
        <v>176</v>
      </c>
      <c r="F76" s="30" t="s">
        <v>607</v>
      </c>
      <c r="G76" s="8">
        <f t="shared" si="2"/>
        <v>7980</v>
      </c>
      <c r="H76" s="31">
        <v>7980</v>
      </c>
      <c r="I76" s="31">
        <v>0</v>
      </c>
      <c r="J76" s="32">
        <v>0</v>
      </c>
    </row>
    <row r="77" spans="1:10" ht="76.95" customHeight="1" x14ac:dyDescent="0.25">
      <c r="A77" s="669" t="s">
        <v>138</v>
      </c>
      <c r="B77" s="244" t="s">
        <v>139</v>
      </c>
      <c r="C77" s="244" t="s">
        <v>30</v>
      </c>
      <c r="D77" s="57" t="s">
        <v>140</v>
      </c>
      <c r="E77" s="30" t="s">
        <v>176</v>
      </c>
      <c r="F77" s="30" t="s">
        <v>607</v>
      </c>
      <c r="G77" s="8">
        <f t="shared" si="2"/>
        <v>304536</v>
      </c>
      <c r="H77" s="31">
        <v>304536</v>
      </c>
      <c r="I77" s="31">
        <v>0</v>
      </c>
      <c r="J77" s="32">
        <v>0</v>
      </c>
    </row>
    <row r="78" spans="1:10" ht="88.95" customHeight="1" x14ac:dyDescent="0.25">
      <c r="A78" s="669" t="s">
        <v>141</v>
      </c>
      <c r="B78" s="244" t="s">
        <v>29</v>
      </c>
      <c r="C78" s="244" t="s">
        <v>30</v>
      </c>
      <c r="D78" s="57" t="s">
        <v>31</v>
      </c>
      <c r="E78" s="30" t="s">
        <v>176</v>
      </c>
      <c r="F78" s="30" t="s">
        <v>607</v>
      </c>
      <c r="G78" s="8">
        <f t="shared" si="2"/>
        <v>38431673</v>
      </c>
      <c r="H78" s="31">
        <f>33652239+59165+872130+2246444+395712+81220+218667+181096+725000</f>
        <v>38431673</v>
      </c>
      <c r="I78" s="31">
        <v>0</v>
      </c>
      <c r="J78" s="32">
        <v>0</v>
      </c>
    </row>
    <row r="79" spans="1:10" ht="74.25" customHeight="1" x14ac:dyDescent="0.25">
      <c r="A79" s="669" t="s">
        <v>141</v>
      </c>
      <c r="B79" s="244" t="s">
        <v>29</v>
      </c>
      <c r="C79" s="244" t="s">
        <v>30</v>
      </c>
      <c r="D79" s="57" t="s">
        <v>31</v>
      </c>
      <c r="E79" s="30" t="s">
        <v>177</v>
      </c>
      <c r="F79" s="30" t="s">
        <v>239</v>
      </c>
      <c r="G79" s="8">
        <f t="shared" si="2"/>
        <v>279487</v>
      </c>
      <c r="H79" s="31">
        <f>137718+141769</f>
        <v>279487</v>
      </c>
      <c r="I79" s="31">
        <v>0</v>
      </c>
      <c r="J79" s="32">
        <v>0</v>
      </c>
    </row>
    <row r="80" spans="1:10" ht="70.95" customHeight="1" x14ac:dyDescent="0.25">
      <c r="A80" s="74" t="s">
        <v>142</v>
      </c>
      <c r="B80" s="45" t="s">
        <v>143</v>
      </c>
      <c r="C80" s="45" t="s">
        <v>144</v>
      </c>
      <c r="D80" s="60" t="s">
        <v>145</v>
      </c>
      <c r="E80" s="46" t="s">
        <v>176</v>
      </c>
      <c r="F80" s="30" t="s">
        <v>607</v>
      </c>
      <c r="G80" s="27">
        <f t="shared" si="2"/>
        <v>2332976</v>
      </c>
      <c r="H80" s="28">
        <f>1799030+533946</f>
        <v>2332976</v>
      </c>
      <c r="I80" s="31">
        <v>0</v>
      </c>
      <c r="J80" s="32">
        <v>0</v>
      </c>
    </row>
    <row r="81" spans="1:10" ht="122.25" customHeight="1" x14ac:dyDescent="0.25">
      <c r="A81" s="384" t="s">
        <v>500</v>
      </c>
      <c r="B81" s="309" t="s">
        <v>501</v>
      </c>
      <c r="C81" s="309" t="s">
        <v>502</v>
      </c>
      <c r="D81" s="53" t="s">
        <v>503</v>
      </c>
      <c r="E81" s="347" t="s">
        <v>548</v>
      </c>
      <c r="F81" s="376" t="s">
        <v>608</v>
      </c>
      <c r="G81" s="27">
        <f t="shared" si="2"/>
        <v>1096376</v>
      </c>
      <c r="H81" s="31">
        <v>0</v>
      </c>
      <c r="I81" s="35">
        <v>1096376</v>
      </c>
      <c r="J81" s="36">
        <v>1096376</v>
      </c>
    </row>
    <row r="82" spans="1:10" ht="81.599999999999994" customHeight="1" thickBot="1" x14ac:dyDescent="0.3">
      <c r="A82" s="385" t="s">
        <v>146</v>
      </c>
      <c r="B82" s="9" t="s">
        <v>147</v>
      </c>
      <c r="C82" s="9" t="s">
        <v>148</v>
      </c>
      <c r="D82" s="131" t="s">
        <v>149</v>
      </c>
      <c r="E82" s="33" t="s">
        <v>178</v>
      </c>
      <c r="F82" s="298" t="s">
        <v>589</v>
      </c>
      <c r="G82" s="34">
        <f t="shared" si="2"/>
        <v>474800</v>
      </c>
      <c r="H82" s="35">
        <v>0</v>
      </c>
      <c r="I82" s="35">
        <f>284800+190000</f>
        <v>474800</v>
      </c>
      <c r="J82" s="36">
        <v>0</v>
      </c>
    </row>
    <row r="83" spans="1:10" ht="62.4" customHeight="1" thickBot="1" x14ac:dyDescent="0.3">
      <c r="A83" s="380" t="s">
        <v>150</v>
      </c>
      <c r="B83" s="20" t="s">
        <v>17</v>
      </c>
      <c r="C83" s="20" t="s">
        <v>17</v>
      </c>
      <c r="D83" s="130" t="s">
        <v>151</v>
      </c>
      <c r="E83" s="21" t="s">
        <v>17</v>
      </c>
      <c r="F83" s="21" t="s">
        <v>17</v>
      </c>
      <c r="G83" s="22">
        <f>H83+I83</f>
        <v>68091860</v>
      </c>
      <c r="H83" s="23">
        <f>H84</f>
        <v>0</v>
      </c>
      <c r="I83" s="23">
        <f>I84</f>
        <v>68091860</v>
      </c>
      <c r="J83" s="24">
        <f>J84</f>
        <v>68091860</v>
      </c>
    </row>
    <row r="84" spans="1:10" ht="54" customHeight="1" x14ac:dyDescent="0.25">
      <c r="A84" s="388">
        <v>1510000</v>
      </c>
      <c r="B84" s="25" t="s">
        <v>17</v>
      </c>
      <c r="C84" s="25" t="s">
        <v>17</v>
      </c>
      <c r="D84" s="56" t="s">
        <v>151</v>
      </c>
      <c r="E84" s="26" t="s">
        <v>17</v>
      </c>
      <c r="F84" s="26" t="s">
        <v>17</v>
      </c>
      <c r="G84" s="375">
        <f>G94+G86+G85+G87+G88+G91+G92+G93+G95+G96+G97+G90+G89</f>
        <v>68091860</v>
      </c>
      <c r="H84" s="38">
        <f>H86+H94</f>
        <v>0</v>
      </c>
      <c r="I84" s="375">
        <f>I94+I86+I85+I87+I88+I91+I92+I93+I95+I96+I97+I90+I89</f>
        <v>68091860</v>
      </c>
      <c r="J84" s="39">
        <f>J94+J86+J85+J87+J88+J91+J92+J93+J95+J96+J97+J90+J89</f>
        <v>68091860</v>
      </c>
    </row>
    <row r="85" spans="1:10" ht="71.25" customHeight="1" x14ac:dyDescent="0.25">
      <c r="A85" s="669">
        <v>1511010</v>
      </c>
      <c r="B85" s="668" t="s">
        <v>49</v>
      </c>
      <c r="C85" s="668" t="s">
        <v>50</v>
      </c>
      <c r="D85" s="53" t="s">
        <v>51</v>
      </c>
      <c r="E85" s="30" t="s">
        <v>179</v>
      </c>
      <c r="F85" s="378" t="s">
        <v>590</v>
      </c>
      <c r="G85" s="8">
        <f t="shared" ref="G85" si="5">H85+I85</f>
        <v>4694110</v>
      </c>
      <c r="H85" s="31">
        <v>0</v>
      </c>
      <c r="I85" s="38">
        <v>4694110</v>
      </c>
      <c r="J85" s="32">
        <f t="shared" ref="J85:J97" si="6">I85</f>
        <v>4694110</v>
      </c>
    </row>
    <row r="86" spans="1:10" s="1" customFormat="1" ht="80.25" customHeight="1" x14ac:dyDescent="0.3">
      <c r="A86" s="383" t="s">
        <v>180</v>
      </c>
      <c r="B86" s="50" t="s">
        <v>53</v>
      </c>
      <c r="C86" s="96" t="s">
        <v>54</v>
      </c>
      <c r="D86" s="134" t="s">
        <v>464</v>
      </c>
      <c r="E86" s="30" t="s">
        <v>179</v>
      </c>
      <c r="F86" s="378" t="s">
        <v>590</v>
      </c>
      <c r="G86" s="8">
        <f t="shared" ref="G86" si="7">H86+I86</f>
        <v>14803413</v>
      </c>
      <c r="H86" s="31">
        <v>0</v>
      </c>
      <c r="I86" s="31">
        <f>6202186+6588451+2012776</f>
        <v>14803413</v>
      </c>
      <c r="J86" s="32">
        <f t="shared" si="6"/>
        <v>14803413</v>
      </c>
    </row>
    <row r="87" spans="1:10" s="1" customFormat="1" ht="80.25" customHeight="1" x14ac:dyDescent="0.3">
      <c r="A87" s="384" t="s">
        <v>504</v>
      </c>
      <c r="B87" s="309" t="s">
        <v>22</v>
      </c>
      <c r="C87" s="309" t="s">
        <v>23</v>
      </c>
      <c r="D87" s="311" t="s">
        <v>24</v>
      </c>
      <c r="E87" s="30" t="s">
        <v>179</v>
      </c>
      <c r="F87" s="378" t="s">
        <v>590</v>
      </c>
      <c r="G87" s="8">
        <f t="shared" ref="G87" si="8">H87+I87</f>
        <v>612798</v>
      </c>
      <c r="H87" s="31">
        <v>0</v>
      </c>
      <c r="I87" s="31">
        <f>103135+509663</f>
        <v>612798</v>
      </c>
      <c r="J87" s="32">
        <f t="shared" si="6"/>
        <v>612798</v>
      </c>
    </row>
    <row r="88" spans="1:10" s="1" customFormat="1" ht="80.25" customHeight="1" x14ac:dyDescent="0.3">
      <c r="A88" s="490" t="s">
        <v>505</v>
      </c>
      <c r="B88" s="300" t="s">
        <v>110</v>
      </c>
      <c r="C88" s="300" t="s">
        <v>111</v>
      </c>
      <c r="D88" s="301" t="s">
        <v>506</v>
      </c>
      <c r="E88" s="30" t="s">
        <v>179</v>
      </c>
      <c r="F88" s="378" t="s">
        <v>590</v>
      </c>
      <c r="G88" s="8">
        <f t="shared" ref="G88:G91" si="9">H88+I88</f>
        <v>385436</v>
      </c>
      <c r="H88" s="31">
        <v>0</v>
      </c>
      <c r="I88" s="31">
        <v>385436</v>
      </c>
      <c r="J88" s="32">
        <f t="shared" si="6"/>
        <v>385436</v>
      </c>
    </row>
    <row r="89" spans="1:10" s="1" customFormat="1" ht="80.25" customHeight="1" x14ac:dyDescent="0.3">
      <c r="A89" s="384" t="s">
        <v>599</v>
      </c>
      <c r="B89" s="309" t="s">
        <v>598</v>
      </c>
      <c r="C89" s="309" t="s">
        <v>30</v>
      </c>
      <c r="D89" s="311" t="s">
        <v>596</v>
      </c>
      <c r="E89" s="30" t="s">
        <v>176</v>
      </c>
      <c r="F89" s="30" t="s">
        <v>607</v>
      </c>
      <c r="G89" s="8">
        <f t="shared" si="9"/>
        <v>7702800</v>
      </c>
      <c r="H89" s="31"/>
      <c r="I89" s="31">
        <v>7702800</v>
      </c>
      <c r="J89" s="32">
        <f t="shared" si="6"/>
        <v>7702800</v>
      </c>
    </row>
    <row r="90" spans="1:10" s="1" customFormat="1" ht="80.25" customHeight="1" x14ac:dyDescent="0.3">
      <c r="A90" s="362" t="s">
        <v>581</v>
      </c>
      <c r="B90" s="309" t="s">
        <v>139</v>
      </c>
      <c r="C90" s="309" t="s">
        <v>30</v>
      </c>
      <c r="D90" s="311" t="s">
        <v>140</v>
      </c>
      <c r="E90" s="30" t="s">
        <v>176</v>
      </c>
      <c r="F90" s="30" t="s">
        <v>607</v>
      </c>
      <c r="G90" s="8">
        <f t="shared" si="9"/>
        <v>213272</v>
      </c>
      <c r="H90" s="31"/>
      <c r="I90" s="31">
        <f>J90</f>
        <v>213272</v>
      </c>
      <c r="J90" s="32">
        <v>213272</v>
      </c>
    </row>
    <row r="91" spans="1:10" s="1" customFormat="1" ht="70.2" customHeight="1" x14ac:dyDescent="0.3">
      <c r="A91" s="384" t="s">
        <v>507</v>
      </c>
      <c r="B91" s="309" t="s">
        <v>29</v>
      </c>
      <c r="C91" s="309" t="s">
        <v>30</v>
      </c>
      <c r="D91" s="311" t="s">
        <v>31</v>
      </c>
      <c r="E91" s="30" t="s">
        <v>176</v>
      </c>
      <c r="F91" s="30" t="s">
        <v>607</v>
      </c>
      <c r="G91" s="8">
        <f t="shared" si="9"/>
        <v>13743876</v>
      </c>
      <c r="H91" s="31">
        <v>0</v>
      </c>
      <c r="I91" s="31">
        <f>8403808+2127676+1495530+1644000+36203+36659</f>
        <v>13743876</v>
      </c>
      <c r="J91" s="32">
        <f t="shared" si="6"/>
        <v>13743876</v>
      </c>
    </row>
    <row r="92" spans="1:10" s="1" customFormat="1" ht="73.95" customHeight="1" x14ac:dyDescent="0.3">
      <c r="A92" s="384" t="s">
        <v>508</v>
      </c>
      <c r="B92" s="309" t="s">
        <v>509</v>
      </c>
      <c r="C92" s="309" t="s">
        <v>153</v>
      </c>
      <c r="D92" s="311" t="s">
        <v>510</v>
      </c>
      <c r="E92" s="30" t="s">
        <v>549</v>
      </c>
      <c r="F92" s="378" t="s">
        <v>590</v>
      </c>
      <c r="G92" s="8">
        <f t="shared" ref="G92" si="10">H92+I92</f>
        <v>307755</v>
      </c>
      <c r="H92" s="31">
        <v>0</v>
      </c>
      <c r="I92" s="31">
        <v>307755</v>
      </c>
      <c r="J92" s="32">
        <f t="shared" si="6"/>
        <v>307755</v>
      </c>
    </row>
    <row r="93" spans="1:10" s="1" customFormat="1" ht="87" customHeight="1" x14ac:dyDescent="0.3">
      <c r="A93" s="384" t="s">
        <v>511</v>
      </c>
      <c r="B93" s="309" t="s">
        <v>512</v>
      </c>
      <c r="C93" s="309" t="s">
        <v>153</v>
      </c>
      <c r="D93" s="311" t="s">
        <v>513</v>
      </c>
      <c r="E93" s="30" t="s">
        <v>549</v>
      </c>
      <c r="F93" s="378" t="s">
        <v>590</v>
      </c>
      <c r="G93" s="8">
        <f t="shared" ref="G93" si="11">H93+I93</f>
        <v>1865034</v>
      </c>
      <c r="H93" s="31">
        <v>0</v>
      </c>
      <c r="I93" s="31">
        <v>1865034</v>
      </c>
      <c r="J93" s="32">
        <f t="shared" si="6"/>
        <v>1865034</v>
      </c>
    </row>
    <row r="94" spans="1:10" ht="84" customHeight="1" x14ac:dyDescent="0.25">
      <c r="A94" s="669" t="s">
        <v>154</v>
      </c>
      <c r="B94" s="244" t="s">
        <v>155</v>
      </c>
      <c r="C94" s="244" t="s">
        <v>153</v>
      </c>
      <c r="D94" s="57" t="s">
        <v>156</v>
      </c>
      <c r="E94" s="30" t="s">
        <v>179</v>
      </c>
      <c r="F94" s="378" t="s">
        <v>590</v>
      </c>
      <c r="G94" s="8">
        <f>I94</f>
        <v>3090106</v>
      </c>
      <c r="H94" s="31">
        <v>0</v>
      </c>
      <c r="I94" s="31">
        <f>2724014+196092+170000</f>
        <v>3090106</v>
      </c>
      <c r="J94" s="32">
        <f t="shared" si="6"/>
        <v>3090106</v>
      </c>
    </row>
    <row r="95" spans="1:10" ht="79.95" customHeight="1" x14ac:dyDescent="0.25">
      <c r="A95" s="490" t="s">
        <v>514</v>
      </c>
      <c r="B95" s="300" t="s">
        <v>143</v>
      </c>
      <c r="C95" s="300" t="s">
        <v>144</v>
      </c>
      <c r="D95" s="301" t="s">
        <v>145</v>
      </c>
      <c r="E95" s="30" t="s">
        <v>176</v>
      </c>
      <c r="F95" s="30" t="s">
        <v>607</v>
      </c>
      <c r="G95" s="8">
        <f>I95</f>
        <v>18643182</v>
      </c>
      <c r="H95" s="31">
        <v>0</v>
      </c>
      <c r="I95" s="31">
        <f>4443182+200000+14000000</f>
        <v>18643182</v>
      </c>
      <c r="J95" s="32">
        <f t="shared" si="6"/>
        <v>18643182</v>
      </c>
    </row>
    <row r="96" spans="1:10" ht="74.400000000000006" customHeight="1" x14ac:dyDescent="0.25">
      <c r="A96" s="490" t="s">
        <v>515</v>
      </c>
      <c r="B96" s="300" t="s">
        <v>491</v>
      </c>
      <c r="C96" s="300" t="s">
        <v>373</v>
      </c>
      <c r="D96" s="301" t="s">
        <v>516</v>
      </c>
      <c r="E96" s="30" t="s">
        <v>176</v>
      </c>
      <c r="F96" s="30" t="s">
        <v>607</v>
      </c>
      <c r="G96" s="8">
        <f>I96</f>
        <v>468060</v>
      </c>
      <c r="H96" s="31">
        <v>0</v>
      </c>
      <c r="I96" s="31">
        <v>468060</v>
      </c>
      <c r="J96" s="32">
        <f t="shared" si="6"/>
        <v>468060</v>
      </c>
    </row>
    <row r="97" spans="1:16" ht="80.25" customHeight="1" x14ac:dyDescent="0.25">
      <c r="A97" s="490" t="s">
        <v>515</v>
      </c>
      <c r="B97" s="300" t="s">
        <v>491</v>
      </c>
      <c r="C97" s="300" t="s">
        <v>373</v>
      </c>
      <c r="D97" s="301" t="s">
        <v>516</v>
      </c>
      <c r="E97" s="30" t="s">
        <v>179</v>
      </c>
      <c r="F97" s="378" t="s">
        <v>590</v>
      </c>
      <c r="G97" s="8">
        <f>I97</f>
        <v>1562018</v>
      </c>
      <c r="H97" s="31">
        <v>0</v>
      </c>
      <c r="I97" s="31">
        <f>782460+779558</f>
        <v>1562018</v>
      </c>
      <c r="J97" s="32">
        <f t="shared" si="6"/>
        <v>1562018</v>
      </c>
    </row>
    <row r="98" spans="1:16" ht="16.2" thickBot="1" x14ac:dyDescent="0.3">
      <c r="A98" s="351" t="s">
        <v>7</v>
      </c>
      <c r="B98" s="352" t="s">
        <v>7</v>
      </c>
      <c r="C98" s="352" t="s">
        <v>7</v>
      </c>
      <c r="D98" s="353" t="s">
        <v>160</v>
      </c>
      <c r="E98" s="352" t="s">
        <v>7</v>
      </c>
      <c r="F98" s="352" t="s">
        <v>7</v>
      </c>
      <c r="G98" s="59">
        <f>G23+G41+G51+G56+G59+G74+G83</f>
        <v>235935881</v>
      </c>
      <c r="H98" s="59">
        <f>H23+H41+H51+H56+H59+H74+H83</f>
        <v>149348346</v>
      </c>
      <c r="I98" s="59">
        <f>I23+I41+I51+I56+I59+I74+I83</f>
        <v>86587535</v>
      </c>
      <c r="J98" s="354">
        <f>J23+J41+J51+J56+J59+J74+J83</f>
        <v>86019231</v>
      </c>
    </row>
    <row r="99" spans="1:16" ht="15.6" x14ac:dyDescent="0.25">
      <c r="A99" s="47"/>
      <c r="B99" s="47"/>
      <c r="C99" s="47"/>
      <c r="D99" s="48"/>
      <c r="E99" s="48"/>
      <c r="F99" s="48"/>
      <c r="G99" s="49"/>
      <c r="H99" s="49"/>
      <c r="I99" s="49"/>
      <c r="J99" s="49"/>
    </row>
    <row r="100" spans="1:16" ht="15.6" x14ac:dyDescent="0.25">
      <c r="A100" s="47"/>
      <c r="B100" s="47"/>
      <c r="C100" s="47"/>
      <c r="D100" s="48"/>
      <c r="E100" s="48"/>
      <c r="F100" s="48"/>
      <c r="G100" s="49"/>
      <c r="H100" s="49"/>
      <c r="I100" s="49"/>
      <c r="J100" s="49"/>
    </row>
    <row r="101" spans="1:16" ht="7.9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6" s="126" customFormat="1" ht="28.95" customHeight="1" x14ac:dyDescent="0.3">
      <c r="A102" s="768" t="s">
        <v>236</v>
      </c>
      <c r="B102" s="768"/>
      <c r="C102" s="768"/>
      <c r="D102" s="768"/>
      <c r="E102" s="122"/>
      <c r="F102" s="122"/>
      <c r="G102" s="122" t="s">
        <v>237</v>
      </c>
      <c r="H102" s="122"/>
      <c r="I102" s="122"/>
      <c r="K102" s="122"/>
      <c r="L102" s="123"/>
      <c r="M102" s="122"/>
      <c r="N102" s="122"/>
      <c r="O102" s="124"/>
      <c r="P102" s="125"/>
    </row>
    <row r="103" spans="1:16" s="65" customFormat="1" ht="21" x14ac:dyDescent="0.4">
      <c r="A103" s="64"/>
      <c r="B103" s="64"/>
      <c r="G103" s="67"/>
    </row>
    <row r="104" spans="1:16" s="66" customFormat="1" ht="15.6" x14ac:dyDescent="0.3">
      <c r="A104" s="68"/>
      <c r="B104" s="68"/>
    </row>
  </sheetData>
  <mergeCells count="13">
    <mergeCell ref="H5:I5"/>
    <mergeCell ref="A102:D102"/>
    <mergeCell ref="H20:H21"/>
    <mergeCell ref="I20:J20"/>
    <mergeCell ref="A16:J16"/>
    <mergeCell ref="A18:B18"/>
    <mergeCell ref="A20:A21"/>
    <mergeCell ref="B20:B21"/>
    <mergeCell ref="C20:C21"/>
    <mergeCell ref="D20:D21"/>
    <mergeCell ref="E20:E21"/>
    <mergeCell ref="F20:F21"/>
    <mergeCell ref="G20:G2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rowBreaks count="3" manualBreakCount="3">
    <brk id="40" max="9" man="1"/>
    <brk id="96" max="9" man="1"/>
    <brk id="10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view="pageBreakPreview" topLeftCell="A26" zoomScale="60" zoomScaleNormal="50" workbookViewId="0">
      <selection activeCell="P28" sqref="P28"/>
    </sheetView>
  </sheetViews>
  <sheetFormatPr defaultColWidth="9.33203125" defaultRowHeight="13.8" x14ac:dyDescent="0.25"/>
  <cols>
    <col min="1" max="1" width="15" style="154" customWidth="1"/>
    <col min="2" max="2" width="12.6640625" style="155" customWidth="1"/>
    <col min="3" max="3" width="11.6640625" style="156" customWidth="1"/>
    <col min="4" max="4" width="53.33203125" style="157" customWidth="1"/>
    <col min="5" max="5" width="63.109375" style="158" customWidth="1"/>
    <col min="6" max="6" width="15.33203125" style="156" customWidth="1"/>
    <col min="7" max="7" width="22" style="159" customWidth="1"/>
    <col min="8" max="8" width="18.5546875" style="159" customWidth="1"/>
    <col min="9" max="9" width="13.88671875" style="159" customWidth="1"/>
    <col min="10" max="10" width="23.109375" style="160" customWidth="1"/>
    <col min="11" max="11" width="16.33203125" style="160" customWidth="1"/>
    <col min="12" max="14" width="9.33203125" style="154"/>
    <col min="15" max="15" width="13.6640625" style="154" bestFit="1" customWidth="1"/>
    <col min="16" max="256" width="9.33203125" style="154"/>
    <col min="257" max="257" width="15" style="154" customWidth="1"/>
    <col min="258" max="258" width="12.6640625" style="154" customWidth="1"/>
    <col min="259" max="259" width="11.6640625" style="154" customWidth="1"/>
    <col min="260" max="260" width="44.88671875" style="154" customWidth="1"/>
    <col min="261" max="261" width="54.6640625" style="154" customWidth="1"/>
    <col min="262" max="262" width="15.33203125" style="154" customWidth="1"/>
    <col min="263" max="264" width="19.33203125" style="154" customWidth="1"/>
    <col min="265" max="265" width="13.88671875" style="154" customWidth="1"/>
    <col min="266" max="266" width="25.33203125" style="154" customWidth="1"/>
    <col min="267" max="267" width="16.33203125" style="154" customWidth="1"/>
    <col min="268" max="512" width="9.33203125" style="154"/>
    <col min="513" max="513" width="15" style="154" customWidth="1"/>
    <col min="514" max="514" width="12.6640625" style="154" customWidth="1"/>
    <col min="515" max="515" width="11.6640625" style="154" customWidth="1"/>
    <col min="516" max="516" width="44.88671875" style="154" customWidth="1"/>
    <col min="517" max="517" width="54.6640625" style="154" customWidth="1"/>
    <col min="518" max="518" width="15.33203125" style="154" customWidth="1"/>
    <col min="519" max="520" width="19.33203125" style="154" customWidth="1"/>
    <col min="521" max="521" width="13.88671875" style="154" customWidth="1"/>
    <col min="522" max="522" width="25.33203125" style="154" customWidth="1"/>
    <col min="523" max="523" width="16.33203125" style="154" customWidth="1"/>
    <col min="524" max="768" width="9.33203125" style="154"/>
    <col min="769" max="769" width="15" style="154" customWidth="1"/>
    <col min="770" max="770" width="12.6640625" style="154" customWidth="1"/>
    <col min="771" max="771" width="11.6640625" style="154" customWidth="1"/>
    <col min="772" max="772" width="44.88671875" style="154" customWidth="1"/>
    <col min="773" max="773" width="54.6640625" style="154" customWidth="1"/>
    <col min="774" max="774" width="15.33203125" style="154" customWidth="1"/>
    <col min="775" max="776" width="19.33203125" style="154" customWidth="1"/>
    <col min="777" max="777" width="13.88671875" style="154" customWidth="1"/>
    <col min="778" max="778" width="25.33203125" style="154" customWidth="1"/>
    <col min="779" max="779" width="16.33203125" style="154" customWidth="1"/>
    <col min="780" max="1024" width="9.33203125" style="154"/>
    <col min="1025" max="1025" width="15" style="154" customWidth="1"/>
    <col min="1026" max="1026" width="12.6640625" style="154" customWidth="1"/>
    <col min="1027" max="1027" width="11.6640625" style="154" customWidth="1"/>
    <col min="1028" max="1028" width="44.88671875" style="154" customWidth="1"/>
    <col min="1029" max="1029" width="54.6640625" style="154" customWidth="1"/>
    <col min="1030" max="1030" width="15.33203125" style="154" customWidth="1"/>
    <col min="1031" max="1032" width="19.33203125" style="154" customWidth="1"/>
    <col min="1033" max="1033" width="13.88671875" style="154" customWidth="1"/>
    <col min="1034" max="1034" width="25.33203125" style="154" customWidth="1"/>
    <col min="1035" max="1035" width="16.33203125" style="154" customWidth="1"/>
    <col min="1036" max="1280" width="9.33203125" style="154"/>
    <col min="1281" max="1281" width="15" style="154" customWidth="1"/>
    <col min="1282" max="1282" width="12.6640625" style="154" customWidth="1"/>
    <col min="1283" max="1283" width="11.6640625" style="154" customWidth="1"/>
    <col min="1284" max="1284" width="44.88671875" style="154" customWidth="1"/>
    <col min="1285" max="1285" width="54.6640625" style="154" customWidth="1"/>
    <col min="1286" max="1286" width="15.33203125" style="154" customWidth="1"/>
    <col min="1287" max="1288" width="19.33203125" style="154" customWidth="1"/>
    <col min="1289" max="1289" width="13.88671875" style="154" customWidth="1"/>
    <col min="1290" max="1290" width="25.33203125" style="154" customWidth="1"/>
    <col min="1291" max="1291" width="16.33203125" style="154" customWidth="1"/>
    <col min="1292" max="1536" width="9.33203125" style="154"/>
    <col min="1537" max="1537" width="15" style="154" customWidth="1"/>
    <col min="1538" max="1538" width="12.6640625" style="154" customWidth="1"/>
    <col min="1539" max="1539" width="11.6640625" style="154" customWidth="1"/>
    <col min="1540" max="1540" width="44.88671875" style="154" customWidth="1"/>
    <col min="1541" max="1541" width="54.6640625" style="154" customWidth="1"/>
    <col min="1542" max="1542" width="15.33203125" style="154" customWidth="1"/>
    <col min="1543" max="1544" width="19.33203125" style="154" customWidth="1"/>
    <col min="1545" max="1545" width="13.88671875" style="154" customWidth="1"/>
    <col min="1546" max="1546" width="25.33203125" style="154" customWidth="1"/>
    <col min="1547" max="1547" width="16.33203125" style="154" customWidth="1"/>
    <col min="1548" max="1792" width="9.33203125" style="154"/>
    <col min="1793" max="1793" width="15" style="154" customWidth="1"/>
    <col min="1794" max="1794" width="12.6640625" style="154" customWidth="1"/>
    <col min="1795" max="1795" width="11.6640625" style="154" customWidth="1"/>
    <col min="1796" max="1796" width="44.88671875" style="154" customWidth="1"/>
    <col min="1797" max="1797" width="54.6640625" style="154" customWidth="1"/>
    <col min="1798" max="1798" width="15.33203125" style="154" customWidth="1"/>
    <col min="1799" max="1800" width="19.33203125" style="154" customWidth="1"/>
    <col min="1801" max="1801" width="13.88671875" style="154" customWidth="1"/>
    <col min="1802" max="1802" width="25.33203125" style="154" customWidth="1"/>
    <col min="1803" max="1803" width="16.33203125" style="154" customWidth="1"/>
    <col min="1804" max="2048" width="9.33203125" style="154"/>
    <col min="2049" max="2049" width="15" style="154" customWidth="1"/>
    <col min="2050" max="2050" width="12.6640625" style="154" customWidth="1"/>
    <col min="2051" max="2051" width="11.6640625" style="154" customWidth="1"/>
    <col min="2052" max="2052" width="44.88671875" style="154" customWidth="1"/>
    <col min="2053" max="2053" width="54.6640625" style="154" customWidth="1"/>
    <col min="2054" max="2054" width="15.33203125" style="154" customWidth="1"/>
    <col min="2055" max="2056" width="19.33203125" style="154" customWidth="1"/>
    <col min="2057" max="2057" width="13.88671875" style="154" customWidth="1"/>
    <col min="2058" max="2058" width="25.33203125" style="154" customWidth="1"/>
    <col min="2059" max="2059" width="16.33203125" style="154" customWidth="1"/>
    <col min="2060" max="2304" width="9.33203125" style="154"/>
    <col min="2305" max="2305" width="15" style="154" customWidth="1"/>
    <col min="2306" max="2306" width="12.6640625" style="154" customWidth="1"/>
    <col min="2307" max="2307" width="11.6640625" style="154" customWidth="1"/>
    <col min="2308" max="2308" width="44.88671875" style="154" customWidth="1"/>
    <col min="2309" max="2309" width="54.6640625" style="154" customWidth="1"/>
    <col min="2310" max="2310" width="15.33203125" style="154" customWidth="1"/>
    <col min="2311" max="2312" width="19.33203125" style="154" customWidth="1"/>
    <col min="2313" max="2313" width="13.88671875" style="154" customWidth="1"/>
    <col min="2314" max="2314" width="25.33203125" style="154" customWidth="1"/>
    <col min="2315" max="2315" width="16.33203125" style="154" customWidth="1"/>
    <col min="2316" max="2560" width="9.33203125" style="154"/>
    <col min="2561" max="2561" width="15" style="154" customWidth="1"/>
    <col min="2562" max="2562" width="12.6640625" style="154" customWidth="1"/>
    <col min="2563" max="2563" width="11.6640625" style="154" customWidth="1"/>
    <col min="2564" max="2564" width="44.88671875" style="154" customWidth="1"/>
    <col min="2565" max="2565" width="54.6640625" style="154" customWidth="1"/>
    <col min="2566" max="2566" width="15.33203125" style="154" customWidth="1"/>
    <col min="2567" max="2568" width="19.33203125" style="154" customWidth="1"/>
    <col min="2569" max="2569" width="13.88671875" style="154" customWidth="1"/>
    <col min="2570" max="2570" width="25.33203125" style="154" customWidth="1"/>
    <col min="2571" max="2571" width="16.33203125" style="154" customWidth="1"/>
    <col min="2572" max="2816" width="9.33203125" style="154"/>
    <col min="2817" max="2817" width="15" style="154" customWidth="1"/>
    <col min="2818" max="2818" width="12.6640625" style="154" customWidth="1"/>
    <col min="2819" max="2819" width="11.6640625" style="154" customWidth="1"/>
    <col min="2820" max="2820" width="44.88671875" style="154" customWidth="1"/>
    <col min="2821" max="2821" width="54.6640625" style="154" customWidth="1"/>
    <col min="2822" max="2822" width="15.33203125" style="154" customWidth="1"/>
    <col min="2823" max="2824" width="19.33203125" style="154" customWidth="1"/>
    <col min="2825" max="2825" width="13.88671875" style="154" customWidth="1"/>
    <col min="2826" max="2826" width="25.33203125" style="154" customWidth="1"/>
    <col min="2827" max="2827" width="16.33203125" style="154" customWidth="1"/>
    <col min="2828" max="3072" width="9.33203125" style="154"/>
    <col min="3073" max="3073" width="15" style="154" customWidth="1"/>
    <col min="3074" max="3074" width="12.6640625" style="154" customWidth="1"/>
    <col min="3075" max="3075" width="11.6640625" style="154" customWidth="1"/>
    <col min="3076" max="3076" width="44.88671875" style="154" customWidth="1"/>
    <col min="3077" max="3077" width="54.6640625" style="154" customWidth="1"/>
    <col min="3078" max="3078" width="15.33203125" style="154" customWidth="1"/>
    <col min="3079" max="3080" width="19.33203125" style="154" customWidth="1"/>
    <col min="3081" max="3081" width="13.88671875" style="154" customWidth="1"/>
    <col min="3082" max="3082" width="25.33203125" style="154" customWidth="1"/>
    <col min="3083" max="3083" width="16.33203125" style="154" customWidth="1"/>
    <col min="3084" max="3328" width="9.33203125" style="154"/>
    <col min="3329" max="3329" width="15" style="154" customWidth="1"/>
    <col min="3330" max="3330" width="12.6640625" style="154" customWidth="1"/>
    <col min="3331" max="3331" width="11.6640625" style="154" customWidth="1"/>
    <col min="3332" max="3332" width="44.88671875" style="154" customWidth="1"/>
    <col min="3333" max="3333" width="54.6640625" style="154" customWidth="1"/>
    <col min="3334" max="3334" width="15.33203125" style="154" customWidth="1"/>
    <col min="3335" max="3336" width="19.33203125" style="154" customWidth="1"/>
    <col min="3337" max="3337" width="13.88671875" style="154" customWidth="1"/>
    <col min="3338" max="3338" width="25.33203125" style="154" customWidth="1"/>
    <col min="3339" max="3339" width="16.33203125" style="154" customWidth="1"/>
    <col min="3340" max="3584" width="9.33203125" style="154"/>
    <col min="3585" max="3585" width="15" style="154" customWidth="1"/>
    <col min="3586" max="3586" width="12.6640625" style="154" customWidth="1"/>
    <col min="3587" max="3587" width="11.6640625" style="154" customWidth="1"/>
    <col min="3588" max="3588" width="44.88671875" style="154" customWidth="1"/>
    <col min="3589" max="3589" width="54.6640625" style="154" customWidth="1"/>
    <col min="3590" max="3590" width="15.33203125" style="154" customWidth="1"/>
    <col min="3591" max="3592" width="19.33203125" style="154" customWidth="1"/>
    <col min="3593" max="3593" width="13.88671875" style="154" customWidth="1"/>
    <col min="3594" max="3594" width="25.33203125" style="154" customWidth="1"/>
    <col min="3595" max="3595" width="16.33203125" style="154" customWidth="1"/>
    <col min="3596" max="3840" width="9.33203125" style="154"/>
    <col min="3841" max="3841" width="15" style="154" customWidth="1"/>
    <col min="3842" max="3842" width="12.6640625" style="154" customWidth="1"/>
    <col min="3843" max="3843" width="11.6640625" style="154" customWidth="1"/>
    <col min="3844" max="3844" width="44.88671875" style="154" customWidth="1"/>
    <col min="3845" max="3845" width="54.6640625" style="154" customWidth="1"/>
    <col min="3846" max="3846" width="15.33203125" style="154" customWidth="1"/>
    <col min="3847" max="3848" width="19.33203125" style="154" customWidth="1"/>
    <col min="3849" max="3849" width="13.88671875" style="154" customWidth="1"/>
    <col min="3850" max="3850" width="25.33203125" style="154" customWidth="1"/>
    <col min="3851" max="3851" width="16.33203125" style="154" customWidth="1"/>
    <col min="3852" max="4096" width="9.33203125" style="154"/>
    <col min="4097" max="4097" width="15" style="154" customWidth="1"/>
    <col min="4098" max="4098" width="12.6640625" style="154" customWidth="1"/>
    <col min="4099" max="4099" width="11.6640625" style="154" customWidth="1"/>
    <col min="4100" max="4100" width="44.88671875" style="154" customWidth="1"/>
    <col min="4101" max="4101" width="54.6640625" style="154" customWidth="1"/>
    <col min="4102" max="4102" width="15.33203125" style="154" customWidth="1"/>
    <col min="4103" max="4104" width="19.33203125" style="154" customWidth="1"/>
    <col min="4105" max="4105" width="13.88671875" style="154" customWidth="1"/>
    <col min="4106" max="4106" width="25.33203125" style="154" customWidth="1"/>
    <col min="4107" max="4107" width="16.33203125" style="154" customWidth="1"/>
    <col min="4108" max="4352" width="9.33203125" style="154"/>
    <col min="4353" max="4353" width="15" style="154" customWidth="1"/>
    <col min="4354" max="4354" width="12.6640625" style="154" customWidth="1"/>
    <col min="4355" max="4355" width="11.6640625" style="154" customWidth="1"/>
    <col min="4356" max="4356" width="44.88671875" style="154" customWidth="1"/>
    <col min="4357" max="4357" width="54.6640625" style="154" customWidth="1"/>
    <col min="4358" max="4358" width="15.33203125" style="154" customWidth="1"/>
    <col min="4359" max="4360" width="19.33203125" style="154" customWidth="1"/>
    <col min="4361" max="4361" width="13.88671875" style="154" customWidth="1"/>
    <col min="4362" max="4362" width="25.33203125" style="154" customWidth="1"/>
    <col min="4363" max="4363" width="16.33203125" style="154" customWidth="1"/>
    <col min="4364" max="4608" width="9.33203125" style="154"/>
    <col min="4609" max="4609" width="15" style="154" customWidth="1"/>
    <col min="4610" max="4610" width="12.6640625" style="154" customWidth="1"/>
    <col min="4611" max="4611" width="11.6640625" style="154" customWidth="1"/>
    <col min="4612" max="4612" width="44.88671875" style="154" customWidth="1"/>
    <col min="4613" max="4613" width="54.6640625" style="154" customWidth="1"/>
    <col min="4614" max="4614" width="15.33203125" style="154" customWidth="1"/>
    <col min="4615" max="4616" width="19.33203125" style="154" customWidth="1"/>
    <col min="4617" max="4617" width="13.88671875" style="154" customWidth="1"/>
    <col min="4618" max="4618" width="25.33203125" style="154" customWidth="1"/>
    <col min="4619" max="4619" width="16.33203125" style="154" customWidth="1"/>
    <col min="4620" max="4864" width="9.33203125" style="154"/>
    <col min="4865" max="4865" width="15" style="154" customWidth="1"/>
    <col min="4866" max="4866" width="12.6640625" style="154" customWidth="1"/>
    <col min="4867" max="4867" width="11.6640625" style="154" customWidth="1"/>
    <col min="4868" max="4868" width="44.88671875" style="154" customWidth="1"/>
    <col min="4869" max="4869" width="54.6640625" style="154" customWidth="1"/>
    <col min="4870" max="4870" width="15.33203125" style="154" customWidth="1"/>
    <col min="4871" max="4872" width="19.33203125" style="154" customWidth="1"/>
    <col min="4873" max="4873" width="13.88671875" style="154" customWidth="1"/>
    <col min="4874" max="4874" width="25.33203125" style="154" customWidth="1"/>
    <col min="4875" max="4875" width="16.33203125" style="154" customWidth="1"/>
    <col min="4876" max="5120" width="9.33203125" style="154"/>
    <col min="5121" max="5121" width="15" style="154" customWidth="1"/>
    <col min="5122" max="5122" width="12.6640625" style="154" customWidth="1"/>
    <col min="5123" max="5123" width="11.6640625" style="154" customWidth="1"/>
    <col min="5124" max="5124" width="44.88671875" style="154" customWidth="1"/>
    <col min="5125" max="5125" width="54.6640625" style="154" customWidth="1"/>
    <col min="5126" max="5126" width="15.33203125" style="154" customWidth="1"/>
    <col min="5127" max="5128" width="19.33203125" style="154" customWidth="1"/>
    <col min="5129" max="5129" width="13.88671875" style="154" customWidth="1"/>
    <col min="5130" max="5130" width="25.33203125" style="154" customWidth="1"/>
    <col min="5131" max="5131" width="16.33203125" style="154" customWidth="1"/>
    <col min="5132" max="5376" width="9.33203125" style="154"/>
    <col min="5377" max="5377" width="15" style="154" customWidth="1"/>
    <col min="5378" max="5378" width="12.6640625" style="154" customWidth="1"/>
    <col min="5379" max="5379" width="11.6640625" style="154" customWidth="1"/>
    <col min="5380" max="5380" width="44.88671875" style="154" customWidth="1"/>
    <col min="5381" max="5381" width="54.6640625" style="154" customWidth="1"/>
    <col min="5382" max="5382" width="15.33203125" style="154" customWidth="1"/>
    <col min="5383" max="5384" width="19.33203125" style="154" customWidth="1"/>
    <col min="5385" max="5385" width="13.88671875" style="154" customWidth="1"/>
    <col min="5386" max="5386" width="25.33203125" style="154" customWidth="1"/>
    <col min="5387" max="5387" width="16.33203125" style="154" customWidth="1"/>
    <col min="5388" max="5632" width="9.33203125" style="154"/>
    <col min="5633" max="5633" width="15" style="154" customWidth="1"/>
    <col min="5634" max="5634" width="12.6640625" style="154" customWidth="1"/>
    <col min="5635" max="5635" width="11.6640625" style="154" customWidth="1"/>
    <col min="5636" max="5636" width="44.88671875" style="154" customWidth="1"/>
    <col min="5637" max="5637" width="54.6640625" style="154" customWidth="1"/>
    <col min="5638" max="5638" width="15.33203125" style="154" customWidth="1"/>
    <col min="5639" max="5640" width="19.33203125" style="154" customWidth="1"/>
    <col min="5641" max="5641" width="13.88671875" style="154" customWidth="1"/>
    <col min="5642" max="5642" width="25.33203125" style="154" customWidth="1"/>
    <col min="5643" max="5643" width="16.33203125" style="154" customWidth="1"/>
    <col min="5644" max="5888" width="9.33203125" style="154"/>
    <col min="5889" max="5889" width="15" style="154" customWidth="1"/>
    <col min="5890" max="5890" width="12.6640625" style="154" customWidth="1"/>
    <col min="5891" max="5891" width="11.6640625" style="154" customWidth="1"/>
    <col min="5892" max="5892" width="44.88671875" style="154" customWidth="1"/>
    <col min="5893" max="5893" width="54.6640625" style="154" customWidth="1"/>
    <col min="5894" max="5894" width="15.33203125" style="154" customWidth="1"/>
    <col min="5895" max="5896" width="19.33203125" style="154" customWidth="1"/>
    <col min="5897" max="5897" width="13.88671875" style="154" customWidth="1"/>
    <col min="5898" max="5898" width="25.33203125" style="154" customWidth="1"/>
    <col min="5899" max="5899" width="16.33203125" style="154" customWidth="1"/>
    <col min="5900" max="6144" width="9.33203125" style="154"/>
    <col min="6145" max="6145" width="15" style="154" customWidth="1"/>
    <col min="6146" max="6146" width="12.6640625" style="154" customWidth="1"/>
    <col min="6147" max="6147" width="11.6640625" style="154" customWidth="1"/>
    <col min="6148" max="6148" width="44.88671875" style="154" customWidth="1"/>
    <col min="6149" max="6149" width="54.6640625" style="154" customWidth="1"/>
    <col min="6150" max="6150" width="15.33203125" style="154" customWidth="1"/>
    <col min="6151" max="6152" width="19.33203125" style="154" customWidth="1"/>
    <col min="6153" max="6153" width="13.88671875" style="154" customWidth="1"/>
    <col min="6154" max="6154" width="25.33203125" style="154" customWidth="1"/>
    <col min="6155" max="6155" width="16.33203125" style="154" customWidth="1"/>
    <col min="6156" max="6400" width="9.33203125" style="154"/>
    <col min="6401" max="6401" width="15" style="154" customWidth="1"/>
    <col min="6402" max="6402" width="12.6640625" style="154" customWidth="1"/>
    <col min="6403" max="6403" width="11.6640625" style="154" customWidth="1"/>
    <col min="6404" max="6404" width="44.88671875" style="154" customWidth="1"/>
    <col min="6405" max="6405" width="54.6640625" style="154" customWidth="1"/>
    <col min="6406" max="6406" width="15.33203125" style="154" customWidth="1"/>
    <col min="6407" max="6408" width="19.33203125" style="154" customWidth="1"/>
    <col min="6409" max="6409" width="13.88671875" style="154" customWidth="1"/>
    <col min="6410" max="6410" width="25.33203125" style="154" customWidth="1"/>
    <col min="6411" max="6411" width="16.33203125" style="154" customWidth="1"/>
    <col min="6412" max="6656" width="9.33203125" style="154"/>
    <col min="6657" max="6657" width="15" style="154" customWidth="1"/>
    <col min="6658" max="6658" width="12.6640625" style="154" customWidth="1"/>
    <col min="6659" max="6659" width="11.6640625" style="154" customWidth="1"/>
    <col min="6660" max="6660" width="44.88671875" style="154" customWidth="1"/>
    <col min="6661" max="6661" width="54.6640625" style="154" customWidth="1"/>
    <col min="6662" max="6662" width="15.33203125" style="154" customWidth="1"/>
    <col min="6663" max="6664" width="19.33203125" style="154" customWidth="1"/>
    <col min="6665" max="6665" width="13.88671875" style="154" customWidth="1"/>
    <col min="6666" max="6666" width="25.33203125" style="154" customWidth="1"/>
    <col min="6667" max="6667" width="16.33203125" style="154" customWidth="1"/>
    <col min="6668" max="6912" width="9.33203125" style="154"/>
    <col min="6913" max="6913" width="15" style="154" customWidth="1"/>
    <col min="6914" max="6914" width="12.6640625" style="154" customWidth="1"/>
    <col min="6915" max="6915" width="11.6640625" style="154" customWidth="1"/>
    <col min="6916" max="6916" width="44.88671875" style="154" customWidth="1"/>
    <col min="6917" max="6917" width="54.6640625" style="154" customWidth="1"/>
    <col min="6918" max="6918" width="15.33203125" style="154" customWidth="1"/>
    <col min="6919" max="6920" width="19.33203125" style="154" customWidth="1"/>
    <col min="6921" max="6921" width="13.88671875" style="154" customWidth="1"/>
    <col min="6922" max="6922" width="25.33203125" style="154" customWidth="1"/>
    <col min="6923" max="6923" width="16.33203125" style="154" customWidth="1"/>
    <col min="6924" max="7168" width="9.33203125" style="154"/>
    <col min="7169" max="7169" width="15" style="154" customWidth="1"/>
    <col min="7170" max="7170" width="12.6640625" style="154" customWidth="1"/>
    <col min="7171" max="7171" width="11.6640625" style="154" customWidth="1"/>
    <col min="7172" max="7172" width="44.88671875" style="154" customWidth="1"/>
    <col min="7173" max="7173" width="54.6640625" style="154" customWidth="1"/>
    <col min="7174" max="7174" width="15.33203125" style="154" customWidth="1"/>
    <col min="7175" max="7176" width="19.33203125" style="154" customWidth="1"/>
    <col min="7177" max="7177" width="13.88671875" style="154" customWidth="1"/>
    <col min="7178" max="7178" width="25.33203125" style="154" customWidth="1"/>
    <col min="7179" max="7179" width="16.33203125" style="154" customWidth="1"/>
    <col min="7180" max="7424" width="9.33203125" style="154"/>
    <col min="7425" max="7425" width="15" style="154" customWidth="1"/>
    <col min="7426" max="7426" width="12.6640625" style="154" customWidth="1"/>
    <col min="7427" max="7427" width="11.6640625" style="154" customWidth="1"/>
    <col min="7428" max="7428" width="44.88671875" style="154" customWidth="1"/>
    <col min="7429" max="7429" width="54.6640625" style="154" customWidth="1"/>
    <col min="7430" max="7430" width="15.33203125" style="154" customWidth="1"/>
    <col min="7431" max="7432" width="19.33203125" style="154" customWidth="1"/>
    <col min="7433" max="7433" width="13.88671875" style="154" customWidth="1"/>
    <col min="7434" max="7434" width="25.33203125" style="154" customWidth="1"/>
    <col min="7435" max="7435" width="16.33203125" style="154" customWidth="1"/>
    <col min="7436" max="7680" width="9.33203125" style="154"/>
    <col min="7681" max="7681" width="15" style="154" customWidth="1"/>
    <col min="7682" max="7682" width="12.6640625" style="154" customWidth="1"/>
    <col min="7683" max="7683" width="11.6640625" style="154" customWidth="1"/>
    <col min="7684" max="7684" width="44.88671875" style="154" customWidth="1"/>
    <col min="7685" max="7685" width="54.6640625" style="154" customWidth="1"/>
    <col min="7686" max="7686" width="15.33203125" style="154" customWidth="1"/>
    <col min="7687" max="7688" width="19.33203125" style="154" customWidth="1"/>
    <col min="7689" max="7689" width="13.88671875" style="154" customWidth="1"/>
    <col min="7690" max="7690" width="25.33203125" style="154" customWidth="1"/>
    <col min="7691" max="7691" width="16.33203125" style="154" customWidth="1"/>
    <col min="7692" max="7936" width="9.33203125" style="154"/>
    <col min="7937" max="7937" width="15" style="154" customWidth="1"/>
    <col min="7938" max="7938" width="12.6640625" style="154" customWidth="1"/>
    <col min="7939" max="7939" width="11.6640625" style="154" customWidth="1"/>
    <col min="7940" max="7940" width="44.88671875" style="154" customWidth="1"/>
    <col min="7941" max="7941" width="54.6640625" style="154" customWidth="1"/>
    <col min="7942" max="7942" width="15.33203125" style="154" customWidth="1"/>
    <col min="7943" max="7944" width="19.33203125" style="154" customWidth="1"/>
    <col min="7945" max="7945" width="13.88671875" style="154" customWidth="1"/>
    <col min="7946" max="7946" width="25.33203125" style="154" customWidth="1"/>
    <col min="7947" max="7947" width="16.33203125" style="154" customWidth="1"/>
    <col min="7948" max="8192" width="9.33203125" style="154"/>
    <col min="8193" max="8193" width="15" style="154" customWidth="1"/>
    <col min="8194" max="8194" width="12.6640625" style="154" customWidth="1"/>
    <col min="8195" max="8195" width="11.6640625" style="154" customWidth="1"/>
    <col min="8196" max="8196" width="44.88671875" style="154" customWidth="1"/>
    <col min="8197" max="8197" width="54.6640625" style="154" customWidth="1"/>
    <col min="8198" max="8198" width="15.33203125" style="154" customWidth="1"/>
    <col min="8199" max="8200" width="19.33203125" style="154" customWidth="1"/>
    <col min="8201" max="8201" width="13.88671875" style="154" customWidth="1"/>
    <col min="8202" max="8202" width="25.33203125" style="154" customWidth="1"/>
    <col min="8203" max="8203" width="16.33203125" style="154" customWidth="1"/>
    <col min="8204" max="8448" width="9.33203125" style="154"/>
    <col min="8449" max="8449" width="15" style="154" customWidth="1"/>
    <col min="8450" max="8450" width="12.6640625" style="154" customWidth="1"/>
    <col min="8451" max="8451" width="11.6640625" style="154" customWidth="1"/>
    <col min="8452" max="8452" width="44.88671875" style="154" customWidth="1"/>
    <col min="8453" max="8453" width="54.6640625" style="154" customWidth="1"/>
    <col min="8454" max="8454" width="15.33203125" style="154" customWidth="1"/>
    <col min="8455" max="8456" width="19.33203125" style="154" customWidth="1"/>
    <col min="8457" max="8457" width="13.88671875" style="154" customWidth="1"/>
    <col min="8458" max="8458" width="25.33203125" style="154" customWidth="1"/>
    <col min="8459" max="8459" width="16.33203125" style="154" customWidth="1"/>
    <col min="8460" max="8704" width="9.33203125" style="154"/>
    <col min="8705" max="8705" width="15" style="154" customWidth="1"/>
    <col min="8706" max="8706" width="12.6640625" style="154" customWidth="1"/>
    <col min="8707" max="8707" width="11.6640625" style="154" customWidth="1"/>
    <col min="8708" max="8708" width="44.88671875" style="154" customWidth="1"/>
    <col min="8709" max="8709" width="54.6640625" style="154" customWidth="1"/>
    <col min="8710" max="8710" width="15.33203125" style="154" customWidth="1"/>
    <col min="8711" max="8712" width="19.33203125" style="154" customWidth="1"/>
    <col min="8713" max="8713" width="13.88671875" style="154" customWidth="1"/>
    <col min="8714" max="8714" width="25.33203125" style="154" customWidth="1"/>
    <col min="8715" max="8715" width="16.33203125" style="154" customWidth="1"/>
    <col min="8716" max="8960" width="9.33203125" style="154"/>
    <col min="8961" max="8961" width="15" style="154" customWidth="1"/>
    <col min="8962" max="8962" width="12.6640625" style="154" customWidth="1"/>
    <col min="8963" max="8963" width="11.6640625" style="154" customWidth="1"/>
    <col min="8964" max="8964" width="44.88671875" style="154" customWidth="1"/>
    <col min="8965" max="8965" width="54.6640625" style="154" customWidth="1"/>
    <col min="8966" max="8966" width="15.33203125" style="154" customWidth="1"/>
    <col min="8967" max="8968" width="19.33203125" style="154" customWidth="1"/>
    <col min="8969" max="8969" width="13.88671875" style="154" customWidth="1"/>
    <col min="8970" max="8970" width="25.33203125" style="154" customWidth="1"/>
    <col min="8971" max="8971" width="16.33203125" style="154" customWidth="1"/>
    <col min="8972" max="9216" width="9.33203125" style="154"/>
    <col min="9217" max="9217" width="15" style="154" customWidth="1"/>
    <col min="9218" max="9218" width="12.6640625" style="154" customWidth="1"/>
    <col min="9219" max="9219" width="11.6640625" style="154" customWidth="1"/>
    <col min="9220" max="9220" width="44.88671875" style="154" customWidth="1"/>
    <col min="9221" max="9221" width="54.6640625" style="154" customWidth="1"/>
    <col min="9222" max="9222" width="15.33203125" style="154" customWidth="1"/>
    <col min="9223" max="9224" width="19.33203125" style="154" customWidth="1"/>
    <col min="9225" max="9225" width="13.88671875" style="154" customWidth="1"/>
    <col min="9226" max="9226" width="25.33203125" style="154" customWidth="1"/>
    <col min="9227" max="9227" width="16.33203125" style="154" customWidth="1"/>
    <col min="9228" max="9472" width="9.33203125" style="154"/>
    <col min="9473" max="9473" width="15" style="154" customWidth="1"/>
    <col min="9474" max="9474" width="12.6640625" style="154" customWidth="1"/>
    <col min="9475" max="9475" width="11.6640625" style="154" customWidth="1"/>
    <col min="9476" max="9476" width="44.88671875" style="154" customWidth="1"/>
    <col min="9477" max="9477" width="54.6640625" style="154" customWidth="1"/>
    <col min="9478" max="9478" width="15.33203125" style="154" customWidth="1"/>
    <col min="9479" max="9480" width="19.33203125" style="154" customWidth="1"/>
    <col min="9481" max="9481" width="13.88671875" style="154" customWidth="1"/>
    <col min="9482" max="9482" width="25.33203125" style="154" customWidth="1"/>
    <col min="9483" max="9483" width="16.33203125" style="154" customWidth="1"/>
    <col min="9484" max="9728" width="9.33203125" style="154"/>
    <col min="9729" max="9729" width="15" style="154" customWidth="1"/>
    <col min="9730" max="9730" width="12.6640625" style="154" customWidth="1"/>
    <col min="9731" max="9731" width="11.6640625" style="154" customWidth="1"/>
    <col min="9732" max="9732" width="44.88671875" style="154" customWidth="1"/>
    <col min="9733" max="9733" width="54.6640625" style="154" customWidth="1"/>
    <col min="9734" max="9734" width="15.33203125" style="154" customWidth="1"/>
    <col min="9735" max="9736" width="19.33203125" style="154" customWidth="1"/>
    <col min="9737" max="9737" width="13.88671875" style="154" customWidth="1"/>
    <col min="9738" max="9738" width="25.33203125" style="154" customWidth="1"/>
    <col min="9739" max="9739" width="16.33203125" style="154" customWidth="1"/>
    <col min="9740" max="9984" width="9.33203125" style="154"/>
    <col min="9985" max="9985" width="15" style="154" customWidth="1"/>
    <col min="9986" max="9986" width="12.6640625" style="154" customWidth="1"/>
    <col min="9987" max="9987" width="11.6640625" style="154" customWidth="1"/>
    <col min="9988" max="9988" width="44.88671875" style="154" customWidth="1"/>
    <col min="9989" max="9989" width="54.6640625" style="154" customWidth="1"/>
    <col min="9990" max="9990" width="15.33203125" style="154" customWidth="1"/>
    <col min="9991" max="9992" width="19.33203125" style="154" customWidth="1"/>
    <col min="9993" max="9993" width="13.88671875" style="154" customWidth="1"/>
    <col min="9994" max="9994" width="25.33203125" style="154" customWidth="1"/>
    <col min="9995" max="9995" width="16.33203125" style="154" customWidth="1"/>
    <col min="9996" max="10240" width="9.33203125" style="154"/>
    <col min="10241" max="10241" width="15" style="154" customWidth="1"/>
    <col min="10242" max="10242" width="12.6640625" style="154" customWidth="1"/>
    <col min="10243" max="10243" width="11.6640625" style="154" customWidth="1"/>
    <col min="10244" max="10244" width="44.88671875" style="154" customWidth="1"/>
    <col min="10245" max="10245" width="54.6640625" style="154" customWidth="1"/>
    <col min="10246" max="10246" width="15.33203125" style="154" customWidth="1"/>
    <col min="10247" max="10248" width="19.33203125" style="154" customWidth="1"/>
    <col min="10249" max="10249" width="13.88671875" style="154" customWidth="1"/>
    <col min="10250" max="10250" width="25.33203125" style="154" customWidth="1"/>
    <col min="10251" max="10251" width="16.33203125" style="154" customWidth="1"/>
    <col min="10252" max="10496" width="9.33203125" style="154"/>
    <col min="10497" max="10497" width="15" style="154" customWidth="1"/>
    <col min="10498" max="10498" width="12.6640625" style="154" customWidth="1"/>
    <col min="10499" max="10499" width="11.6640625" style="154" customWidth="1"/>
    <col min="10500" max="10500" width="44.88671875" style="154" customWidth="1"/>
    <col min="10501" max="10501" width="54.6640625" style="154" customWidth="1"/>
    <col min="10502" max="10502" width="15.33203125" style="154" customWidth="1"/>
    <col min="10503" max="10504" width="19.33203125" style="154" customWidth="1"/>
    <col min="10505" max="10505" width="13.88671875" style="154" customWidth="1"/>
    <col min="10506" max="10506" width="25.33203125" style="154" customWidth="1"/>
    <col min="10507" max="10507" width="16.33203125" style="154" customWidth="1"/>
    <col min="10508" max="10752" width="9.33203125" style="154"/>
    <col min="10753" max="10753" width="15" style="154" customWidth="1"/>
    <col min="10754" max="10754" width="12.6640625" style="154" customWidth="1"/>
    <col min="10755" max="10755" width="11.6640625" style="154" customWidth="1"/>
    <col min="10756" max="10756" width="44.88671875" style="154" customWidth="1"/>
    <col min="10757" max="10757" width="54.6640625" style="154" customWidth="1"/>
    <col min="10758" max="10758" width="15.33203125" style="154" customWidth="1"/>
    <col min="10759" max="10760" width="19.33203125" style="154" customWidth="1"/>
    <col min="10761" max="10761" width="13.88671875" style="154" customWidth="1"/>
    <col min="10762" max="10762" width="25.33203125" style="154" customWidth="1"/>
    <col min="10763" max="10763" width="16.33203125" style="154" customWidth="1"/>
    <col min="10764" max="11008" width="9.33203125" style="154"/>
    <col min="11009" max="11009" width="15" style="154" customWidth="1"/>
    <col min="11010" max="11010" width="12.6640625" style="154" customWidth="1"/>
    <col min="11011" max="11011" width="11.6640625" style="154" customWidth="1"/>
    <col min="11012" max="11012" width="44.88671875" style="154" customWidth="1"/>
    <col min="11013" max="11013" width="54.6640625" style="154" customWidth="1"/>
    <col min="11014" max="11014" width="15.33203125" style="154" customWidth="1"/>
    <col min="11015" max="11016" width="19.33203125" style="154" customWidth="1"/>
    <col min="11017" max="11017" width="13.88671875" style="154" customWidth="1"/>
    <col min="11018" max="11018" width="25.33203125" style="154" customWidth="1"/>
    <col min="11019" max="11019" width="16.33203125" style="154" customWidth="1"/>
    <col min="11020" max="11264" width="9.33203125" style="154"/>
    <col min="11265" max="11265" width="15" style="154" customWidth="1"/>
    <col min="11266" max="11266" width="12.6640625" style="154" customWidth="1"/>
    <col min="11267" max="11267" width="11.6640625" style="154" customWidth="1"/>
    <col min="11268" max="11268" width="44.88671875" style="154" customWidth="1"/>
    <col min="11269" max="11269" width="54.6640625" style="154" customWidth="1"/>
    <col min="11270" max="11270" width="15.33203125" style="154" customWidth="1"/>
    <col min="11271" max="11272" width="19.33203125" style="154" customWidth="1"/>
    <col min="11273" max="11273" width="13.88671875" style="154" customWidth="1"/>
    <col min="11274" max="11274" width="25.33203125" style="154" customWidth="1"/>
    <col min="11275" max="11275" width="16.33203125" style="154" customWidth="1"/>
    <col min="11276" max="11520" width="9.33203125" style="154"/>
    <col min="11521" max="11521" width="15" style="154" customWidth="1"/>
    <col min="11522" max="11522" width="12.6640625" style="154" customWidth="1"/>
    <col min="11523" max="11523" width="11.6640625" style="154" customWidth="1"/>
    <col min="11524" max="11524" width="44.88671875" style="154" customWidth="1"/>
    <col min="11525" max="11525" width="54.6640625" style="154" customWidth="1"/>
    <col min="11526" max="11526" width="15.33203125" style="154" customWidth="1"/>
    <col min="11527" max="11528" width="19.33203125" style="154" customWidth="1"/>
    <col min="11529" max="11529" width="13.88671875" style="154" customWidth="1"/>
    <col min="11530" max="11530" width="25.33203125" style="154" customWidth="1"/>
    <col min="11531" max="11531" width="16.33203125" style="154" customWidth="1"/>
    <col min="11532" max="11776" width="9.33203125" style="154"/>
    <col min="11777" max="11777" width="15" style="154" customWidth="1"/>
    <col min="11778" max="11778" width="12.6640625" style="154" customWidth="1"/>
    <col min="11779" max="11779" width="11.6640625" style="154" customWidth="1"/>
    <col min="11780" max="11780" width="44.88671875" style="154" customWidth="1"/>
    <col min="11781" max="11781" width="54.6640625" style="154" customWidth="1"/>
    <col min="11782" max="11782" width="15.33203125" style="154" customWidth="1"/>
    <col min="11783" max="11784" width="19.33203125" style="154" customWidth="1"/>
    <col min="11785" max="11785" width="13.88671875" style="154" customWidth="1"/>
    <col min="11786" max="11786" width="25.33203125" style="154" customWidth="1"/>
    <col min="11787" max="11787" width="16.33203125" style="154" customWidth="1"/>
    <col min="11788" max="12032" width="9.33203125" style="154"/>
    <col min="12033" max="12033" width="15" style="154" customWidth="1"/>
    <col min="12034" max="12034" width="12.6640625" style="154" customWidth="1"/>
    <col min="12035" max="12035" width="11.6640625" style="154" customWidth="1"/>
    <col min="12036" max="12036" width="44.88671875" style="154" customWidth="1"/>
    <col min="12037" max="12037" width="54.6640625" style="154" customWidth="1"/>
    <col min="12038" max="12038" width="15.33203125" style="154" customWidth="1"/>
    <col min="12039" max="12040" width="19.33203125" style="154" customWidth="1"/>
    <col min="12041" max="12041" width="13.88671875" style="154" customWidth="1"/>
    <col min="12042" max="12042" width="25.33203125" style="154" customWidth="1"/>
    <col min="12043" max="12043" width="16.33203125" style="154" customWidth="1"/>
    <col min="12044" max="12288" width="9.33203125" style="154"/>
    <col min="12289" max="12289" width="15" style="154" customWidth="1"/>
    <col min="12290" max="12290" width="12.6640625" style="154" customWidth="1"/>
    <col min="12291" max="12291" width="11.6640625" style="154" customWidth="1"/>
    <col min="12292" max="12292" width="44.88671875" style="154" customWidth="1"/>
    <col min="12293" max="12293" width="54.6640625" style="154" customWidth="1"/>
    <col min="12294" max="12294" width="15.33203125" style="154" customWidth="1"/>
    <col min="12295" max="12296" width="19.33203125" style="154" customWidth="1"/>
    <col min="12297" max="12297" width="13.88671875" style="154" customWidth="1"/>
    <col min="12298" max="12298" width="25.33203125" style="154" customWidth="1"/>
    <col min="12299" max="12299" width="16.33203125" style="154" customWidth="1"/>
    <col min="12300" max="12544" width="9.33203125" style="154"/>
    <col min="12545" max="12545" width="15" style="154" customWidth="1"/>
    <col min="12546" max="12546" width="12.6640625" style="154" customWidth="1"/>
    <col min="12547" max="12547" width="11.6640625" style="154" customWidth="1"/>
    <col min="12548" max="12548" width="44.88671875" style="154" customWidth="1"/>
    <col min="12549" max="12549" width="54.6640625" style="154" customWidth="1"/>
    <col min="12550" max="12550" width="15.33203125" style="154" customWidth="1"/>
    <col min="12551" max="12552" width="19.33203125" style="154" customWidth="1"/>
    <col min="12553" max="12553" width="13.88671875" style="154" customWidth="1"/>
    <col min="12554" max="12554" width="25.33203125" style="154" customWidth="1"/>
    <col min="12555" max="12555" width="16.33203125" style="154" customWidth="1"/>
    <col min="12556" max="12800" width="9.33203125" style="154"/>
    <col min="12801" max="12801" width="15" style="154" customWidth="1"/>
    <col min="12802" max="12802" width="12.6640625" style="154" customWidth="1"/>
    <col min="12803" max="12803" width="11.6640625" style="154" customWidth="1"/>
    <col min="12804" max="12804" width="44.88671875" style="154" customWidth="1"/>
    <col min="12805" max="12805" width="54.6640625" style="154" customWidth="1"/>
    <col min="12806" max="12806" width="15.33203125" style="154" customWidth="1"/>
    <col min="12807" max="12808" width="19.33203125" style="154" customWidth="1"/>
    <col min="12809" max="12809" width="13.88671875" style="154" customWidth="1"/>
    <col min="12810" max="12810" width="25.33203125" style="154" customWidth="1"/>
    <col min="12811" max="12811" width="16.33203125" style="154" customWidth="1"/>
    <col min="12812" max="13056" width="9.33203125" style="154"/>
    <col min="13057" max="13057" width="15" style="154" customWidth="1"/>
    <col min="13058" max="13058" width="12.6640625" style="154" customWidth="1"/>
    <col min="13059" max="13059" width="11.6640625" style="154" customWidth="1"/>
    <col min="13060" max="13060" width="44.88671875" style="154" customWidth="1"/>
    <col min="13061" max="13061" width="54.6640625" style="154" customWidth="1"/>
    <col min="13062" max="13062" width="15.33203125" style="154" customWidth="1"/>
    <col min="13063" max="13064" width="19.33203125" style="154" customWidth="1"/>
    <col min="13065" max="13065" width="13.88671875" style="154" customWidth="1"/>
    <col min="13066" max="13066" width="25.33203125" style="154" customWidth="1"/>
    <col min="13067" max="13067" width="16.33203125" style="154" customWidth="1"/>
    <col min="13068" max="13312" width="9.33203125" style="154"/>
    <col min="13313" max="13313" width="15" style="154" customWidth="1"/>
    <col min="13314" max="13314" width="12.6640625" style="154" customWidth="1"/>
    <col min="13315" max="13315" width="11.6640625" style="154" customWidth="1"/>
    <col min="13316" max="13316" width="44.88671875" style="154" customWidth="1"/>
    <col min="13317" max="13317" width="54.6640625" style="154" customWidth="1"/>
    <col min="13318" max="13318" width="15.33203125" style="154" customWidth="1"/>
    <col min="13319" max="13320" width="19.33203125" style="154" customWidth="1"/>
    <col min="13321" max="13321" width="13.88671875" style="154" customWidth="1"/>
    <col min="13322" max="13322" width="25.33203125" style="154" customWidth="1"/>
    <col min="13323" max="13323" width="16.33203125" style="154" customWidth="1"/>
    <col min="13324" max="13568" width="9.33203125" style="154"/>
    <col min="13569" max="13569" width="15" style="154" customWidth="1"/>
    <col min="13570" max="13570" width="12.6640625" style="154" customWidth="1"/>
    <col min="13571" max="13571" width="11.6640625" style="154" customWidth="1"/>
    <col min="13572" max="13572" width="44.88671875" style="154" customWidth="1"/>
    <col min="13573" max="13573" width="54.6640625" style="154" customWidth="1"/>
    <col min="13574" max="13574" width="15.33203125" style="154" customWidth="1"/>
    <col min="13575" max="13576" width="19.33203125" style="154" customWidth="1"/>
    <col min="13577" max="13577" width="13.88671875" style="154" customWidth="1"/>
    <col min="13578" max="13578" width="25.33203125" style="154" customWidth="1"/>
    <col min="13579" max="13579" width="16.33203125" style="154" customWidth="1"/>
    <col min="13580" max="13824" width="9.33203125" style="154"/>
    <col min="13825" max="13825" width="15" style="154" customWidth="1"/>
    <col min="13826" max="13826" width="12.6640625" style="154" customWidth="1"/>
    <col min="13827" max="13827" width="11.6640625" style="154" customWidth="1"/>
    <col min="13828" max="13828" width="44.88671875" style="154" customWidth="1"/>
    <col min="13829" max="13829" width="54.6640625" style="154" customWidth="1"/>
    <col min="13830" max="13830" width="15.33203125" style="154" customWidth="1"/>
    <col min="13831" max="13832" width="19.33203125" style="154" customWidth="1"/>
    <col min="13833" max="13833" width="13.88671875" style="154" customWidth="1"/>
    <col min="13834" max="13834" width="25.33203125" style="154" customWidth="1"/>
    <col min="13835" max="13835" width="16.33203125" style="154" customWidth="1"/>
    <col min="13836" max="14080" width="9.33203125" style="154"/>
    <col min="14081" max="14081" width="15" style="154" customWidth="1"/>
    <col min="14082" max="14082" width="12.6640625" style="154" customWidth="1"/>
    <col min="14083" max="14083" width="11.6640625" style="154" customWidth="1"/>
    <col min="14084" max="14084" width="44.88671875" style="154" customWidth="1"/>
    <col min="14085" max="14085" width="54.6640625" style="154" customWidth="1"/>
    <col min="14086" max="14086" width="15.33203125" style="154" customWidth="1"/>
    <col min="14087" max="14088" width="19.33203125" style="154" customWidth="1"/>
    <col min="14089" max="14089" width="13.88671875" style="154" customWidth="1"/>
    <col min="14090" max="14090" width="25.33203125" style="154" customWidth="1"/>
    <col min="14091" max="14091" width="16.33203125" style="154" customWidth="1"/>
    <col min="14092" max="14336" width="9.33203125" style="154"/>
    <col min="14337" max="14337" width="15" style="154" customWidth="1"/>
    <col min="14338" max="14338" width="12.6640625" style="154" customWidth="1"/>
    <col min="14339" max="14339" width="11.6640625" style="154" customWidth="1"/>
    <col min="14340" max="14340" width="44.88671875" style="154" customWidth="1"/>
    <col min="14341" max="14341" width="54.6640625" style="154" customWidth="1"/>
    <col min="14342" max="14342" width="15.33203125" style="154" customWidth="1"/>
    <col min="14343" max="14344" width="19.33203125" style="154" customWidth="1"/>
    <col min="14345" max="14345" width="13.88671875" style="154" customWidth="1"/>
    <col min="14346" max="14346" width="25.33203125" style="154" customWidth="1"/>
    <col min="14347" max="14347" width="16.33203125" style="154" customWidth="1"/>
    <col min="14348" max="14592" width="9.33203125" style="154"/>
    <col min="14593" max="14593" width="15" style="154" customWidth="1"/>
    <col min="14594" max="14594" width="12.6640625" style="154" customWidth="1"/>
    <col min="14595" max="14595" width="11.6640625" style="154" customWidth="1"/>
    <col min="14596" max="14596" width="44.88671875" style="154" customWidth="1"/>
    <col min="14597" max="14597" width="54.6640625" style="154" customWidth="1"/>
    <col min="14598" max="14598" width="15.33203125" style="154" customWidth="1"/>
    <col min="14599" max="14600" width="19.33203125" style="154" customWidth="1"/>
    <col min="14601" max="14601" width="13.88671875" style="154" customWidth="1"/>
    <col min="14602" max="14602" width="25.33203125" style="154" customWidth="1"/>
    <col min="14603" max="14603" width="16.33203125" style="154" customWidth="1"/>
    <col min="14604" max="14848" width="9.33203125" style="154"/>
    <col min="14849" max="14849" width="15" style="154" customWidth="1"/>
    <col min="14850" max="14850" width="12.6640625" style="154" customWidth="1"/>
    <col min="14851" max="14851" width="11.6640625" style="154" customWidth="1"/>
    <col min="14852" max="14852" width="44.88671875" style="154" customWidth="1"/>
    <col min="14853" max="14853" width="54.6640625" style="154" customWidth="1"/>
    <col min="14854" max="14854" width="15.33203125" style="154" customWidth="1"/>
    <col min="14855" max="14856" width="19.33203125" style="154" customWidth="1"/>
    <col min="14857" max="14857" width="13.88671875" style="154" customWidth="1"/>
    <col min="14858" max="14858" width="25.33203125" style="154" customWidth="1"/>
    <col min="14859" max="14859" width="16.33203125" style="154" customWidth="1"/>
    <col min="14860" max="15104" width="9.33203125" style="154"/>
    <col min="15105" max="15105" width="15" style="154" customWidth="1"/>
    <col min="15106" max="15106" width="12.6640625" style="154" customWidth="1"/>
    <col min="15107" max="15107" width="11.6640625" style="154" customWidth="1"/>
    <col min="15108" max="15108" width="44.88671875" style="154" customWidth="1"/>
    <col min="15109" max="15109" width="54.6640625" style="154" customWidth="1"/>
    <col min="15110" max="15110" width="15.33203125" style="154" customWidth="1"/>
    <col min="15111" max="15112" width="19.33203125" style="154" customWidth="1"/>
    <col min="15113" max="15113" width="13.88671875" style="154" customWidth="1"/>
    <col min="15114" max="15114" width="25.33203125" style="154" customWidth="1"/>
    <col min="15115" max="15115" width="16.33203125" style="154" customWidth="1"/>
    <col min="15116" max="15360" width="9.33203125" style="154"/>
    <col min="15361" max="15361" width="15" style="154" customWidth="1"/>
    <col min="15362" max="15362" width="12.6640625" style="154" customWidth="1"/>
    <col min="15363" max="15363" width="11.6640625" style="154" customWidth="1"/>
    <col min="15364" max="15364" width="44.88671875" style="154" customWidth="1"/>
    <col min="15365" max="15365" width="54.6640625" style="154" customWidth="1"/>
    <col min="15366" max="15366" width="15.33203125" style="154" customWidth="1"/>
    <col min="15367" max="15368" width="19.33203125" style="154" customWidth="1"/>
    <col min="15369" max="15369" width="13.88671875" style="154" customWidth="1"/>
    <col min="15370" max="15370" width="25.33203125" style="154" customWidth="1"/>
    <col min="15371" max="15371" width="16.33203125" style="154" customWidth="1"/>
    <col min="15372" max="15616" width="9.33203125" style="154"/>
    <col min="15617" max="15617" width="15" style="154" customWidth="1"/>
    <col min="15618" max="15618" width="12.6640625" style="154" customWidth="1"/>
    <col min="15619" max="15619" width="11.6640625" style="154" customWidth="1"/>
    <col min="15620" max="15620" width="44.88671875" style="154" customWidth="1"/>
    <col min="15621" max="15621" width="54.6640625" style="154" customWidth="1"/>
    <col min="15622" max="15622" width="15.33203125" style="154" customWidth="1"/>
    <col min="15623" max="15624" width="19.33203125" style="154" customWidth="1"/>
    <col min="15625" max="15625" width="13.88671875" style="154" customWidth="1"/>
    <col min="15626" max="15626" width="25.33203125" style="154" customWidth="1"/>
    <col min="15627" max="15627" width="16.33203125" style="154" customWidth="1"/>
    <col min="15628" max="15872" width="9.33203125" style="154"/>
    <col min="15873" max="15873" width="15" style="154" customWidth="1"/>
    <col min="15874" max="15874" width="12.6640625" style="154" customWidth="1"/>
    <col min="15875" max="15875" width="11.6640625" style="154" customWidth="1"/>
    <col min="15876" max="15876" width="44.88671875" style="154" customWidth="1"/>
    <col min="15877" max="15877" width="54.6640625" style="154" customWidth="1"/>
    <col min="15878" max="15878" width="15.33203125" style="154" customWidth="1"/>
    <col min="15879" max="15880" width="19.33203125" style="154" customWidth="1"/>
    <col min="15881" max="15881" width="13.88671875" style="154" customWidth="1"/>
    <col min="15882" max="15882" width="25.33203125" style="154" customWidth="1"/>
    <col min="15883" max="15883" width="16.33203125" style="154" customWidth="1"/>
    <col min="15884" max="16128" width="9.33203125" style="154"/>
    <col min="16129" max="16129" width="15" style="154" customWidth="1"/>
    <col min="16130" max="16130" width="12.6640625" style="154" customWidth="1"/>
    <col min="16131" max="16131" width="11.6640625" style="154" customWidth="1"/>
    <col min="16132" max="16132" width="44.88671875" style="154" customWidth="1"/>
    <col min="16133" max="16133" width="54.6640625" style="154" customWidth="1"/>
    <col min="16134" max="16134" width="15.33203125" style="154" customWidth="1"/>
    <col min="16135" max="16136" width="19.33203125" style="154" customWidth="1"/>
    <col min="16137" max="16137" width="13.88671875" style="154" customWidth="1"/>
    <col min="16138" max="16138" width="25.33203125" style="154" customWidth="1"/>
    <col min="16139" max="16139" width="16.33203125" style="154" customWidth="1"/>
    <col min="16140" max="16384" width="9.33203125" style="154"/>
  </cols>
  <sheetData>
    <row r="1" spans="1:11" ht="15.6" x14ac:dyDescent="0.25">
      <c r="J1" s="396" t="s">
        <v>427</v>
      </c>
      <c r="K1" s="136"/>
    </row>
    <row r="2" spans="1:11" ht="15.6" x14ac:dyDescent="0.25">
      <c r="J2" s="396" t="s">
        <v>8</v>
      </c>
      <c r="K2" s="136"/>
    </row>
    <row r="3" spans="1:11" ht="15.6" x14ac:dyDescent="0.3">
      <c r="J3" s="6" t="s">
        <v>609</v>
      </c>
      <c r="K3" s="404"/>
    </row>
    <row r="4" spans="1:11" ht="15.6" x14ac:dyDescent="0.3">
      <c r="J4" s="6" t="s">
        <v>610</v>
      </c>
      <c r="K4" s="136"/>
    </row>
    <row r="5" spans="1:11" ht="15.6" x14ac:dyDescent="0.25">
      <c r="J5" s="687" t="s">
        <v>425</v>
      </c>
      <c r="K5" s="687"/>
    </row>
    <row r="7" spans="1:11" ht="15.6" x14ac:dyDescent="0.25">
      <c r="G7" s="158"/>
      <c r="H7" s="158"/>
      <c r="I7" s="158"/>
      <c r="J7" s="786" t="s">
        <v>557</v>
      </c>
      <c r="K7" s="786"/>
    </row>
    <row r="8" spans="1:11" ht="15.6" x14ac:dyDescent="0.25">
      <c r="G8" s="158"/>
      <c r="H8" s="158"/>
      <c r="I8" s="158"/>
      <c r="J8" s="786" t="s">
        <v>208</v>
      </c>
      <c r="K8" s="786"/>
    </row>
    <row r="9" spans="1:11" ht="15.6" x14ac:dyDescent="0.3">
      <c r="G9" s="158"/>
      <c r="H9" s="158"/>
      <c r="I9" s="158"/>
      <c r="J9" s="145" t="s">
        <v>209</v>
      </c>
      <c r="K9" s="405"/>
    </row>
    <row r="10" spans="1:11" ht="15.6" x14ac:dyDescent="0.3">
      <c r="G10" s="158"/>
      <c r="H10" s="158"/>
      <c r="I10" s="158"/>
      <c r="J10" s="145" t="s">
        <v>282</v>
      </c>
      <c r="K10" s="405"/>
    </row>
    <row r="11" spans="1:11" ht="14.1" customHeight="1" x14ac:dyDescent="0.3">
      <c r="G11" s="158"/>
      <c r="H11" s="158"/>
      <c r="I11" s="158"/>
      <c r="J11" s="149" t="s">
        <v>433</v>
      </c>
    </row>
    <row r="12" spans="1:11" ht="20.25" customHeight="1" x14ac:dyDescent="0.3">
      <c r="G12" s="158"/>
      <c r="H12" s="158"/>
      <c r="I12" s="158"/>
      <c r="J12" s="150" t="s">
        <v>438</v>
      </c>
    </row>
    <row r="13" spans="1:11" ht="15.6" x14ac:dyDescent="0.25">
      <c r="G13" s="158"/>
      <c r="H13" s="158"/>
      <c r="I13" s="158"/>
      <c r="J13" s="161" t="s">
        <v>462</v>
      </c>
    </row>
    <row r="14" spans="1:11" s="145" customFormat="1" ht="15.6" x14ac:dyDescent="0.3">
      <c r="A14" s="154"/>
      <c r="B14" s="155"/>
      <c r="C14" s="156"/>
      <c r="D14" s="157"/>
      <c r="E14" s="158"/>
      <c r="F14" s="156"/>
      <c r="G14" s="158"/>
      <c r="H14" s="158"/>
      <c r="I14" s="158"/>
      <c r="K14" s="406"/>
    </row>
    <row r="15" spans="1:11" ht="27" customHeight="1" x14ac:dyDescent="0.25">
      <c r="A15" s="787" t="s">
        <v>283</v>
      </c>
      <c r="B15" s="787"/>
      <c r="C15" s="787"/>
      <c r="D15" s="787"/>
      <c r="E15" s="787"/>
      <c r="F15" s="787"/>
      <c r="G15" s="787"/>
      <c r="H15" s="787"/>
      <c r="I15" s="787"/>
      <c r="J15" s="787"/>
      <c r="K15" s="787"/>
    </row>
    <row r="16" spans="1:11" ht="28.35" customHeight="1" x14ac:dyDescent="0.25">
      <c r="A16" s="788">
        <v>1559100000</v>
      </c>
      <c r="B16" s="788"/>
      <c r="C16" s="788"/>
      <c r="D16" s="789"/>
      <c r="E16" s="789"/>
      <c r="F16" s="789"/>
      <c r="G16" s="789"/>
      <c r="H16" s="789"/>
      <c r="I16" s="789"/>
      <c r="J16" s="789"/>
      <c r="K16" s="789"/>
    </row>
    <row r="17" spans="1:11" ht="22.2" customHeight="1" thickBot="1" x14ac:dyDescent="0.3">
      <c r="A17" s="779" t="s">
        <v>0</v>
      </c>
      <c r="B17" s="779"/>
      <c r="C17" s="779"/>
      <c r="D17" s="151"/>
      <c r="E17" s="151"/>
      <c r="F17" s="162"/>
      <c r="G17" s="151"/>
      <c r="H17" s="151"/>
      <c r="I17" s="151"/>
      <c r="J17" s="151"/>
      <c r="K17" s="163" t="s">
        <v>1</v>
      </c>
    </row>
    <row r="18" spans="1:11" s="145" customFormat="1" ht="77.25" customHeight="1" x14ac:dyDescent="0.3">
      <c r="A18" s="780" t="s">
        <v>11</v>
      </c>
      <c r="B18" s="782" t="s">
        <v>12</v>
      </c>
      <c r="C18" s="784" t="s">
        <v>210</v>
      </c>
      <c r="D18" s="782" t="s">
        <v>211</v>
      </c>
      <c r="E18" s="784" t="s">
        <v>212</v>
      </c>
      <c r="F18" s="782" t="s">
        <v>213</v>
      </c>
      <c r="G18" s="784" t="s">
        <v>214</v>
      </c>
      <c r="H18" s="790" t="s">
        <v>215</v>
      </c>
      <c r="I18" s="782" t="s">
        <v>216</v>
      </c>
      <c r="J18" s="790" t="s">
        <v>217</v>
      </c>
      <c r="K18" s="792" t="s">
        <v>218</v>
      </c>
    </row>
    <row r="19" spans="1:11" s="145" customFormat="1" ht="103.2" customHeight="1" thickBot="1" x14ac:dyDescent="0.35">
      <c r="A19" s="781"/>
      <c r="B19" s="783"/>
      <c r="C19" s="785"/>
      <c r="D19" s="783"/>
      <c r="E19" s="785"/>
      <c r="F19" s="783"/>
      <c r="G19" s="785"/>
      <c r="H19" s="791"/>
      <c r="I19" s="783"/>
      <c r="J19" s="791"/>
      <c r="K19" s="793"/>
    </row>
    <row r="20" spans="1:11" s="168" customFormat="1" ht="24" customHeight="1" thickBot="1" x14ac:dyDescent="0.35">
      <c r="A20" s="164" t="s">
        <v>219</v>
      </c>
      <c r="B20" s="152" t="s">
        <v>220</v>
      </c>
      <c r="C20" s="165" t="s">
        <v>221</v>
      </c>
      <c r="D20" s="152" t="s">
        <v>222</v>
      </c>
      <c r="E20" s="152" t="s">
        <v>223</v>
      </c>
      <c r="F20" s="152" t="s">
        <v>224</v>
      </c>
      <c r="G20" s="152" t="s">
        <v>225</v>
      </c>
      <c r="H20" s="165" t="s">
        <v>226</v>
      </c>
      <c r="I20" s="165" t="s">
        <v>227</v>
      </c>
      <c r="J20" s="166">
        <v>11</v>
      </c>
      <c r="K20" s="167">
        <v>12</v>
      </c>
    </row>
    <row r="21" spans="1:11" s="168" customFormat="1" ht="82.95" customHeight="1" thickBot="1" x14ac:dyDescent="0.35">
      <c r="A21" s="105" t="s">
        <v>16</v>
      </c>
      <c r="B21" s="169"/>
      <c r="C21" s="170"/>
      <c r="D21" s="171" t="s">
        <v>228</v>
      </c>
      <c r="E21" s="407"/>
      <c r="F21" s="107"/>
      <c r="G21" s="108"/>
      <c r="H21" s="109"/>
      <c r="I21" s="109"/>
      <c r="J21" s="110">
        <f>J22</f>
        <v>18586309</v>
      </c>
      <c r="K21" s="111"/>
    </row>
    <row r="22" spans="1:11" s="168" customFormat="1" ht="69.599999999999994" customHeight="1" x14ac:dyDescent="0.3">
      <c r="A22" s="112" t="s">
        <v>19</v>
      </c>
      <c r="B22" s="172"/>
      <c r="C22" s="172"/>
      <c r="D22" s="408" t="s">
        <v>228</v>
      </c>
      <c r="E22" s="409"/>
      <c r="F22" s="113"/>
      <c r="G22" s="114"/>
      <c r="H22" s="115"/>
      <c r="I22" s="115"/>
      <c r="J22" s="116">
        <f>J23+J24+J25+J26+J27+J28</f>
        <v>18586309</v>
      </c>
      <c r="K22" s="117"/>
    </row>
    <row r="23" spans="1:11" s="168" customFormat="1" ht="126" customHeight="1" x14ac:dyDescent="0.3">
      <c r="A23" s="260" t="s">
        <v>368</v>
      </c>
      <c r="B23" s="261" t="s">
        <v>369</v>
      </c>
      <c r="C23" s="261" t="s">
        <v>20</v>
      </c>
      <c r="D23" s="647" t="s">
        <v>370</v>
      </c>
      <c r="E23" s="410" t="s">
        <v>229</v>
      </c>
      <c r="F23" s="411"/>
      <c r="G23" s="412"/>
      <c r="H23" s="412"/>
      <c r="I23" s="412"/>
      <c r="J23" s="264">
        <f>160990+1934747</f>
        <v>2095737</v>
      </c>
      <c r="K23" s="413"/>
    </row>
    <row r="24" spans="1:11" s="168" customFormat="1" ht="62.25" customHeight="1" x14ac:dyDescent="0.3">
      <c r="A24" s="414" t="s">
        <v>21</v>
      </c>
      <c r="B24" s="415" t="s">
        <v>22</v>
      </c>
      <c r="C24" s="415" t="s">
        <v>23</v>
      </c>
      <c r="D24" s="648" t="s">
        <v>24</v>
      </c>
      <c r="E24" s="416" t="s">
        <v>521</v>
      </c>
      <c r="F24" s="417"/>
      <c r="G24" s="418"/>
      <c r="H24" s="418"/>
      <c r="I24" s="418"/>
      <c r="J24" s="419">
        <v>7440800</v>
      </c>
      <c r="K24" s="413"/>
    </row>
    <row r="25" spans="1:11" s="168" customFormat="1" ht="81" customHeight="1" x14ac:dyDescent="0.3">
      <c r="A25" s="414" t="s">
        <v>25</v>
      </c>
      <c r="B25" s="415" t="s">
        <v>26</v>
      </c>
      <c r="C25" s="415" t="s">
        <v>27</v>
      </c>
      <c r="D25" s="648" t="s">
        <v>28</v>
      </c>
      <c r="E25" s="416" t="s">
        <v>521</v>
      </c>
      <c r="F25" s="417"/>
      <c r="G25" s="418"/>
      <c r="H25" s="418"/>
      <c r="I25" s="418"/>
      <c r="J25" s="419">
        <v>304000</v>
      </c>
      <c r="K25" s="413"/>
    </row>
    <row r="26" spans="1:11" s="168" customFormat="1" ht="99" customHeight="1" x14ac:dyDescent="0.3">
      <c r="A26" s="420" t="s">
        <v>495</v>
      </c>
      <c r="B26" s="421" t="s">
        <v>496</v>
      </c>
      <c r="C26" s="421" t="s">
        <v>373</v>
      </c>
      <c r="D26" s="649" t="s">
        <v>497</v>
      </c>
      <c r="E26" s="410" t="s">
        <v>555</v>
      </c>
      <c r="F26" s="417"/>
      <c r="G26" s="418"/>
      <c r="H26" s="418"/>
      <c r="I26" s="418"/>
      <c r="J26" s="419">
        <v>51172</v>
      </c>
      <c r="K26" s="413"/>
    </row>
    <row r="27" spans="1:11" s="168" customFormat="1" ht="47.25" customHeight="1" x14ac:dyDescent="0.3">
      <c r="A27" s="485" t="s">
        <v>492</v>
      </c>
      <c r="B27" s="486" t="s">
        <v>493</v>
      </c>
      <c r="C27" s="486" t="s">
        <v>38</v>
      </c>
      <c r="D27" s="650" t="s">
        <v>182</v>
      </c>
      <c r="E27" s="422" t="s">
        <v>229</v>
      </c>
      <c r="F27" s="417"/>
      <c r="G27" s="418"/>
      <c r="H27" s="418"/>
      <c r="I27" s="418"/>
      <c r="J27" s="419">
        <v>755000</v>
      </c>
      <c r="K27" s="413"/>
    </row>
    <row r="28" spans="1:11" s="168" customFormat="1" ht="93" customHeight="1" thickBot="1" x14ac:dyDescent="0.35">
      <c r="A28" s="427" t="s">
        <v>486</v>
      </c>
      <c r="B28" s="328">
        <v>9800</v>
      </c>
      <c r="C28" s="327" t="s">
        <v>424</v>
      </c>
      <c r="D28" s="651" t="s">
        <v>487</v>
      </c>
      <c r="E28" s="428" t="s">
        <v>522</v>
      </c>
      <c r="F28" s="424"/>
      <c r="G28" s="425"/>
      <c r="H28" s="425"/>
      <c r="I28" s="425"/>
      <c r="J28" s="429">
        <f>900000+6950000+89600</f>
        <v>7939600</v>
      </c>
      <c r="K28" s="426"/>
    </row>
    <row r="29" spans="1:11" s="168" customFormat="1" ht="81" customHeight="1" thickBot="1" x14ac:dyDescent="0.35">
      <c r="A29" s="322" t="s">
        <v>44</v>
      </c>
      <c r="B29" s="323" t="s">
        <v>17</v>
      </c>
      <c r="C29" s="323" t="s">
        <v>17</v>
      </c>
      <c r="D29" s="652" t="s">
        <v>45</v>
      </c>
      <c r="E29" s="430"/>
      <c r="F29" s="329"/>
      <c r="G29" s="330"/>
      <c r="H29" s="330"/>
      <c r="I29" s="330"/>
      <c r="J29" s="118">
        <f>J30</f>
        <v>443675</v>
      </c>
      <c r="K29" s="331"/>
    </row>
    <row r="30" spans="1:11" s="168" customFormat="1" ht="76.2" customHeight="1" x14ac:dyDescent="0.3">
      <c r="A30" s="315" t="s">
        <v>46</v>
      </c>
      <c r="B30" s="316" t="s">
        <v>17</v>
      </c>
      <c r="C30" s="316" t="s">
        <v>17</v>
      </c>
      <c r="D30" s="653" t="s">
        <v>45</v>
      </c>
      <c r="E30" s="431"/>
      <c r="F30" s="177"/>
      <c r="G30" s="332"/>
      <c r="H30" s="332"/>
      <c r="I30" s="332"/>
      <c r="J30" s="119">
        <f>J31+J32</f>
        <v>443675</v>
      </c>
      <c r="K30" s="432"/>
    </row>
    <row r="31" spans="1:11" s="168" customFormat="1" ht="93" customHeight="1" x14ac:dyDescent="0.3">
      <c r="A31" s="624" t="s">
        <v>52</v>
      </c>
      <c r="B31" s="597">
        <v>1021</v>
      </c>
      <c r="C31" s="598" t="s">
        <v>54</v>
      </c>
      <c r="D31" s="654" t="s">
        <v>464</v>
      </c>
      <c r="E31" s="433" t="s">
        <v>229</v>
      </c>
      <c r="F31" s="621"/>
      <c r="G31" s="622"/>
      <c r="H31" s="622"/>
      <c r="I31" s="622"/>
      <c r="J31" s="623">
        <f>168195+52080+175550</f>
        <v>395825</v>
      </c>
      <c r="K31" s="432"/>
    </row>
    <row r="32" spans="1:11" s="168" customFormat="1" ht="69" customHeight="1" x14ac:dyDescent="0.3">
      <c r="A32" s="808" t="s">
        <v>498</v>
      </c>
      <c r="B32" s="810" t="s">
        <v>499</v>
      </c>
      <c r="C32" s="821" t="s">
        <v>484</v>
      </c>
      <c r="D32" s="823" t="s">
        <v>485</v>
      </c>
      <c r="E32" s="433" t="s">
        <v>229</v>
      </c>
      <c r="F32" s="333"/>
      <c r="G32" s="334"/>
      <c r="H32" s="334"/>
      <c r="I32" s="334"/>
      <c r="J32" s="326">
        <v>47850</v>
      </c>
      <c r="K32" s="646"/>
    </row>
    <row r="33" spans="1:11" s="168" customFormat="1" ht="69" customHeight="1" x14ac:dyDescent="0.3">
      <c r="A33" s="809"/>
      <c r="B33" s="811"/>
      <c r="C33" s="822"/>
      <c r="D33" s="824"/>
      <c r="E33" s="423" t="s">
        <v>560</v>
      </c>
      <c r="F33" s="514"/>
      <c r="G33" s="462"/>
      <c r="H33" s="462"/>
      <c r="I33" s="462"/>
      <c r="J33" s="515">
        <v>47850</v>
      </c>
      <c r="K33" s="646"/>
    </row>
    <row r="34" spans="1:11" s="168" customFormat="1" ht="78" customHeight="1" thickBot="1" x14ac:dyDescent="0.35">
      <c r="A34" s="507" t="s">
        <v>130</v>
      </c>
      <c r="B34" s="508"/>
      <c r="C34" s="508"/>
      <c r="D34" s="655" t="s">
        <v>230</v>
      </c>
      <c r="E34" s="509"/>
      <c r="F34" s="510"/>
      <c r="G34" s="511"/>
      <c r="H34" s="511"/>
      <c r="I34" s="511"/>
      <c r="J34" s="512">
        <f>J35</f>
        <v>1119376</v>
      </c>
      <c r="K34" s="513"/>
    </row>
    <row r="35" spans="1:11" s="168" customFormat="1" ht="82.5" customHeight="1" x14ac:dyDescent="0.3">
      <c r="A35" s="173" t="s">
        <v>132</v>
      </c>
      <c r="B35" s="174"/>
      <c r="C35" s="174"/>
      <c r="D35" s="656" t="s">
        <v>230</v>
      </c>
      <c r="E35" s="434"/>
      <c r="F35" s="175"/>
      <c r="G35" s="176"/>
      <c r="H35" s="176"/>
      <c r="I35" s="176"/>
      <c r="J35" s="119">
        <f>SUM(J36:J37)</f>
        <v>1119376</v>
      </c>
      <c r="K35" s="120"/>
    </row>
    <row r="36" spans="1:11" s="168" customFormat="1" ht="90" customHeight="1" x14ac:dyDescent="0.3">
      <c r="A36" s="260" t="s">
        <v>133</v>
      </c>
      <c r="B36" s="261" t="s">
        <v>47</v>
      </c>
      <c r="C36" s="261" t="s">
        <v>20</v>
      </c>
      <c r="D36" s="647" t="s">
        <v>231</v>
      </c>
      <c r="E36" s="410" t="s">
        <v>229</v>
      </c>
      <c r="F36" s="262"/>
      <c r="G36" s="263"/>
      <c r="H36" s="263"/>
      <c r="I36" s="263"/>
      <c r="J36" s="264">
        <v>23000</v>
      </c>
      <c r="K36" s="265"/>
    </row>
    <row r="37" spans="1:11" s="168" customFormat="1" ht="190.95" customHeight="1" x14ac:dyDescent="0.3">
      <c r="A37" s="487" t="s">
        <v>500</v>
      </c>
      <c r="B37" s="488" t="s">
        <v>501</v>
      </c>
      <c r="C37" s="488" t="s">
        <v>502</v>
      </c>
      <c r="D37" s="657" t="s">
        <v>503</v>
      </c>
      <c r="E37" s="521" t="s">
        <v>559</v>
      </c>
      <c r="F37" s="415" t="s">
        <v>541</v>
      </c>
      <c r="G37" s="522">
        <v>19130675</v>
      </c>
      <c r="H37" s="522">
        <f>5536036+201301.9+19600</f>
        <v>5756937.9000000004</v>
      </c>
      <c r="I37" s="523">
        <f>H37/G37</f>
        <v>0.30092706608627245</v>
      </c>
      <c r="J37" s="264">
        <v>1096376</v>
      </c>
      <c r="K37" s="524">
        <v>1</v>
      </c>
    </row>
    <row r="38" spans="1:11" s="168" customFormat="1" ht="68.400000000000006" customHeight="1" thickBot="1" x14ac:dyDescent="0.35">
      <c r="A38" s="507" t="s">
        <v>150</v>
      </c>
      <c r="B38" s="516"/>
      <c r="C38" s="516"/>
      <c r="D38" s="658" t="s">
        <v>232</v>
      </c>
      <c r="E38" s="517"/>
      <c r="F38" s="516"/>
      <c r="G38" s="518"/>
      <c r="H38" s="518"/>
      <c r="I38" s="518"/>
      <c r="J38" s="519">
        <f>J39</f>
        <v>68091860</v>
      </c>
      <c r="K38" s="520"/>
    </row>
    <row r="39" spans="1:11" s="168" customFormat="1" ht="78.599999999999994" customHeight="1" x14ac:dyDescent="0.3">
      <c r="A39" s="173" t="s">
        <v>152</v>
      </c>
      <c r="B39" s="177"/>
      <c r="C39" s="178"/>
      <c r="D39" s="659" t="s">
        <v>232</v>
      </c>
      <c r="E39" s="435"/>
      <c r="F39" s="317"/>
      <c r="G39" s="179"/>
      <c r="H39" s="179"/>
      <c r="I39" s="179"/>
      <c r="J39" s="179">
        <f>J42+J40+J44+J46+J47+J48+J52+J53+J55+J57+J59+J61+J63+J65+J66+J68+J72+J70+J74+J75+J50</f>
        <v>68091860</v>
      </c>
      <c r="K39" s="180"/>
    </row>
    <row r="40" spans="1:11" s="168" customFormat="1" ht="181.2" customHeight="1" x14ac:dyDescent="0.3">
      <c r="A40" s="798">
        <v>1511010</v>
      </c>
      <c r="B40" s="800" t="s">
        <v>49</v>
      </c>
      <c r="C40" s="800" t="s">
        <v>50</v>
      </c>
      <c r="D40" s="802" t="s">
        <v>51</v>
      </c>
      <c r="E40" s="436" t="s">
        <v>523</v>
      </c>
      <c r="F40" s="794" t="s">
        <v>541</v>
      </c>
      <c r="G40" s="335">
        <v>6724665</v>
      </c>
      <c r="H40" s="335">
        <v>46740</v>
      </c>
      <c r="I40" s="505">
        <f>H40/G40</f>
        <v>6.9505321082908959E-3</v>
      </c>
      <c r="J40" s="335">
        <v>4694110</v>
      </c>
      <c r="K40" s="437">
        <v>0.70499999999999996</v>
      </c>
    </row>
    <row r="41" spans="1:11" s="168" customFormat="1" ht="48" customHeight="1" x14ac:dyDescent="0.3">
      <c r="A41" s="799"/>
      <c r="B41" s="801"/>
      <c r="C41" s="801"/>
      <c r="D41" s="803"/>
      <c r="E41" s="318" t="s">
        <v>524</v>
      </c>
      <c r="F41" s="795"/>
      <c r="G41" s="634">
        <v>32955</v>
      </c>
      <c r="H41" s="634">
        <v>0</v>
      </c>
      <c r="I41" s="635">
        <f>H41/G41</f>
        <v>0</v>
      </c>
      <c r="J41" s="634">
        <v>32955</v>
      </c>
      <c r="K41" s="439">
        <v>1</v>
      </c>
    </row>
    <row r="42" spans="1:11" s="168" customFormat="1" ht="222.6" customHeight="1" x14ac:dyDescent="0.3">
      <c r="A42" s="804" t="s">
        <v>180</v>
      </c>
      <c r="B42" s="806" t="s">
        <v>53</v>
      </c>
      <c r="C42" s="806" t="s">
        <v>54</v>
      </c>
      <c r="D42" s="796" t="s">
        <v>464</v>
      </c>
      <c r="E42" s="440" t="s">
        <v>426</v>
      </c>
      <c r="F42" s="794" t="s">
        <v>233</v>
      </c>
      <c r="G42" s="335">
        <v>14199683</v>
      </c>
      <c r="H42" s="441">
        <v>1040629</v>
      </c>
      <c r="I42" s="505">
        <f>H42/G42</f>
        <v>7.3285368412801893E-2</v>
      </c>
      <c r="J42" s="335">
        <f>6202186+6588451</f>
        <v>12790637</v>
      </c>
      <c r="K42" s="437">
        <v>1</v>
      </c>
    </row>
    <row r="43" spans="1:11" s="168" customFormat="1" ht="25.2" customHeight="1" x14ac:dyDescent="0.3">
      <c r="A43" s="805"/>
      <c r="B43" s="807"/>
      <c r="C43" s="807"/>
      <c r="D43" s="797"/>
      <c r="E43" s="318" t="s">
        <v>234</v>
      </c>
      <c r="F43" s="795"/>
      <c r="G43" s="438">
        <v>1218131</v>
      </c>
      <c r="H43" s="442">
        <v>1040629</v>
      </c>
      <c r="I43" s="443">
        <v>1</v>
      </c>
      <c r="J43" s="335"/>
      <c r="K43" s="455">
        <v>1</v>
      </c>
    </row>
    <row r="44" spans="1:11" s="168" customFormat="1" ht="184.2" customHeight="1" x14ac:dyDescent="0.3">
      <c r="A44" s="804" t="s">
        <v>180</v>
      </c>
      <c r="B44" s="806" t="s">
        <v>53</v>
      </c>
      <c r="C44" s="806" t="s">
        <v>54</v>
      </c>
      <c r="D44" s="796" t="s">
        <v>464</v>
      </c>
      <c r="E44" s="440" t="s">
        <v>525</v>
      </c>
      <c r="F44" s="794" t="s">
        <v>541</v>
      </c>
      <c r="G44" s="335">
        <v>2577176</v>
      </c>
      <c r="H44" s="335">
        <v>48439</v>
      </c>
      <c r="I44" s="505">
        <f>H44/G44</f>
        <v>1.8795379128161989E-2</v>
      </c>
      <c r="J44" s="335">
        <v>2012776</v>
      </c>
      <c r="K44" s="437">
        <v>0.79979999999999996</v>
      </c>
    </row>
    <row r="45" spans="1:11" s="168" customFormat="1" ht="46.2" customHeight="1" x14ac:dyDescent="0.3">
      <c r="A45" s="805"/>
      <c r="B45" s="807"/>
      <c r="C45" s="807"/>
      <c r="D45" s="797"/>
      <c r="E45" s="318" t="s">
        <v>524</v>
      </c>
      <c r="F45" s="795"/>
      <c r="G45" s="634">
        <v>32049</v>
      </c>
      <c r="H45" s="634">
        <v>0</v>
      </c>
      <c r="I45" s="635">
        <f>H45/G45</f>
        <v>0</v>
      </c>
      <c r="J45" s="634">
        <v>32049</v>
      </c>
      <c r="K45" s="633">
        <v>1</v>
      </c>
    </row>
    <row r="46" spans="1:11" s="184" customFormat="1" ht="179.4" customHeight="1" x14ac:dyDescent="0.35">
      <c r="A46" s="427" t="s">
        <v>504</v>
      </c>
      <c r="B46" s="397" t="s">
        <v>22</v>
      </c>
      <c r="C46" s="397" t="s">
        <v>23</v>
      </c>
      <c r="D46" s="660" t="s">
        <v>24</v>
      </c>
      <c r="E46" s="321" t="s">
        <v>526</v>
      </c>
      <c r="F46" s="325" t="s">
        <v>541</v>
      </c>
      <c r="G46" s="181">
        <v>1463482</v>
      </c>
      <c r="H46" s="181">
        <v>1264348</v>
      </c>
      <c r="I46" s="505">
        <f>H46/G46</f>
        <v>0.86393136369289136</v>
      </c>
      <c r="J46" s="324">
        <v>103135</v>
      </c>
      <c r="K46" s="437">
        <v>1</v>
      </c>
    </row>
    <row r="47" spans="1:11" s="184" customFormat="1" ht="165" customHeight="1" x14ac:dyDescent="0.35">
      <c r="A47" s="427" t="s">
        <v>504</v>
      </c>
      <c r="B47" s="397" t="s">
        <v>22</v>
      </c>
      <c r="C47" s="397" t="s">
        <v>23</v>
      </c>
      <c r="D47" s="660" t="s">
        <v>24</v>
      </c>
      <c r="E47" s="320" t="s">
        <v>527</v>
      </c>
      <c r="F47" s="398" t="s">
        <v>541</v>
      </c>
      <c r="G47" s="181">
        <v>959821</v>
      </c>
      <c r="H47" s="181">
        <v>365336</v>
      </c>
      <c r="I47" s="505">
        <f>H47/G47</f>
        <v>0.38062930483913149</v>
      </c>
      <c r="J47" s="324">
        <v>509663</v>
      </c>
      <c r="K47" s="437">
        <v>1</v>
      </c>
    </row>
    <row r="48" spans="1:11" s="184" customFormat="1" ht="114" customHeight="1" x14ac:dyDescent="0.35">
      <c r="A48" s="808" t="s">
        <v>505</v>
      </c>
      <c r="B48" s="810" t="s">
        <v>110</v>
      </c>
      <c r="C48" s="810" t="s">
        <v>111</v>
      </c>
      <c r="D48" s="812" t="s">
        <v>506</v>
      </c>
      <c r="E48" s="321" t="s">
        <v>528</v>
      </c>
      <c r="F48" s="833" t="s">
        <v>541</v>
      </c>
      <c r="G48" s="181">
        <v>385436</v>
      </c>
      <c r="H48" s="181"/>
      <c r="I48" s="182"/>
      <c r="J48" s="324">
        <v>385436</v>
      </c>
      <c r="K48" s="437">
        <v>1</v>
      </c>
    </row>
    <row r="49" spans="1:11" s="184" customFormat="1" ht="33" customHeight="1" thickBot="1" x14ac:dyDescent="0.4">
      <c r="A49" s="809"/>
      <c r="B49" s="811"/>
      <c r="C49" s="811"/>
      <c r="D49" s="813"/>
      <c r="E49" s="319" t="s">
        <v>529</v>
      </c>
      <c r="F49" s="834"/>
      <c r="G49" s="445">
        <v>54268</v>
      </c>
      <c r="H49" s="445"/>
      <c r="I49" s="183"/>
      <c r="J49" s="446">
        <v>54268</v>
      </c>
      <c r="K49" s="439">
        <v>1</v>
      </c>
    </row>
    <row r="50" spans="1:11" s="184" customFormat="1" ht="178.8" customHeight="1" x14ac:dyDescent="0.35">
      <c r="A50" s="814" t="s">
        <v>597</v>
      </c>
      <c r="B50" s="810" t="s">
        <v>598</v>
      </c>
      <c r="C50" s="810" t="s">
        <v>30</v>
      </c>
      <c r="D50" s="812" t="s">
        <v>596</v>
      </c>
      <c r="E50" s="662" t="s">
        <v>616</v>
      </c>
      <c r="F50" s="816" t="s">
        <v>601</v>
      </c>
      <c r="G50" s="181">
        <v>18249482</v>
      </c>
      <c r="H50" s="181">
        <v>280376</v>
      </c>
      <c r="I50" s="628">
        <v>1.5299999999999999E-2</v>
      </c>
      <c r="J50" s="324">
        <v>7702800</v>
      </c>
      <c r="K50" s="437">
        <v>0.43740000000000001</v>
      </c>
    </row>
    <row r="51" spans="1:11" s="184" customFormat="1" ht="31.2" customHeight="1" x14ac:dyDescent="0.35">
      <c r="A51" s="815"/>
      <c r="B51" s="811"/>
      <c r="C51" s="811"/>
      <c r="D51" s="813"/>
      <c r="E51" s="423" t="s">
        <v>600</v>
      </c>
      <c r="F51" s="817"/>
      <c r="G51" s="445">
        <v>319312</v>
      </c>
      <c r="H51" s="445"/>
      <c r="I51" s="645"/>
      <c r="J51" s="446">
        <v>319312</v>
      </c>
      <c r="K51" s="439">
        <v>1</v>
      </c>
    </row>
    <row r="52" spans="1:11" s="626" customFormat="1" ht="120.6" customHeight="1" x14ac:dyDescent="0.35">
      <c r="A52" s="625" t="s">
        <v>581</v>
      </c>
      <c r="B52" s="599" t="s">
        <v>139</v>
      </c>
      <c r="C52" s="599" t="s">
        <v>30</v>
      </c>
      <c r="D52" s="660" t="s">
        <v>140</v>
      </c>
      <c r="E52" s="436" t="s">
        <v>582</v>
      </c>
      <c r="F52" s="627" t="s">
        <v>583</v>
      </c>
      <c r="G52" s="181">
        <v>213272</v>
      </c>
      <c r="H52" s="181">
        <v>0</v>
      </c>
      <c r="I52" s="628"/>
      <c r="J52" s="324">
        <v>213272</v>
      </c>
      <c r="K52" s="437">
        <v>1</v>
      </c>
    </row>
    <row r="53" spans="1:11" s="184" customFormat="1" ht="107.4" customHeight="1" x14ac:dyDescent="0.35">
      <c r="A53" s="808" t="s">
        <v>507</v>
      </c>
      <c r="B53" s="810" t="s">
        <v>29</v>
      </c>
      <c r="C53" s="810" t="s">
        <v>30</v>
      </c>
      <c r="D53" s="812" t="s">
        <v>31</v>
      </c>
      <c r="E53" s="321" t="s">
        <v>530</v>
      </c>
      <c r="F53" s="833" t="s">
        <v>541</v>
      </c>
      <c r="G53" s="181">
        <v>21173775</v>
      </c>
      <c r="H53" s="181">
        <v>2769967</v>
      </c>
      <c r="I53" s="505">
        <f>H53/G53</f>
        <v>0.13082064960074433</v>
      </c>
      <c r="J53" s="324">
        <v>8403808</v>
      </c>
      <c r="K53" s="437">
        <v>0.52800000000000002</v>
      </c>
    </row>
    <row r="54" spans="1:11" s="184" customFormat="1" ht="51" customHeight="1" x14ac:dyDescent="0.35">
      <c r="A54" s="809"/>
      <c r="B54" s="811"/>
      <c r="C54" s="811"/>
      <c r="D54" s="813"/>
      <c r="E54" s="318" t="s">
        <v>524</v>
      </c>
      <c r="F54" s="817"/>
      <c r="G54" s="446">
        <v>316870</v>
      </c>
      <c r="H54" s="445"/>
      <c r="I54" s="183"/>
      <c r="J54" s="446">
        <v>316870</v>
      </c>
      <c r="K54" s="439">
        <v>1</v>
      </c>
    </row>
    <row r="55" spans="1:11" s="184" customFormat="1" ht="105" customHeight="1" x14ac:dyDescent="0.35">
      <c r="A55" s="808" t="s">
        <v>507</v>
      </c>
      <c r="B55" s="810" t="s">
        <v>29</v>
      </c>
      <c r="C55" s="810" t="s">
        <v>30</v>
      </c>
      <c r="D55" s="812" t="s">
        <v>31</v>
      </c>
      <c r="E55" s="320" t="s">
        <v>531</v>
      </c>
      <c r="F55" s="818" t="s">
        <v>541</v>
      </c>
      <c r="G55" s="181">
        <v>3644207</v>
      </c>
      <c r="H55" s="181">
        <v>1516531</v>
      </c>
      <c r="I55" s="505">
        <f>H55/G55</f>
        <v>0.41614842406043345</v>
      </c>
      <c r="J55" s="324">
        <v>2127676</v>
      </c>
      <c r="K55" s="437">
        <v>1</v>
      </c>
    </row>
    <row r="56" spans="1:11" s="184" customFormat="1" ht="58.2" customHeight="1" x14ac:dyDescent="0.35">
      <c r="A56" s="809"/>
      <c r="B56" s="811"/>
      <c r="C56" s="811"/>
      <c r="D56" s="813"/>
      <c r="E56" s="318" t="s">
        <v>524</v>
      </c>
      <c r="F56" s="817"/>
      <c r="G56" s="446">
        <v>156490</v>
      </c>
      <c r="H56" s="445"/>
      <c r="I56" s="183"/>
      <c r="J56" s="446">
        <v>156490</v>
      </c>
      <c r="K56" s="439">
        <v>1</v>
      </c>
    </row>
    <row r="57" spans="1:11" s="184" customFormat="1" ht="115.95" customHeight="1" x14ac:dyDescent="0.35">
      <c r="A57" s="808" t="s">
        <v>507</v>
      </c>
      <c r="B57" s="810" t="s">
        <v>29</v>
      </c>
      <c r="C57" s="810" t="s">
        <v>30</v>
      </c>
      <c r="D57" s="812" t="s">
        <v>31</v>
      </c>
      <c r="E57" s="447" t="s">
        <v>532</v>
      </c>
      <c r="F57" s="818" t="s">
        <v>541</v>
      </c>
      <c r="G57" s="399">
        <v>9294461</v>
      </c>
      <c r="H57" s="399">
        <v>6428440</v>
      </c>
      <c r="I57" s="505">
        <f>H57/G57</f>
        <v>0.69164204357842807</v>
      </c>
      <c r="J57" s="399">
        <f>1495530+36203</f>
        <v>1531733</v>
      </c>
      <c r="K57" s="448">
        <v>0.85640000000000005</v>
      </c>
    </row>
    <row r="58" spans="1:11" s="184" customFormat="1" ht="51.6" customHeight="1" x14ac:dyDescent="0.35">
      <c r="A58" s="809"/>
      <c r="B58" s="811"/>
      <c r="C58" s="811"/>
      <c r="D58" s="813"/>
      <c r="E58" s="629" t="s">
        <v>524</v>
      </c>
      <c r="F58" s="817"/>
      <c r="G58" s="471">
        <v>36203</v>
      </c>
      <c r="H58" s="471">
        <v>0</v>
      </c>
      <c r="I58" s="630">
        <v>0</v>
      </c>
      <c r="J58" s="471">
        <v>36203</v>
      </c>
      <c r="K58" s="631">
        <v>1</v>
      </c>
    </row>
    <row r="59" spans="1:11" s="184" customFormat="1" ht="136.94999999999999" customHeight="1" x14ac:dyDescent="0.35">
      <c r="A59" s="808" t="s">
        <v>507</v>
      </c>
      <c r="B59" s="810" t="s">
        <v>29</v>
      </c>
      <c r="C59" s="810" t="s">
        <v>30</v>
      </c>
      <c r="D59" s="812" t="s">
        <v>31</v>
      </c>
      <c r="E59" s="449" t="s">
        <v>533</v>
      </c>
      <c r="F59" s="818" t="s">
        <v>541</v>
      </c>
      <c r="G59" s="450">
        <v>5995493</v>
      </c>
      <c r="H59" s="450">
        <v>2839893</v>
      </c>
      <c r="I59" s="525">
        <f>H59/G59</f>
        <v>0.47367130609609587</v>
      </c>
      <c r="J59" s="450">
        <f>1644000+36659</f>
        <v>1680659</v>
      </c>
      <c r="K59" s="437">
        <v>0.75390000000000001</v>
      </c>
    </row>
    <row r="60" spans="1:11" s="184" customFormat="1" ht="42" x14ac:dyDescent="0.35">
      <c r="A60" s="809"/>
      <c r="B60" s="811"/>
      <c r="C60" s="811"/>
      <c r="D60" s="813"/>
      <c r="E60" s="629" t="s">
        <v>524</v>
      </c>
      <c r="F60" s="817"/>
      <c r="G60" s="179">
        <v>36659</v>
      </c>
      <c r="H60" s="179"/>
      <c r="I60" s="630"/>
      <c r="J60" s="179">
        <v>36659</v>
      </c>
      <c r="K60" s="455">
        <v>1</v>
      </c>
    </row>
    <row r="61" spans="1:11" s="184" customFormat="1" ht="214.2" customHeight="1" x14ac:dyDescent="0.35">
      <c r="A61" s="832" t="s">
        <v>508</v>
      </c>
      <c r="B61" s="836" t="s">
        <v>509</v>
      </c>
      <c r="C61" s="836" t="s">
        <v>153</v>
      </c>
      <c r="D61" s="837" t="s">
        <v>510</v>
      </c>
      <c r="E61" s="451" t="s">
        <v>534</v>
      </c>
      <c r="F61" s="838" t="s">
        <v>233</v>
      </c>
      <c r="G61" s="400">
        <v>2900000</v>
      </c>
      <c r="H61" s="400">
        <v>307755</v>
      </c>
      <c r="I61" s="505">
        <f>H61/G61</f>
        <v>0.10612241379310344</v>
      </c>
      <c r="J61" s="400">
        <v>307755</v>
      </c>
      <c r="K61" s="444">
        <v>0.106</v>
      </c>
    </row>
    <row r="62" spans="1:11" s="184" customFormat="1" ht="58.2" customHeight="1" x14ac:dyDescent="0.35">
      <c r="A62" s="809"/>
      <c r="B62" s="811"/>
      <c r="C62" s="811"/>
      <c r="D62" s="813"/>
      <c r="E62" s="452" t="s">
        <v>560</v>
      </c>
      <c r="F62" s="795"/>
      <c r="G62" s="179"/>
      <c r="H62" s="453"/>
      <c r="I62" s="454"/>
      <c r="J62" s="179">
        <v>307755</v>
      </c>
      <c r="K62" s="455">
        <v>1</v>
      </c>
    </row>
    <row r="63" spans="1:11" s="184" customFormat="1" ht="120" customHeight="1" x14ac:dyDescent="0.35">
      <c r="A63" s="829" t="s">
        <v>511</v>
      </c>
      <c r="B63" s="830" t="s">
        <v>512</v>
      </c>
      <c r="C63" s="830" t="s">
        <v>153</v>
      </c>
      <c r="D63" s="835" t="s">
        <v>513</v>
      </c>
      <c r="E63" s="320" t="s">
        <v>535</v>
      </c>
      <c r="F63" s="794" t="s">
        <v>541</v>
      </c>
      <c r="G63" s="400">
        <v>1933051</v>
      </c>
      <c r="H63" s="400">
        <v>68017</v>
      </c>
      <c r="I63" s="505">
        <f>H63/G63</f>
        <v>3.5186345316290155E-2</v>
      </c>
      <c r="J63" s="400">
        <v>1865034</v>
      </c>
      <c r="K63" s="444">
        <v>1</v>
      </c>
    </row>
    <row r="64" spans="1:11" s="184" customFormat="1" ht="50.25" customHeight="1" x14ac:dyDescent="0.35">
      <c r="A64" s="829"/>
      <c r="B64" s="830"/>
      <c r="C64" s="830"/>
      <c r="D64" s="835"/>
      <c r="E64" s="318" t="s">
        <v>524</v>
      </c>
      <c r="F64" s="795"/>
      <c r="G64" s="179">
        <v>64438</v>
      </c>
      <c r="H64" s="453"/>
      <c r="I64" s="454"/>
      <c r="J64" s="179">
        <v>64438</v>
      </c>
      <c r="K64" s="455">
        <v>1</v>
      </c>
    </row>
    <row r="65" spans="1:11" s="184" customFormat="1" ht="169.95" customHeight="1" x14ac:dyDescent="0.35">
      <c r="A65" s="414" t="s">
        <v>154</v>
      </c>
      <c r="B65" s="314" t="s">
        <v>155</v>
      </c>
      <c r="C65" s="314" t="s">
        <v>153</v>
      </c>
      <c r="D65" s="657" t="s">
        <v>156</v>
      </c>
      <c r="E65" s="456" t="s">
        <v>429</v>
      </c>
      <c r="F65" s="336" t="s">
        <v>233</v>
      </c>
      <c r="G65" s="457">
        <v>2524014</v>
      </c>
      <c r="H65" s="400">
        <v>1516987</v>
      </c>
      <c r="I65" s="505">
        <f>H65/G65</f>
        <v>0.60102162666292658</v>
      </c>
      <c r="J65" s="400">
        <f>724014+196092</f>
        <v>920106</v>
      </c>
      <c r="K65" s="444">
        <v>1</v>
      </c>
    </row>
    <row r="66" spans="1:11" s="184" customFormat="1" ht="176.4" customHeight="1" x14ac:dyDescent="0.35">
      <c r="A66" s="798" t="s">
        <v>154</v>
      </c>
      <c r="B66" s="800" t="s">
        <v>155</v>
      </c>
      <c r="C66" s="800" t="s">
        <v>153</v>
      </c>
      <c r="D66" s="802" t="s">
        <v>156</v>
      </c>
      <c r="E66" s="320" t="s">
        <v>536</v>
      </c>
      <c r="F66" s="794" t="s">
        <v>233</v>
      </c>
      <c r="G66" s="632">
        <v>55686476</v>
      </c>
      <c r="H66" s="638">
        <v>0</v>
      </c>
      <c r="I66" s="639">
        <v>0</v>
      </c>
      <c r="J66" s="632">
        <f>2000000+170000</f>
        <v>2170000</v>
      </c>
      <c r="K66" s="640">
        <v>3.8899999999999997E-2</v>
      </c>
    </row>
    <row r="67" spans="1:11" s="184" customFormat="1" ht="40.5" customHeight="1" x14ac:dyDescent="0.35">
      <c r="A67" s="799"/>
      <c r="B67" s="801"/>
      <c r="C67" s="801"/>
      <c r="D67" s="803"/>
      <c r="E67" s="458" t="s">
        <v>234</v>
      </c>
      <c r="F67" s="795"/>
      <c r="G67" s="641">
        <v>2498910</v>
      </c>
      <c r="H67" s="642"/>
      <c r="I67" s="643"/>
      <c r="J67" s="641">
        <v>2170000</v>
      </c>
      <c r="K67" s="644">
        <v>1</v>
      </c>
    </row>
    <row r="68" spans="1:11" s="168" customFormat="1" ht="85.95" customHeight="1" x14ac:dyDescent="0.3">
      <c r="A68" s="808" t="s">
        <v>514</v>
      </c>
      <c r="B68" s="810" t="s">
        <v>143</v>
      </c>
      <c r="C68" s="810" t="s">
        <v>144</v>
      </c>
      <c r="D68" s="812" t="s">
        <v>145</v>
      </c>
      <c r="E68" s="321" t="s">
        <v>537</v>
      </c>
      <c r="F68" s="794" t="s">
        <v>541</v>
      </c>
      <c r="G68" s="459">
        <v>8453029</v>
      </c>
      <c r="H68" s="412">
        <v>4009847</v>
      </c>
      <c r="I68" s="505">
        <f>H68/G68</f>
        <v>0.4743680638029279</v>
      </c>
      <c r="J68" s="450">
        <v>4443182</v>
      </c>
      <c r="K68" s="437">
        <v>1</v>
      </c>
    </row>
    <row r="69" spans="1:11" s="168" customFormat="1" ht="46.5" customHeight="1" x14ac:dyDescent="0.3">
      <c r="A69" s="809"/>
      <c r="B69" s="811"/>
      <c r="C69" s="811"/>
      <c r="D69" s="813"/>
      <c r="E69" s="319" t="s">
        <v>524</v>
      </c>
      <c r="F69" s="795"/>
      <c r="G69" s="461">
        <v>112978</v>
      </c>
      <c r="H69" s="462"/>
      <c r="I69" s="463"/>
      <c r="J69" s="242">
        <v>112978</v>
      </c>
      <c r="K69" s="439">
        <v>1</v>
      </c>
    </row>
    <row r="70" spans="1:11" s="168" customFormat="1" ht="98.4" customHeight="1" x14ac:dyDescent="0.3">
      <c r="A70" s="808" t="s">
        <v>514</v>
      </c>
      <c r="B70" s="810" t="s">
        <v>143</v>
      </c>
      <c r="C70" s="810" t="s">
        <v>144</v>
      </c>
      <c r="D70" s="812" t="s">
        <v>145</v>
      </c>
      <c r="E70" s="436" t="s">
        <v>617</v>
      </c>
      <c r="F70" s="794" t="s">
        <v>583</v>
      </c>
      <c r="G70" s="459">
        <v>32783846</v>
      </c>
      <c r="H70" s="412">
        <v>10404887</v>
      </c>
      <c r="I70" s="636">
        <v>0.31740000000000002</v>
      </c>
      <c r="J70" s="450">
        <f>200000+14000000</f>
        <v>14200000</v>
      </c>
      <c r="K70" s="437">
        <v>0.75049999999999994</v>
      </c>
    </row>
    <row r="71" spans="1:11" s="184" customFormat="1" ht="35.4" customHeight="1" x14ac:dyDescent="0.35">
      <c r="A71" s="809"/>
      <c r="B71" s="811"/>
      <c r="C71" s="811"/>
      <c r="D71" s="813"/>
      <c r="E71" s="319" t="s">
        <v>600</v>
      </c>
      <c r="F71" s="795"/>
      <c r="G71" s="461">
        <v>200000</v>
      </c>
      <c r="H71" s="412">
        <v>0</v>
      </c>
      <c r="I71" s="636">
        <v>0</v>
      </c>
      <c r="J71" s="242">
        <v>200000</v>
      </c>
      <c r="K71" s="439">
        <v>1</v>
      </c>
    </row>
    <row r="72" spans="1:11" s="168" customFormat="1" ht="118.2" customHeight="1" x14ac:dyDescent="0.3">
      <c r="A72" s="808" t="s">
        <v>515</v>
      </c>
      <c r="B72" s="810" t="s">
        <v>491</v>
      </c>
      <c r="C72" s="810" t="s">
        <v>373</v>
      </c>
      <c r="D72" s="812" t="s">
        <v>516</v>
      </c>
      <c r="E72" s="321" t="s">
        <v>538</v>
      </c>
      <c r="F72" s="794" t="s">
        <v>542</v>
      </c>
      <c r="G72" s="459">
        <v>1550395</v>
      </c>
      <c r="H72" s="412">
        <f>1043205+468060</f>
        <v>1511265</v>
      </c>
      <c r="I72" s="460">
        <v>1</v>
      </c>
      <c r="J72" s="464">
        <v>468060</v>
      </c>
      <c r="K72" s="526">
        <v>1</v>
      </c>
    </row>
    <row r="73" spans="1:11" s="168" customFormat="1" ht="60.6" customHeight="1" x14ac:dyDescent="0.3">
      <c r="A73" s="809"/>
      <c r="B73" s="811"/>
      <c r="C73" s="811"/>
      <c r="D73" s="813"/>
      <c r="E73" s="465" t="s">
        <v>560</v>
      </c>
      <c r="F73" s="795"/>
      <c r="G73" s="338"/>
      <c r="H73" s="336"/>
      <c r="I73" s="337"/>
      <c r="J73" s="466">
        <v>468060</v>
      </c>
      <c r="K73" s="506">
        <v>1</v>
      </c>
    </row>
    <row r="74" spans="1:11" s="168" customFormat="1" ht="106.2" customHeight="1" x14ac:dyDescent="0.3">
      <c r="A74" s="487" t="s">
        <v>515</v>
      </c>
      <c r="B74" s="488" t="s">
        <v>491</v>
      </c>
      <c r="C74" s="488" t="s">
        <v>373</v>
      </c>
      <c r="D74" s="661" t="s">
        <v>516</v>
      </c>
      <c r="E74" s="320" t="s">
        <v>539</v>
      </c>
      <c r="F74" s="336" t="s">
        <v>541</v>
      </c>
      <c r="G74" s="459">
        <v>982460</v>
      </c>
      <c r="H74" s="412">
        <v>200000</v>
      </c>
      <c r="I74" s="525">
        <f>H74/G74</f>
        <v>0.20357062882967245</v>
      </c>
      <c r="J74" s="464">
        <v>782460</v>
      </c>
      <c r="K74" s="437">
        <v>1</v>
      </c>
    </row>
    <row r="75" spans="1:11" s="168" customFormat="1" ht="132" customHeight="1" thickBot="1" x14ac:dyDescent="0.35">
      <c r="A75" s="673" t="s">
        <v>515</v>
      </c>
      <c r="B75" s="674" t="s">
        <v>491</v>
      </c>
      <c r="C75" s="674" t="s">
        <v>373</v>
      </c>
      <c r="D75" s="675" t="s">
        <v>516</v>
      </c>
      <c r="E75" s="676" t="s">
        <v>584</v>
      </c>
      <c r="F75" s="677" t="s">
        <v>583</v>
      </c>
      <c r="G75" s="678">
        <v>779558</v>
      </c>
      <c r="H75" s="334">
        <v>0</v>
      </c>
      <c r="I75" s="679">
        <v>0</v>
      </c>
      <c r="J75" s="680">
        <v>779558</v>
      </c>
      <c r="K75" s="448">
        <v>1</v>
      </c>
    </row>
    <row r="76" spans="1:11" s="168" customFormat="1" ht="66" customHeight="1" thickBot="1" x14ac:dyDescent="0.35">
      <c r="A76" s="322" t="s">
        <v>412</v>
      </c>
      <c r="B76" s="323" t="s">
        <v>17</v>
      </c>
      <c r="C76" s="323" t="s">
        <v>17</v>
      </c>
      <c r="D76" s="652" t="s">
        <v>413</v>
      </c>
      <c r="E76" s="681"/>
      <c r="F76" s="682"/>
      <c r="G76" s="683"/>
      <c r="H76" s="684"/>
      <c r="I76" s="685"/>
      <c r="J76" s="118">
        <f>J77</f>
        <v>45200</v>
      </c>
      <c r="K76" s="686"/>
    </row>
    <row r="77" spans="1:11" s="168" customFormat="1" ht="63" x14ac:dyDescent="0.3">
      <c r="A77" s="315" t="s">
        <v>414</v>
      </c>
      <c r="B77" s="316" t="s">
        <v>17</v>
      </c>
      <c r="C77" s="316" t="s">
        <v>17</v>
      </c>
      <c r="D77" s="653" t="s">
        <v>413</v>
      </c>
      <c r="E77" s="339"/>
      <c r="F77" s="339"/>
      <c r="G77" s="340"/>
      <c r="H77" s="341"/>
      <c r="I77" s="342"/>
      <c r="J77" s="119">
        <f>SUM(J78:J78)</f>
        <v>45200</v>
      </c>
      <c r="K77" s="455"/>
    </row>
    <row r="78" spans="1:11" s="168" customFormat="1" ht="100.2" customHeight="1" x14ac:dyDescent="0.3">
      <c r="A78" s="798">
        <v>3117660</v>
      </c>
      <c r="B78" s="800">
        <v>7660</v>
      </c>
      <c r="C78" s="800">
        <v>490</v>
      </c>
      <c r="D78" s="802" t="s">
        <v>517</v>
      </c>
      <c r="E78" s="467" t="s">
        <v>540</v>
      </c>
      <c r="F78" s="827"/>
      <c r="G78" s="468"/>
      <c r="H78" s="469"/>
      <c r="I78" s="470"/>
      <c r="J78" s="471">
        <f>J79+25200</f>
        <v>45200</v>
      </c>
      <c r="K78" s="819"/>
    </row>
    <row r="79" spans="1:11" s="168" customFormat="1" ht="46.2" thickBot="1" x14ac:dyDescent="0.35">
      <c r="A79" s="831"/>
      <c r="B79" s="825"/>
      <c r="C79" s="825"/>
      <c r="D79" s="826"/>
      <c r="E79" s="481" t="s">
        <v>560</v>
      </c>
      <c r="F79" s="828"/>
      <c r="G79" s="468"/>
      <c r="H79" s="469"/>
      <c r="I79" s="470"/>
      <c r="J79" s="471">
        <v>20000</v>
      </c>
      <c r="K79" s="820"/>
    </row>
    <row r="80" spans="1:11" ht="21" thickBot="1" x14ac:dyDescent="0.3">
      <c r="A80" s="185" t="s">
        <v>235</v>
      </c>
      <c r="B80" s="107" t="s">
        <v>235</v>
      </c>
      <c r="C80" s="107" t="s">
        <v>235</v>
      </c>
      <c r="D80" s="106" t="s">
        <v>160</v>
      </c>
      <c r="E80" s="472" t="s">
        <v>235</v>
      </c>
      <c r="F80" s="473" t="s">
        <v>235</v>
      </c>
      <c r="G80" s="482" t="s">
        <v>235</v>
      </c>
      <c r="H80" s="482" t="s">
        <v>235</v>
      </c>
      <c r="I80" s="482" t="s">
        <v>235</v>
      </c>
      <c r="J80" s="483">
        <f>J38+J34+J21+J76+J29</f>
        <v>88286420</v>
      </c>
      <c r="K80" s="111" t="s">
        <v>235</v>
      </c>
    </row>
    <row r="81" spans="1:16" s="493" customFormat="1" ht="20.399999999999999" x14ac:dyDescent="0.25">
      <c r="A81" s="491"/>
      <c r="B81" s="474"/>
      <c r="C81" s="474"/>
      <c r="D81" s="475"/>
      <c r="E81" s="476"/>
      <c r="F81" s="477"/>
      <c r="G81" s="478"/>
      <c r="H81" s="478"/>
      <c r="I81" s="478"/>
      <c r="J81" s="121"/>
      <c r="K81" s="492"/>
    </row>
    <row r="82" spans="1:16" s="272" customFormat="1" ht="28.95" customHeight="1" x14ac:dyDescent="0.3">
      <c r="A82" s="768" t="s">
        <v>236</v>
      </c>
      <c r="B82" s="768"/>
      <c r="C82" s="768"/>
      <c r="D82" s="768"/>
      <c r="E82" s="489"/>
      <c r="F82" s="489"/>
      <c r="G82" s="489"/>
      <c r="H82" s="489"/>
      <c r="I82" s="489"/>
      <c r="J82" s="489" t="s">
        <v>237</v>
      </c>
      <c r="K82" s="494"/>
      <c r="L82" s="123"/>
      <c r="M82" s="489"/>
      <c r="N82" s="489"/>
      <c r="O82" s="124"/>
      <c r="P82" s="125"/>
    </row>
    <row r="83" spans="1:16" s="493" customFormat="1" x14ac:dyDescent="0.25">
      <c r="B83" s="495"/>
      <c r="C83" s="496"/>
      <c r="D83" s="497"/>
      <c r="E83" s="498"/>
      <c r="F83" s="496"/>
      <c r="G83" s="499"/>
      <c r="H83" s="499"/>
      <c r="I83" s="499"/>
      <c r="J83" s="500"/>
      <c r="K83" s="500"/>
    </row>
    <row r="84" spans="1:16" s="502" customFormat="1" ht="21" x14ac:dyDescent="0.4">
      <c r="A84" s="501"/>
      <c r="B84" s="501"/>
      <c r="G84" s="503"/>
      <c r="K84" s="504"/>
    </row>
    <row r="85" spans="1:16" s="128" customFormat="1" ht="21" x14ac:dyDescent="0.4">
      <c r="A85" s="127"/>
      <c r="B85" s="127"/>
      <c r="K85" s="479"/>
    </row>
    <row r="86" spans="1:16" s="187" customFormat="1" ht="21" x14ac:dyDescent="0.4">
      <c r="B86" s="188"/>
      <c r="C86" s="189"/>
      <c r="E86" s="190"/>
      <c r="F86" s="189"/>
      <c r="G86" s="186"/>
      <c r="H86" s="186"/>
      <c r="I86" s="186"/>
      <c r="J86" s="191"/>
      <c r="K86" s="191"/>
    </row>
    <row r="87" spans="1:16" x14ac:dyDescent="0.25">
      <c r="B87" s="154"/>
      <c r="C87" s="154"/>
      <c r="D87" s="154"/>
      <c r="E87" s="154"/>
      <c r="F87" s="154"/>
      <c r="G87" s="154"/>
      <c r="H87" s="154"/>
      <c r="I87" s="154"/>
      <c r="J87" s="154"/>
      <c r="K87" s="480"/>
    </row>
    <row r="88" spans="1:16" x14ac:dyDescent="0.25">
      <c r="B88" s="154"/>
      <c r="C88" s="154"/>
      <c r="D88" s="154"/>
      <c r="E88" s="154"/>
      <c r="F88" s="154"/>
      <c r="G88" s="154"/>
      <c r="H88" s="154"/>
      <c r="I88" s="154"/>
      <c r="J88" s="154"/>
      <c r="K88" s="480"/>
    </row>
  </sheetData>
  <mergeCells count="104">
    <mergeCell ref="A82:D82"/>
    <mergeCell ref="F53:F54"/>
    <mergeCell ref="F55:F56"/>
    <mergeCell ref="A66:A67"/>
    <mergeCell ref="B66:B67"/>
    <mergeCell ref="C66:C67"/>
    <mergeCell ref="D66:D67"/>
    <mergeCell ref="F66:F67"/>
    <mergeCell ref="C63:C64"/>
    <mergeCell ref="D63:D64"/>
    <mergeCell ref="F63:F64"/>
    <mergeCell ref="A68:A69"/>
    <mergeCell ref="B68:B69"/>
    <mergeCell ref="C68:C69"/>
    <mergeCell ref="D68:D69"/>
    <mergeCell ref="C53:C54"/>
    <mergeCell ref="B61:B62"/>
    <mergeCell ref="C61:C62"/>
    <mergeCell ref="D61:D62"/>
    <mergeCell ref="F61:F62"/>
    <mergeCell ref="C59:C60"/>
    <mergeCell ref="D59:D60"/>
    <mergeCell ref="F59:F60"/>
    <mergeCell ref="A57:A58"/>
    <mergeCell ref="K78:K79"/>
    <mergeCell ref="A32:A33"/>
    <mergeCell ref="B32:B33"/>
    <mergeCell ref="C32:C33"/>
    <mergeCell ref="D32:D33"/>
    <mergeCell ref="C78:C79"/>
    <mergeCell ref="D78:D79"/>
    <mergeCell ref="F78:F79"/>
    <mergeCell ref="A63:A64"/>
    <mergeCell ref="B63:B64"/>
    <mergeCell ref="B72:B73"/>
    <mergeCell ref="C72:C73"/>
    <mergeCell ref="D72:D73"/>
    <mergeCell ref="F72:F73"/>
    <mergeCell ref="A48:A49"/>
    <mergeCell ref="A78:A79"/>
    <mergeCell ref="B78:B79"/>
    <mergeCell ref="A44:A45"/>
    <mergeCell ref="B44:B45"/>
    <mergeCell ref="C44:C45"/>
    <mergeCell ref="D44:D45"/>
    <mergeCell ref="F44:F45"/>
    <mergeCell ref="A61:A62"/>
    <mergeCell ref="F48:F49"/>
    <mergeCell ref="A72:A73"/>
    <mergeCell ref="B48:B49"/>
    <mergeCell ref="C48:C49"/>
    <mergeCell ref="D48:D49"/>
    <mergeCell ref="A55:A56"/>
    <mergeCell ref="B55:B56"/>
    <mergeCell ref="C55:C56"/>
    <mergeCell ref="D55:D56"/>
    <mergeCell ref="A53:A54"/>
    <mergeCell ref="B53:B54"/>
    <mergeCell ref="D53:D54"/>
    <mergeCell ref="F70:F71"/>
    <mergeCell ref="A70:A71"/>
    <mergeCell ref="B70:B71"/>
    <mergeCell ref="C70:C71"/>
    <mergeCell ref="D70:D71"/>
    <mergeCell ref="A50:A51"/>
    <mergeCell ref="B50:B51"/>
    <mergeCell ref="C50:C51"/>
    <mergeCell ref="D50:D51"/>
    <mergeCell ref="F50:F51"/>
    <mergeCell ref="A59:A60"/>
    <mergeCell ref="B59:B60"/>
    <mergeCell ref="B57:B58"/>
    <mergeCell ref="C57:C58"/>
    <mergeCell ref="D57:D58"/>
    <mergeCell ref="F57:F58"/>
    <mergeCell ref="F68:F69"/>
    <mergeCell ref="F40:F41"/>
    <mergeCell ref="F42:F43"/>
    <mergeCell ref="D42:D43"/>
    <mergeCell ref="G18:G19"/>
    <mergeCell ref="H18:H19"/>
    <mergeCell ref="A40:A41"/>
    <mergeCell ref="B40:B41"/>
    <mergeCell ref="C40:C41"/>
    <mergeCell ref="D40:D41"/>
    <mergeCell ref="A42:A43"/>
    <mergeCell ref="B42:B43"/>
    <mergeCell ref="C42:C43"/>
    <mergeCell ref="J5:K5"/>
    <mergeCell ref="A17:C17"/>
    <mergeCell ref="A18:A19"/>
    <mergeCell ref="B18:B19"/>
    <mergeCell ref="C18:C19"/>
    <mergeCell ref="D18:D19"/>
    <mergeCell ref="J7:K7"/>
    <mergeCell ref="J8:K8"/>
    <mergeCell ref="A15:K15"/>
    <mergeCell ref="A16:C16"/>
    <mergeCell ref="D16:K16"/>
    <mergeCell ref="J18:J19"/>
    <mergeCell ref="K18:K19"/>
    <mergeCell ref="I18:I19"/>
    <mergeCell ref="E18:E19"/>
    <mergeCell ref="F18:F19"/>
  </mergeCells>
  <pageMargins left="0.78740157480314965" right="0.78740157480314965" top="1.1811023622047245" bottom="0.39370078740157483" header="0.31496062992125984" footer="0.31496062992125984"/>
  <pageSetup paperSize="9" scale="52" orientation="landscape" r:id="rId1"/>
  <rowBreaks count="3" manualBreakCount="3">
    <brk id="33" max="10" man="1"/>
    <brk id="37" max="16383" man="1"/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 1 Доходи</vt:lpstr>
      <vt:lpstr>дод 2 Джерела</vt:lpstr>
      <vt:lpstr>дод 3 Видатки</vt:lpstr>
      <vt:lpstr>дод 5 Трансферти</vt:lpstr>
      <vt:lpstr>дод 7 Програми</vt:lpstr>
      <vt:lpstr>дод 10 Бюдж розвитку</vt:lpstr>
      <vt:lpstr>'дод 1 Доходи'!Заголовки_для_печати</vt:lpstr>
      <vt:lpstr>'дод 10 Бюдж розвитку'!Заголовки_для_печати</vt:lpstr>
      <vt:lpstr>'дод 3 Видатки'!Заголовки_для_печати</vt:lpstr>
      <vt:lpstr>'дод 7 Програми'!Заголовки_для_печати</vt:lpstr>
      <vt:lpstr>'дод 1 Доходи'!Область_печати</vt:lpstr>
      <vt:lpstr>'дод 2 Джерела'!Область_печати</vt:lpstr>
      <vt:lpstr>'дод 3 Видатки'!Область_печати</vt:lpstr>
      <vt:lpstr>'дод 5 Трансферти'!Область_печати</vt:lpstr>
      <vt:lpstr>'дод 7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Татьяна</cp:lastModifiedBy>
  <cp:lastPrinted>2023-05-18T06:32:54Z</cp:lastPrinted>
  <dcterms:created xsi:type="dcterms:W3CDTF">2021-12-17T13:26:15Z</dcterms:created>
  <dcterms:modified xsi:type="dcterms:W3CDTF">2023-05-18T07:32:00Z</dcterms:modified>
</cp:coreProperties>
</file>