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Лист1" sheetId="1" r:id="rId1"/>
    <sheet name="Лист2" sheetId="2" r:id="rId2"/>
    <sheet name="Лист3" sheetId="3" r:id="rId3"/>
  </sheets>
  <calcPr calcId="125725"/>
</workbook>
</file>

<file path=xl/calcChain.xml><?xml version="1.0" encoding="utf-8"?>
<calcChain xmlns="http://schemas.openxmlformats.org/spreadsheetml/2006/main">
  <c r="N61" i="1"/>
  <c r="N60" s="1"/>
  <c r="O60"/>
  <c r="E61"/>
  <c r="O57"/>
  <c r="O53" s="1"/>
  <c r="N59"/>
  <c r="N57" s="1"/>
  <c r="G128"/>
  <c r="H128"/>
  <c r="I128"/>
  <c r="K128"/>
  <c r="L128"/>
  <c r="M128"/>
  <c r="O128"/>
  <c r="F128"/>
  <c r="N58"/>
  <c r="N56"/>
  <c r="J56" s="1"/>
  <c r="J61" l="1"/>
  <c r="N53"/>
  <c r="J59"/>
  <c r="G53"/>
  <c r="F53"/>
  <c r="F16"/>
  <c r="G16"/>
  <c r="H16"/>
  <c r="I16"/>
  <c r="L16"/>
  <c r="M16"/>
  <c r="O16"/>
  <c r="E17"/>
  <c r="K17"/>
  <c r="K16" s="1"/>
  <c r="N17"/>
  <c r="N16" s="1"/>
  <c r="F19"/>
  <c r="F18" s="1"/>
  <c r="G19"/>
  <c r="G18" s="1"/>
  <c r="H19"/>
  <c r="H18" s="1"/>
  <c r="I19"/>
  <c r="I18" s="1"/>
  <c r="K19"/>
  <c r="K18" s="1"/>
  <c r="L19"/>
  <c r="L18" s="1"/>
  <c r="M19"/>
  <c r="M18" s="1"/>
  <c r="E20"/>
  <c r="O20"/>
  <c r="O19" s="1"/>
  <c r="O18" s="1"/>
  <c r="E21"/>
  <c r="J21"/>
  <c r="F22"/>
  <c r="G22"/>
  <c r="H22"/>
  <c r="I22"/>
  <c r="K22"/>
  <c r="L22"/>
  <c r="M22"/>
  <c r="O22"/>
  <c r="E23"/>
  <c r="N23"/>
  <c r="N22" s="1"/>
  <c r="E24"/>
  <c r="J24"/>
  <c r="F25"/>
  <c r="G25"/>
  <c r="H25"/>
  <c r="I25"/>
  <c r="K25"/>
  <c r="L25"/>
  <c r="M25"/>
  <c r="N25"/>
  <c r="O25"/>
  <c r="E26"/>
  <c r="J26"/>
  <c r="F28"/>
  <c r="E28" s="1"/>
  <c r="G28"/>
  <c r="H28"/>
  <c r="I28"/>
  <c r="K28"/>
  <c r="L28"/>
  <c r="M28"/>
  <c r="N28"/>
  <c r="O28"/>
  <c r="E29"/>
  <c r="J29"/>
  <c r="F31"/>
  <c r="G31"/>
  <c r="J31"/>
  <c r="E32"/>
  <c r="J32"/>
  <c r="E33"/>
  <c r="J33"/>
  <c r="E34"/>
  <c r="J34"/>
  <c r="E35"/>
  <c r="J35"/>
  <c r="F36"/>
  <c r="E36" s="1"/>
  <c r="J36"/>
  <c r="E37"/>
  <c r="E38"/>
  <c r="F39"/>
  <c r="E39" s="1"/>
  <c r="P39" s="1"/>
  <c r="J39"/>
  <c r="E40"/>
  <c r="E41"/>
  <c r="E42"/>
  <c r="J42"/>
  <c r="F43"/>
  <c r="E43" s="1"/>
  <c r="G43"/>
  <c r="H43"/>
  <c r="H30" s="1"/>
  <c r="I43"/>
  <c r="I30" s="1"/>
  <c r="K43"/>
  <c r="K30" s="1"/>
  <c r="L43"/>
  <c r="L30" s="1"/>
  <c r="L27" s="1"/>
  <c r="M43"/>
  <c r="M30" s="1"/>
  <c r="M27" s="1"/>
  <c r="O43"/>
  <c r="O30" s="1"/>
  <c r="E44"/>
  <c r="N44"/>
  <c r="N43" s="1"/>
  <c r="N30" s="1"/>
  <c r="E45"/>
  <c r="F47"/>
  <c r="F46" s="1"/>
  <c r="E46" s="1"/>
  <c r="G47"/>
  <c r="H47"/>
  <c r="I47"/>
  <c r="K47"/>
  <c r="K46" s="1"/>
  <c r="J46" s="1"/>
  <c r="L47"/>
  <c r="M47"/>
  <c r="N47"/>
  <c r="O47"/>
  <c r="E48"/>
  <c r="J48"/>
  <c r="F51"/>
  <c r="G51"/>
  <c r="H51"/>
  <c r="I51"/>
  <c r="K51"/>
  <c r="L51"/>
  <c r="M51"/>
  <c r="N51"/>
  <c r="O51"/>
  <c r="E52"/>
  <c r="J52"/>
  <c r="I53"/>
  <c r="E55"/>
  <c r="F55"/>
  <c r="G55"/>
  <c r="O55"/>
  <c r="N55" s="1"/>
  <c r="J55" s="1"/>
  <c r="E56"/>
  <c r="P56" s="1"/>
  <c r="E57"/>
  <c r="E58"/>
  <c r="J58"/>
  <c r="J57" s="1"/>
  <c r="J618"/>
  <c r="E618"/>
  <c r="O617"/>
  <c r="O616" s="1"/>
  <c r="N617"/>
  <c r="M617"/>
  <c r="M616" s="1"/>
  <c r="L617"/>
  <c r="L616" s="1"/>
  <c r="K617"/>
  <c r="I617"/>
  <c r="I616" s="1"/>
  <c r="H617"/>
  <c r="H616" s="1"/>
  <c r="G617"/>
  <c r="G616" s="1"/>
  <c r="F617"/>
  <c r="F616" s="1"/>
  <c r="N616"/>
  <c r="J615"/>
  <c r="E615"/>
  <c r="J614"/>
  <c r="E614"/>
  <c r="J613"/>
  <c r="E613"/>
  <c r="J612"/>
  <c r="E612"/>
  <c r="J611"/>
  <c r="E611"/>
  <c r="J610"/>
  <c r="E610"/>
  <c r="J609"/>
  <c r="E609"/>
  <c r="J608"/>
  <c r="E608"/>
  <c r="J607"/>
  <c r="E607"/>
  <c r="O606"/>
  <c r="O605" s="1"/>
  <c r="N606"/>
  <c r="M606"/>
  <c r="M605" s="1"/>
  <c r="L606"/>
  <c r="L605" s="1"/>
  <c r="K606"/>
  <c r="I606"/>
  <c r="I605" s="1"/>
  <c r="H606"/>
  <c r="H605" s="1"/>
  <c r="G606"/>
  <c r="G605" s="1"/>
  <c r="F606"/>
  <c r="N605"/>
  <c r="O604"/>
  <c r="N604" s="1"/>
  <c r="E604"/>
  <c r="M603"/>
  <c r="L603"/>
  <c r="K603"/>
  <c r="I603"/>
  <c r="H603"/>
  <c r="G603"/>
  <c r="F603"/>
  <c r="J602"/>
  <c r="E602"/>
  <c r="J601"/>
  <c r="E601"/>
  <c r="O600"/>
  <c r="N600"/>
  <c r="M600"/>
  <c r="L600"/>
  <c r="K600"/>
  <c r="I600"/>
  <c r="H600"/>
  <c r="G600"/>
  <c r="F600"/>
  <c r="N599"/>
  <c r="J599" s="1"/>
  <c r="F599"/>
  <c r="F598" s="1"/>
  <c r="O598"/>
  <c r="M598"/>
  <c r="L598"/>
  <c r="K598"/>
  <c r="I598"/>
  <c r="H598"/>
  <c r="G598"/>
  <c r="J595"/>
  <c r="E595"/>
  <c r="O594"/>
  <c r="O593" s="1"/>
  <c r="N594"/>
  <c r="M594"/>
  <c r="L594"/>
  <c r="L593" s="1"/>
  <c r="K594"/>
  <c r="K593" s="1"/>
  <c r="I594"/>
  <c r="I593" s="1"/>
  <c r="H594"/>
  <c r="H593" s="1"/>
  <c r="G594"/>
  <c r="G593" s="1"/>
  <c r="F594"/>
  <c r="F593" s="1"/>
  <c r="N593"/>
  <c r="M593"/>
  <c r="J592"/>
  <c r="E592"/>
  <c r="J591"/>
  <c r="E591"/>
  <c r="J590"/>
  <c r="E590"/>
  <c r="J589"/>
  <c r="E589"/>
  <c r="J588"/>
  <c r="E588"/>
  <c r="J587"/>
  <c r="E587"/>
  <c r="J586"/>
  <c r="E586"/>
  <c r="J585"/>
  <c r="E585"/>
  <c r="J584"/>
  <c r="E584"/>
  <c r="O583"/>
  <c r="O582" s="1"/>
  <c r="N583"/>
  <c r="N582" s="1"/>
  <c r="M583"/>
  <c r="M582" s="1"/>
  <c r="L583"/>
  <c r="L582" s="1"/>
  <c r="K583"/>
  <c r="K582" s="1"/>
  <c r="I583"/>
  <c r="I582" s="1"/>
  <c r="H583"/>
  <c r="H582" s="1"/>
  <c r="G583"/>
  <c r="G582" s="1"/>
  <c r="F583"/>
  <c r="F582" s="1"/>
  <c r="O581"/>
  <c r="N581" s="1"/>
  <c r="E581"/>
  <c r="M580"/>
  <c r="L580"/>
  <c r="K580"/>
  <c r="I580"/>
  <c r="H580"/>
  <c r="G580"/>
  <c r="F580"/>
  <c r="J579"/>
  <c r="E579"/>
  <c r="J578"/>
  <c r="E578"/>
  <c r="O577"/>
  <c r="N577"/>
  <c r="M577"/>
  <c r="L577"/>
  <c r="K577"/>
  <c r="I577"/>
  <c r="H577"/>
  <c r="G577"/>
  <c r="F577"/>
  <c r="N576"/>
  <c r="F576"/>
  <c r="E576" s="1"/>
  <c r="O575"/>
  <c r="M575"/>
  <c r="L575"/>
  <c r="K575"/>
  <c r="I575"/>
  <c r="H575"/>
  <c r="G575"/>
  <c r="J572"/>
  <c r="E572"/>
  <c r="O571"/>
  <c r="O570" s="1"/>
  <c r="N571"/>
  <c r="M571"/>
  <c r="M570" s="1"/>
  <c r="L571"/>
  <c r="L570" s="1"/>
  <c r="K571"/>
  <c r="I571"/>
  <c r="I570" s="1"/>
  <c r="H571"/>
  <c r="G571"/>
  <c r="F571"/>
  <c r="F570" s="1"/>
  <c r="N570"/>
  <c r="H570"/>
  <c r="G570"/>
  <c r="J569"/>
  <c r="E569"/>
  <c r="J568"/>
  <c r="E568"/>
  <c r="J567"/>
  <c r="E567"/>
  <c r="J566"/>
  <c r="E566"/>
  <c r="J565"/>
  <c r="E565"/>
  <c r="J564"/>
  <c r="E564"/>
  <c r="J563"/>
  <c r="E563"/>
  <c r="J562"/>
  <c r="E562"/>
  <c r="J561"/>
  <c r="E561"/>
  <c r="O560"/>
  <c r="O559" s="1"/>
  <c r="N560"/>
  <c r="M560"/>
  <c r="M559" s="1"/>
  <c r="L560"/>
  <c r="L559" s="1"/>
  <c r="K560"/>
  <c r="I560"/>
  <c r="I559" s="1"/>
  <c r="H560"/>
  <c r="H559" s="1"/>
  <c r="G560"/>
  <c r="G559" s="1"/>
  <c r="F560"/>
  <c r="N559"/>
  <c r="N558"/>
  <c r="J558" s="1"/>
  <c r="E558"/>
  <c r="O557"/>
  <c r="M557"/>
  <c r="L557"/>
  <c r="K557"/>
  <c r="I557"/>
  <c r="H557"/>
  <c r="G557"/>
  <c r="F557"/>
  <c r="J556"/>
  <c r="E556"/>
  <c r="J555"/>
  <c r="E555"/>
  <c r="O554"/>
  <c r="N554"/>
  <c r="M554"/>
  <c r="L554"/>
  <c r="K554"/>
  <c r="I554"/>
  <c r="H554"/>
  <c r="G554"/>
  <c r="F554"/>
  <c r="N553"/>
  <c r="J553" s="1"/>
  <c r="F553"/>
  <c r="O552"/>
  <c r="M552"/>
  <c r="L552"/>
  <c r="K552"/>
  <c r="I552"/>
  <c r="H552"/>
  <c r="G552"/>
  <c r="J549"/>
  <c r="E549"/>
  <c r="O548"/>
  <c r="O547" s="1"/>
  <c r="N548"/>
  <c r="M548"/>
  <c r="M547" s="1"/>
  <c r="L548"/>
  <c r="L547" s="1"/>
  <c r="K548"/>
  <c r="K547" s="1"/>
  <c r="I548"/>
  <c r="I547" s="1"/>
  <c r="H548"/>
  <c r="H547" s="1"/>
  <c r="G548"/>
  <c r="G547" s="1"/>
  <c r="F548"/>
  <c r="F547" s="1"/>
  <c r="N547"/>
  <c r="J546"/>
  <c r="E546"/>
  <c r="J545"/>
  <c r="E545"/>
  <c r="J544"/>
  <c r="E544"/>
  <c r="J543"/>
  <c r="E543"/>
  <c r="J542"/>
  <c r="E542"/>
  <c r="J541"/>
  <c r="E541"/>
  <c r="J540"/>
  <c r="E540"/>
  <c r="J539"/>
  <c r="E539"/>
  <c r="J538"/>
  <c r="E538"/>
  <c r="O537"/>
  <c r="O536" s="1"/>
  <c r="N537"/>
  <c r="N536" s="1"/>
  <c r="M537"/>
  <c r="M536" s="1"/>
  <c r="L537"/>
  <c r="L536" s="1"/>
  <c r="K537"/>
  <c r="I537"/>
  <c r="I536" s="1"/>
  <c r="H537"/>
  <c r="H536" s="1"/>
  <c r="G537"/>
  <c r="G536" s="1"/>
  <c r="F537"/>
  <c r="O535"/>
  <c r="E535"/>
  <c r="M534"/>
  <c r="L534"/>
  <c r="K534"/>
  <c r="I534"/>
  <c r="H534"/>
  <c r="G534"/>
  <c r="F534"/>
  <c r="E534" s="1"/>
  <c r="J533"/>
  <c r="E533"/>
  <c r="J532"/>
  <c r="E532"/>
  <c r="O531"/>
  <c r="N531"/>
  <c r="M531"/>
  <c r="L531"/>
  <c r="K531"/>
  <c r="I531"/>
  <c r="H531"/>
  <c r="G531"/>
  <c r="F531"/>
  <c r="J530"/>
  <c r="F530"/>
  <c r="F529" s="1"/>
  <c r="E530"/>
  <c r="O529"/>
  <c r="N529"/>
  <c r="M529"/>
  <c r="L529"/>
  <c r="K529"/>
  <c r="I529"/>
  <c r="H529"/>
  <c r="G529"/>
  <c r="J526"/>
  <c r="E526"/>
  <c r="O525"/>
  <c r="O523" s="1"/>
  <c r="N525"/>
  <c r="N523" s="1"/>
  <c r="M525"/>
  <c r="M523" s="1"/>
  <c r="L525"/>
  <c r="L523" s="1"/>
  <c r="K525"/>
  <c r="K523" s="1"/>
  <c r="I525"/>
  <c r="I523" s="1"/>
  <c r="H525"/>
  <c r="H523" s="1"/>
  <c r="G525"/>
  <c r="G523" s="1"/>
  <c r="F525"/>
  <c r="F523" s="1"/>
  <c r="J524"/>
  <c r="P524" s="1"/>
  <c r="J522"/>
  <c r="E522"/>
  <c r="J521"/>
  <c r="E521"/>
  <c r="J520"/>
  <c r="E520"/>
  <c r="J519"/>
  <c r="E519"/>
  <c r="J518"/>
  <c r="E518"/>
  <c r="J517"/>
  <c r="E517"/>
  <c r="J516"/>
  <c r="E516"/>
  <c r="J515"/>
  <c r="E515"/>
  <c r="J514"/>
  <c r="E514"/>
  <c r="O513"/>
  <c r="O512" s="1"/>
  <c r="N513"/>
  <c r="M513"/>
  <c r="L513"/>
  <c r="L512" s="1"/>
  <c r="K513"/>
  <c r="I513"/>
  <c r="I512" s="1"/>
  <c r="H513"/>
  <c r="H512" s="1"/>
  <c r="G513"/>
  <c r="G512" s="1"/>
  <c r="F513"/>
  <c r="N512"/>
  <c r="M512"/>
  <c r="O511"/>
  <c r="E511"/>
  <c r="M510"/>
  <c r="L510"/>
  <c r="K510"/>
  <c r="I510"/>
  <c r="H510"/>
  <c r="G510"/>
  <c r="F510"/>
  <c r="N509"/>
  <c r="E509"/>
  <c r="J508"/>
  <c r="E508"/>
  <c r="O507"/>
  <c r="M507"/>
  <c r="L507"/>
  <c r="K507"/>
  <c r="I507"/>
  <c r="H507"/>
  <c r="G507"/>
  <c r="F507"/>
  <c r="K506"/>
  <c r="F506"/>
  <c r="E506" s="1"/>
  <c r="O505"/>
  <c r="N505"/>
  <c r="M505"/>
  <c r="L505"/>
  <c r="I505"/>
  <c r="H505"/>
  <c r="G505"/>
  <c r="J502"/>
  <c r="E502"/>
  <c r="O501"/>
  <c r="O500" s="1"/>
  <c r="N501"/>
  <c r="M501"/>
  <c r="M500" s="1"/>
  <c r="L501"/>
  <c r="L500" s="1"/>
  <c r="K501"/>
  <c r="I501"/>
  <c r="I500" s="1"/>
  <c r="H501"/>
  <c r="H500" s="1"/>
  <c r="G501"/>
  <c r="G500" s="1"/>
  <c r="F501"/>
  <c r="N500"/>
  <c r="J499"/>
  <c r="E499"/>
  <c r="J498"/>
  <c r="E498"/>
  <c r="J497"/>
  <c r="E497"/>
  <c r="J496"/>
  <c r="E496"/>
  <c r="J495"/>
  <c r="E495"/>
  <c r="J494"/>
  <c r="E494"/>
  <c r="J493"/>
  <c r="E493"/>
  <c r="J492"/>
  <c r="E492"/>
  <c r="J491"/>
  <c r="E491"/>
  <c r="O490"/>
  <c r="O489" s="1"/>
  <c r="N490"/>
  <c r="N489" s="1"/>
  <c r="M490"/>
  <c r="M489" s="1"/>
  <c r="L490"/>
  <c r="L489" s="1"/>
  <c r="K490"/>
  <c r="K489" s="1"/>
  <c r="I490"/>
  <c r="I489" s="1"/>
  <c r="H490"/>
  <c r="H489" s="1"/>
  <c r="G490"/>
  <c r="G489" s="1"/>
  <c r="F490"/>
  <c r="N488"/>
  <c r="J488" s="1"/>
  <c r="E488"/>
  <c r="O487"/>
  <c r="M487"/>
  <c r="L487"/>
  <c r="K487"/>
  <c r="I487"/>
  <c r="H487"/>
  <c r="G487"/>
  <c r="F487"/>
  <c r="J486"/>
  <c r="E486"/>
  <c r="J485"/>
  <c r="E485"/>
  <c r="O484"/>
  <c r="N484"/>
  <c r="M484"/>
  <c r="L484"/>
  <c r="K484"/>
  <c r="I484"/>
  <c r="H484"/>
  <c r="G484"/>
  <c r="F484"/>
  <c r="J483"/>
  <c r="F483"/>
  <c r="E483" s="1"/>
  <c r="O482"/>
  <c r="N482"/>
  <c r="M482"/>
  <c r="L482"/>
  <c r="K482"/>
  <c r="I482"/>
  <c r="H482"/>
  <c r="G482"/>
  <c r="J479"/>
  <c r="E479"/>
  <c r="O478"/>
  <c r="O477" s="1"/>
  <c r="N478"/>
  <c r="M478"/>
  <c r="M477" s="1"/>
  <c r="L478"/>
  <c r="L477" s="1"/>
  <c r="K478"/>
  <c r="I478"/>
  <c r="I477" s="1"/>
  <c r="H478"/>
  <c r="H477" s="1"/>
  <c r="G478"/>
  <c r="G477" s="1"/>
  <c r="F478"/>
  <c r="N477"/>
  <c r="J476"/>
  <c r="E476"/>
  <c r="J475"/>
  <c r="E475"/>
  <c r="J474"/>
  <c r="E474"/>
  <c r="J473"/>
  <c r="E473"/>
  <c r="J472"/>
  <c r="E472"/>
  <c r="J471"/>
  <c r="E471"/>
  <c r="J470"/>
  <c r="E470"/>
  <c r="J469"/>
  <c r="E469"/>
  <c r="J468"/>
  <c r="E468"/>
  <c r="O467"/>
  <c r="O466" s="1"/>
  <c r="N467"/>
  <c r="N466" s="1"/>
  <c r="M467"/>
  <c r="M466" s="1"/>
  <c r="L467"/>
  <c r="L466" s="1"/>
  <c r="K467"/>
  <c r="I467"/>
  <c r="I466" s="1"/>
  <c r="H467"/>
  <c r="H466" s="1"/>
  <c r="G467"/>
  <c r="G466" s="1"/>
  <c r="F467"/>
  <c r="K466"/>
  <c r="J465"/>
  <c r="E465"/>
  <c r="O464"/>
  <c r="N464"/>
  <c r="M464"/>
  <c r="L464"/>
  <c r="K464"/>
  <c r="I464"/>
  <c r="H464"/>
  <c r="G464"/>
  <c r="F464"/>
  <c r="O463"/>
  <c r="N463" s="1"/>
  <c r="N461" s="1"/>
  <c r="E463"/>
  <c r="J462"/>
  <c r="E462"/>
  <c r="M461"/>
  <c r="L461"/>
  <c r="K461"/>
  <c r="I461"/>
  <c r="H461"/>
  <c r="G461"/>
  <c r="F461"/>
  <c r="J460"/>
  <c r="F460"/>
  <c r="O459"/>
  <c r="N459"/>
  <c r="M459"/>
  <c r="L459"/>
  <c r="K459"/>
  <c r="I459"/>
  <c r="H459"/>
  <c r="G459"/>
  <c r="J456"/>
  <c r="E456"/>
  <c r="O455"/>
  <c r="O451" s="1"/>
  <c r="O450" s="1"/>
  <c r="O449" s="1"/>
  <c r="N455"/>
  <c r="N451" s="1"/>
  <c r="N450" s="1"/>
  <c r="N449" s="1"/>
  <c r="M455"/>
  <c r="M451" s="1"/>
  <c r="M450" s="1"/>
  <c r="M449" s="1"/>
  <c r="L455"/>
  <c r="K455"/>
  <c r="I455"/>
  <c r="I451" s="1"/>
  <c r="I450" s="1"/>
  <c r="I449" s="1"/>
  <c r="H455"/>
  <c r="H451" s="1"/>
  <c r="H450" s="1"/>
  <c r="H449" s="1"/>
  <c r="G455"/>
  <c r="G451" s="1"/>
  <c r="G450" s="1"/>
  <c r="G449" s="1"/>
  <c r="F455"/>
  <c r="F451" s="1"/>
  <c r="J454"/>
  <c r="E454"/>
  <c r="J453"/>
  <c r="E453"/>
  <c r="J452"/>
  <c r="E452"/>
  <c r="L451"/>
  <c r="L450" s="1"/>
  <c r="L449" s="1"/>
  <c r="J448"/>
  <c r="E448"/>
  <c r="J447"/>
  <c r="E447"/>
  <c r="O446"/>
  <c r="O445" s="1"/>
  <c r="N446"/>
  <c r="N445" s="1"/>
  <c r="M446"/>
  <c r="L446"/>
  <c r="L445" s="1"/>
  <c r="K446"/>
  <c r="I446"/>
  <c r="I445" s="1"/>
  <c r="H446"/>
  <c r="H445" s="1"/>
  <c r="G446"/>
  <c r="G445" s="1"/>
  <c r="F446"/>
  <c r="M445"/>
  <c r="J444"/>
  <c r="F444"/>
  <c r="O443"/>
  <c r="N443"/>
  <c r="M443"/>
  <c r="L443"/>
  <c r="K443"/>
  <c r="I443"/>
  <c r="H443"/>
  <c r="G443"/>
  <c r="J440"/>
  <c r="P440" s="1"/>
  <c r="O439"/>
  <c r="O438" s="1"/>
  <c r="N439"/>
  <c r="N438" s="1"/>
  <c r="M439"/>
  <c r="M438" s="1"/>
  <c r="L439"/>
  <c r="L438" s="1"/>
  <c r="K439"/>
  <c r="K438" s="1"/>
  <c r="I439"/>
  <c r="I438" s="1"/>
  <c r="H439"/>
  <c r="H438" s="1"/>
  <c r="G439"/>
  <c r="F439"/>
  <c r="F438" s="1"/>
  <c r="G438"/>
  <c r="J437"/>
  <c r="E437"/>
  <c r="O436"/>
  <c r="O435" s="1"/>
  <c r="N436"/>
  <c r="N435" s="1"/>
  <c r="M436"/>
  <c r="M435" s="1"/>
  <c r="L436"/>
  <c r="L435" s="1"/>
  <c r="K436"/>
  <c r="K435" s="1"/>
  <c r="I436"/>
  <c r="I435" s="1"/>
  <c r="H436"/>
  <c r="H435" s="1"/>
  <c r="G436"/>
  <c r="G435" s="1"/>
  <c r="F436"/>
  <c r="F435" s="1"/>
  <c r="J434"/>
  <c r="J433" s="1"/>
  <c r="F434"/>
  <c r="O433"/>
  <c r="N433"/>
  <c r="M433"/>
  <c r="L433"/>
  <c r="K433"/>
  <c r="I433"/>
  <c r="H433"/>
  <c r="G433"/>
  <c r="J432"/>
  <c r="E432"/>
  <c r="O431"/>
  <c r="N431"/>
  <c r="M431"/>
  <c r="L431"/>
  <c r="K431"/>
  <c r="I431"/>
  <c r="H431"/>
  <c r="G431"/>
  <c r="F431"/>
  <c r="J430"/>
  <c r="E430"/>
  <c r="J429"/>
  <c r="E429"/>
  <c r="O428"/>
  <c r="N428"/>
  <c r="M428"/>
  <c r="L428"/>
  <c r="K428"/>
  <c r="I428"/>
  <c r="H428"/>
  <c r="G428"/>
  <c r="F428"/>
  <c r="J427"/>
  <c r="E427"/>
  <c r="O426"/>
  <c r="N426"/>
  <c r="M426"/>
  <c r="L426"/>
  <c r="K426"/>
  <c r="I426"/>
  <c r="H426"/>
  <c r="G426"/>
  <c r="F426"/>
  <c r="N423"/>
  <c r="N420" s="1"/>
  <c r="K423"/>
  <c r="F423"/>
  <c r="E423" s="1"/>
  <c r="J422"/>
  <c r="K421"/>
  <c r="J421" s="1"/>
  <c r="F421"/>
  <c r="E421" s="1"/>
  <c r="O420"/>
  <c r="M420"/>
  <c r="L420"/>
  <c r="I420"/>
  <c r="H420"/>
  <c r="G420"/>
  <c r="J419"/>
  <c r="E419"/>
  <c r="O418"/>
  <c r="N418"/>
  <c r="M418"/>
  <c r="L418"/>
  <c r="K418"/>
  <c r="I418"/>
  <c r="H418"/>
  <c r="G418"/>
  <c r="F418"/>
  <c r="J415"/>
  <c r="E415"/>
  <c r="J414"/>
  <c r="E414"/>
  <c r="O413"/>
  <c r="O412" s="1"/>
  <c r="N413"/>
  <c r="N412" s="1"/>
  <c r="M413"/>
  <c r="M412" s="1"/>
  <c r="L413"/>
  <c r="L412" s="1"/>
  <c r="K413"/>
  <c r="K412" s="1"/>
  <c r="I413"/>
  <c r="I412" s="1"/>
  <c r="H413"/>
  <c r="H412" s="1"/>
  <c r="G413"/>
  <c r="G412" s="1"/>
  <c r="F413"/>
  <c r="F412" s="1"/>
  <c r="O411"/>
  <c r="N411" s="1"/>
  <c r="E411"/>
  <c r="M410"/>
  <c r="L410"/>
  <c r="K410"/>
  <c r="I410"/>
  <c r="H410"/>
  <c r="G410"/>
  <c r="F410"/>
  <c r="J409"/>
  <c r="E409"/>
  <c r="O408"/>
  <c r="N408"/>
  <c r="M408"/>
  <c r="L408"/>
  <c r="K408"/>
  <c r="I408"/>
  <c r="H408"/>
  <c r="G408"/>
  <c r="F408"/>
  <c r="J407"/>
  <c r="E407"/>
  <c r="O406"/>
  <c r="E406"/>
  <c r="J405"/>
  <c r="E405"/>
  <c r="M404"/>
  <c r="L404"/>
  <c r="K404"/>
  <c r="I404"/>
  <c r="H404"/>
  <c r="G404"/>
  <c r="F404"/>
  <c r="J403"/>
  <c r="F403"/>
  <c r="E403" s="1"/>
  <c r="O402"/>
  <c r="N402"/>
  <c r="M402"/>
  <c r="L402"/>
  <c r="K402"/>
  <c r="I402"/>
  <c r="H402"/>
  <c r="G402"/>
  <c r="O401"/>
  <c r="E401"/>
  <c r="M400"/>
  <c r="L400"/>
  <c r="K400"/>
  <c r="I400"/>
  <c r="H400"/>
  <c r="G400"/>
  <c r="F400"/>
  <c r="J399"/>
  <c r="E399"/>
  <c r="O398"/>
  <c r="N398"/>
  <c r="M398"/>
  <c r="L398"/>
  <c r="K398"/>
  <c r="I398"/>
  <c r="H398"/>
  <c r="G398"/>
  <c r="F398"/>
  <c r="J395"/>
  <c r="E395"/>
  <c r="O394"/>
  <c r="O392" s="1"/>
  <c r="N394"/>
  <c r="N392" s="1"/>
  <c r="M394"/>
  <c r="M392" s="1"/>
  <c r="L394"/>
  <c r="L392" s="1"/>
  <c r="K394"/>
  <c r="I394"/>
  <c r="I392" s="1"/>
  <c r="H394"/>
  <c r="H392" s="1"/>
  <c r="G394"/>
  <c r="G392" s="1"/>
  <c r="F394"/>
  <c r="J393"/>
  <c r="E393"/>
  <c r="J391"/>
  <c r="E391"/>
  <c r="O390"/>
  <c r="O389" s="1"/>
  <c r="N390"/>
  <c r="N389" s="1"/>
  <c r="M390"/>
  <c r="M389" s="1"/>
  <c r="L390"/>
  <c r="L389" s="1"/>
  <c r="K390"/>
  <c r="K389" s="1"/>
  <c r="I390"/>
  <c r="I389" s="1"/>
  <c r="H390"/>
  <c r="H389" s="1"/>
  <c r="G390"/>
  <c r="G389" s="1"/>
  <c r="F390"/>
  <c r="F389" s="1"/>
  <c r="J388"/>
  <c r="E388"/>
  <c r="O387"/>
  <c r="N387"/>
  <c r="M387"/>
  <c r="L387"/>
  <c r="K387"/>
  <c r="I387"/>
  <c r="H387"/>
  <c r="G387"/>
  <c r="F387"/>
  <c r="J386"/>
  <c r="E386"/>
  <c r="O385"/>
  <c r="O384" s="1"/>
  <c r="N385"/>
  <c r="M385"/>
  <c r="M384" s="1"/>
  <c r="L385"/>
  <c r="L384" s="1"/>
  <c r="K385"/>
  <c r="I385"/>
  <c r="I384" s="1"/>
  <c r="H385"/>
  <c r="H384" s="1"/>
  <c r="G385"/>
  <c r="G384" s="1"/>
  <c r="F385"/>
  <c r="N384"/>
  <c r="J383"/>
  <c r="E383"/>
  <c r="O382"/>
  <c r="N382"/>
  <c r="M382"/>
  <c r="L382"/>
  <c r="K382"/>
  <c r="I382"/>
  <c r="H382"/>
  <c r="G382"/>
  <c r="F382"/>
  <c r="N381"/>
  <c r="J381" s="1"/>
  <c r="E381"/>
  <c r="O380"/>
  <c r="M380"/>
  <c r="L380"/>
  <c r="K380"/>
  <c r="I380"/>
  <c r="H380"/>
  <c r="G380"/>
  <c r="F380"/>
  <c r="J379"/>
  <c r="E379"/>
  <c r="O378"/>
  <c r="N378"/>
  <c r="M378"/>
  <c r="L378"/>
  <c r="K378"/>
  <c r="I378"/>
  <c r="H378"/>
  <c r="G378"/>
  <c r="F378"/>
  <c r="J375"/>
  <c r="E375"/>
  <c r="O374"/>
  <c r="N374"/>
  <c r="M374"/>
  <c r="L374"/>
  <c r="K374"/>
  <c r="J374" s="1"/>
  <c r="I374"/>
  <c r="H374"/>
  <c r="G374"/>
  <c r="F374"/>
  <c r="J373"/>
  <c r="E373"/>
  <c r="O372"/>
  <c r="N372"/>
  <c r="M372"/>
  <c r="L372"/>
  <c r="K372"/>
  <c r="I372"/>
  <c r="H372"/>
  <c r="G372"/>
  <c r="F372"/>
  <c r="J369"/>
  <c r="E369"/>
  <c r="O368"/>
  <c r="O367" s="1"/>
  <c r="O366" s="1"/>
  <c r="N368"/>
  <c r="M368"/>
  <c r="L368"/>
  <c r="L367" s="1"/>
  <c r="L366" s="1"/>
  <c r="K368"/>
  <c r="K367" s="1"/>
  <c r="K366" s="1"/>
  <c r="I368"/>
  <c r="I367" s="1"/>
  <c r="I366" s="1"/>
  <c r="H368"/>
  <c r="H367" s="1"/>
  <c r="H366" s="1"/>
  <c r="G368"/>
  <c r="G367" s="1"/>
  <c r="G366" s="1"/>
  <c r="F368"/>
  <c r="F367" s="1"/>
  <c r="N367"/>
  <c r="N366" s="1"/>
  <c r="M367"/>
  <c r="M366" s="1"/>
  <c r="J365"/>
  <c r="E365"/>
  <c r="O364"/>
  <c r="O363" s="1"/>
  <c r="O362" s="1"/>
  <c r="N364"/>
  <c r="M364"/>
  <c r="L364"/>
  <c r="L363" s="1"/>
  <c r="L362" s="1"/>
  <c r="K364"/>
  <c r="K363" s="1"/>
  <c r="K362" s="1"/>
  <c r="I364"/>
  <c r="I363" s="1"/>
  <c r="I362" s="1"/>
  <c r="H364"/>
  <c r="G364"/>
  <c r="G363" s="1"/>
  <c r="G362" s="1"/>
  <c r="F364"/>
  <c r="F363" s="1"/>
  <c r="F362" s="1"/>
  <c r="N363"/>
  <c r="N362" s="1"/>
  <c r="M363"/>
  <c r="M362" s="1"/>
  <c r="H363"/>
  <c r="H362" s="1"/>
  <c r="J361"/>
  <c r="E361"/>
  <c r="N360"/>
  <c r="J360" s="1"/>
  <c r="E360"/>
  <c r="O359"/>
  <c r="O358" s="1"/>
  <c r="M359"/>
  <c r="M358" s="1"/>
  <c r="L359"/>
  <c r="L358" s="1"/>
  <c r="K359"/>
  <c r="I359"/>
  <c r="I358" s="1"/>
  <c r="H359"/>
  <c r="H358" s="1"/>
  <c r="G359"/>
  <c r="G358" s="1"/>
  <c r="F359"/>
  <c r="F358" s="1"/>
  <c r="N357"/>
  <c r="J357" s="1"/>
  <c r="E357"/>
  <c r="J356"/>
  <c r="E356"/>
  <c r="O355"/>
  <c r="O354" s="1"/>
  <c r="O353" s="1"/>
  <c r="N355"/>
  <c r="M355"/>
  <c r="L355"/>
  <c r="K355"/>
  <c r="I355"/>
  <c r="H355"/>
  <c r="G355"/>
  <c r="F355"/>
  <c r="J352"/>
  <c r="E352"/>
  <c r="O351"/>
  <c r="O350" s="1"/>
  <c r="N351"/>
  <c r="M351"/>
  <c r="M350" s="1"/>
  <c r="L351"/>
  <c r="L350" s="1"/>
  <c r="K351"/>
  <c r="K350" s="1"/>
  <c r="I351"/>
  <c r="I350" s="1"/>
  <c r="H351"/>
  <c r="G351"/>
  <c r="G350" s="1"/>
  <c r="F351"/>
  <c r="F350" s="1"/>
  <c r="N350"/>
  <c r="J349"/>
  <c r="E349"/>
  <c r="O348"/>
  <c r="N348"/>
  <c r="M348"/>
  <c r="L348"/>
  <c r="K348"/>
  <c r="I348"/>
  <c r="H348"/>
  <c r="G348"/>
  <c r="F348"/>
  <c r="J345"/>
  <c r="E345"/>
  <c r="O344"/>
  <c r="N344"/>
  <c r="M344"/>
  <c r="L344"/>
  <c r="K344"/>
  <c r="I344"/>
  <c r="H344"/>
  <c r="G344"/>
  <c r="F344"/>
  <c r="J343"/>
  <c r="E343"/>
  <c r="J342"/>
  <c r="F342"/>
  <c r="O341"/>
  <c r="N341"/>
  <c r="M341"/>
  <c r="M340" s="1"/>
  <c r="L341"/>
  <c r="L340" s="1"/>
  <c r="K341"/>
  <c r="K340" s="1"/>
  <c r="I341"/>
  <c r="I340" s="1"/>
  <c r="H341"/>
  <c r="H340" s="1"/>
  <c r="G341"/>
  <c r="G340" s="1"/>
  <c r="O340"/>
  <c r="N340"/>
  <c r="J339"/>
  <c r="E339"/>
  <c r="O338"/>
  <c r="N338"/>
  <c r="M338"/>
  <c r="L338"/>
  <c r="K338"/>
  <c r="I338"/>
  <c r="H338"/>
  <c r="G338"/>
  <c r="F338"/>
  <c r="N337"/>
  <c r="J337" s="1"/>
  <c r="E337"/>
  <c r="O336"/>
  <c r="M336"/>
  <c r="L336"/>
  <c r="K336"/>
  <c r="I336"/>
  <c r="H336"/>
  <c r="G336"/>
  <c r="F336"/>
  <c r="O335"/>
  <c r="N335" s="1"/>
  <c r="J335" s="1"/>
  <c r="F335"/>
  <c r="M334"/>
  <c r="L334"/>
  <c r="K334"/>
  <c r="I334"/>
  <c r="H334"/>
  <c r="G334"/>
  <c r="O333"/>
  <c r="O332" s="1"/>
  <c r="E333"/>
  <c r="M332"/>
  <c r="L332"/>
  <c r="K332"/>
  <c r="I332"/>
  <c r="H332"/>
  <c r="G332"/>
  <c r="F332"/>
  <c r="O331"/>
  <c r="N331" s="1"/>
  <c r="F331"/>
  <c r="M330"/>
  <c r="L330"/>
  <c r="K330"/>
  <c r="I330"/>
  <c r="H330"/>
  <c r="G330"/>
  <c r="J329"/>
  <c r="E329"/>
  <c r="J328"/>
  <c r="E328"/>
  <c r="O327"/>
  <c r="O325" s="1"/>
  <c r="N327"/>
  <c r="N325" s="1"/>
  <c r="M327"/>
  <c r="M325" s="1"/>
  <c r="L327"/>
  <c r="L325" s="1"/>
  <c r="K327"/>
  <c r="I327"/>
  <c r="I325" s="1"/>
  <c r="H327"/>
  <c r="H325" s="1"/>
  <c r="G327"/>
  <c r="G325" s="1"/>
  <c r="F327"/>
  <c r="F325" s="1"/>
  <c r="J326"/>
  <c r="E326"/>
  <c r="N324"/>
  <c r="J324" s="1"/>
  <c r="F324"/>
  <c r="O323"/>
  <c r="M323"/>
  <c r="L323"/>
  <c r="K323"/>
  <c r="I323"/>
  <c r="H323"/>
  <c r="G323"/>
  <c r="J320"/>
  <c r="E320"/>
  <c r="O319"/>
  <c r="N319"/>
  <c r="M319"/>
  <c r="L319"/>
  <c r="K319"/>
  <c r="I319"/>
  <c r="H319"/>
  <c r="G319"/>
  <c r="F319"/>
  <c r="J318"/>
  <c r="E318"/>
  <c r="E317"/>
  <c r="E316"/>
  <c r="J315"/>
  <c r="F315"/>
  <c r="O314"/>
  <c r="N314"/>
  <c r="M314"/>
  <c r="M313" s="1"/>
  <c r="L314"/>
  <c r="L313" s="1"/>
  <c r="K314"/>
  <c r="K313" s="1"/>
  <c r="I314"/>
  <c r="I313" s="1"/>
  <c r="H314"/>
  <c r="H313" s="1"/>
  <c r="G314"/>
  <c r="G313" s="1"/>
  <c r="O313"/>
  <c r="N313"/>
  <c r="O312"/>
  <c r="N312" s="1"/>
  <c r="E312"/>
  <c r="M311"/>
  <c r="L311"/>
  <c r="K311"/>
  <c r="I311"/>
  <c r="H311"/>
  <c r="G311"/>
  <c r="F311"/>
  <c r="N310"/>
  <c r="J310" s="1"/>
  <c r="E310"/>
  <c r="J309"/>
  <c r="E309"/>
  <c r="O308"/>
  <c r="O306" s="1"/>
  <c r="N308"/>
  <c r="M308"/>
  <c r="M306" s="1"/>
  <c r="L308"/>
  <c r="L306" s="1"/>
  <c r="K308"/>
  <c r="K306" s="1"/>
  <c r="I308"/>
  <c r="I306" s="1"/>
  <c r="H308"/>
  <c r="H306" s="1"/>
  <c r="G308"/>
  <c r="G306" s="1"/>
  <c r="F308"/>
  <c r="F306" s="1"/>
  <c r="N307"/>
  <c r="J307" s="1"/>
  <c r="E307"/>
  <c r="N305"/>
  <c r="J305" s="1"/>
  <c r="E305"/>
  <c r="J304"/>
  <c r="E304"/>
  <c r="O303"/>
  <c r="N303" s="1"/>
  <c r="J303" s="1"/>
  <c r="E303"/>
  <c r="O302"/>
  <c r="N302" s="1"/>
  <c r="J302" s="1"/>
  <c r="E302"/>
  <c r="M301"/>
  <c r="M299" s="1"/>
  <c r="L301"/>
  <c r="L299" s="1"/>
  <c r="K301"/>
  <c r="K299" s="1"/>
  <c r="I301"/>
  <c r="I299" s="1"/>
  <c r="H301"/>
  <c r="H299" s="1"/>
  <c r="G301"/>
  <c r="G299" s="1"/>
  <c r="F301"/>
  <c r="J300"/>
  <c r="F300"/>
  <c r="E300" s="1"/>
  <c r="N298"/>
  <c r="J298" s="1"/>
  <c r="F298"/>
  <c r="O297"/>
  <c r="M297"/>
  <c r="L297"/>
  <c r="K297"/>
  <c r="I297"/>
  <c r="H297"/>
  <c r="G297"/>
  <c r="N294"/>
  <c r="J294" s="1"/>
  <c r="E294"/>
  <c r="O293"/>
  <c r="O292" s="1"/>
  <c r="O291" s="1"/>
  <c r="M293"/>
  <c r="M292" s="1"/>
  <c r="M291" s="1"/>
  <c r="L293"/>
  <c r="L292" s="1"/>
  <c r="L291" s="1"/>
  <c r="K293"/>
  <c r="K292" s="1"/>
  <c r="K291" s="1"/>
  <c r="I293"/>
  <c r="I292" s="1"/>
  <c r="I291" s="1"/>
  <c r="H293"/>
  <c r="H292" s="1"/>
  <c r="H291" s="1"/>
  <c r="G293"/>
  <c r="G292" s="1"/>
  <c r="G291" s="1"/>
  <c r="F293"/>
  <c r="F292" s="1"/>
  <c r="F291" s="1"/>
  <c r="J290"/>
  <c r="E290"/>
  <c r="J289"/>
  <c r="E289"/>
  <c r="O288"/>
  <c r="O287" s="1"/>
  <c r="N288"/>
  <c r="N287" s="1"/>
  <c r="M288"/>
  <c r="M287" s="1"/>
  <c r="L288"/>
  <c r="L287" s="1"/>
  <c r="K288"/>
  <c r="K287" s="1"/>
  <c r="I288"/>
  <c r="I287" s="1"/>
  <c r="H288"/>
  <c r="H287" s="1"/>
  <c r="G288"/>
  <c r="G287" s="1"/>
  <c r="F288"/>
  <c r="F287" s="1"/>
  <c r="J286"/>
  <c r="F286"/>
  <c r="O285"/>
  <c r="N285"/>
  <c r="M285"/>
  <c r="L285"/>
  <c r="K285"/>
  <c r="I285"/>
  <c r="H285"/>
  <c r="G285"/>
  <c r="N284"/>
  <c r="J284" s="1"/>
  <c r="E284"/>
  <c r="O283"/>
  <c r="M283"/>
  <c r="L283"/>
  <c r="K283"/>
  <c r="I283"/>
  <c r="H283"/>
  <c r="G283"/>
  <c r="F283"/>
  <c r="N282"/>
  <c r="J282" s="1"/>
  <c r="E282"/>
  <c r="O281"/>
  <c r="M281"/>
  <c r="L281"/>
  <c r="K281"/>
  <c r="I281"/>
  <c r="H281"/>
  <c r="G281"/>
  <c r="F281"/>
  <c r="J276"/>
  <c r="E276"/>
  <c r="O275"/>
  <c r="N275"/>
  <c r="M275"/>
  <c r="L275"/>
  <c r="K275"/>
  <c r="I275"/>
  <c r="H275"/>
  <c r="G275"/>
  <c r="F275"/>
  <c r="N274"/>
  <c r="O273"/>
  <c r="M273"/>
  <c r="L273"/>
  <c r="K273"/>
  <c r="I273"/>
  <c r="H273"/>
  <c r="G273"/>
  <c r="F273"/>
  <c r="J272"/>
  <c r="E272"/>
  <c r="J271"/>
  <c r="E271"/>
  <c r="J270"/>
  <c r="E270"/>
  <c r="J269"/>
  <c r="E269"/>
  <c r="J268"/>
  <c r="E268"/>
  <c r="O267"/>
  <c r="N267"/>
  <c r="M267"/>
  <c r="M261" s="1"/>
  <c r="L267"/>
  <c r="L261" s="1"/>
  <c r="K267"/>
  <c r="I267"/>
  <c r="I261" s="1"/>
  <c r="H267"/>
  <c r="H261" s="1"/>
  <c r="G267"/>
  <c r="G261" s="1"/>
  <c r="F267"/>
  <c r="J266"/>
  <c r="E266"/>
  <c r="O265"/>
  <c r="N265" s="1"/>
  <c r="J265" s="1"/>
  <c r="F265"/>
  <c r="E265" s="1"/>
  <c r="N264"/>
  <c r="J264" s="1"/>
  <c r="E264"/>
  <c r="N263"/>
  <c r="J263" s="1"/>
  <c r="E263"/>
  <c r="N262"/>
  <c r="J262" s="1"/>
  <c r="E262"/>
  <c r="N260"/>
  <c r="J260" s="1"/>
  <c r="E260"/>
  <c r="O259"/>
  <c r="M259"/>
  <c r="L259"/>
  <c r="K259"/>
  <c r="I259"/>
  <c r="H259"/>
  <c r="G259"/>
  <c r="F259"/>
  <c r="J256"/>
  <c r="E256"/>
  <c r="O255"/>
  <c r="O254" s="1"/>
  <c r="O253" s="1"/>
  <c r="N255"/>
  <c r="M255"/>
  <c r="M254" s="1"/>
  <c r="M253" s="1"/>
  <c r="L255"/>
  <c r="L254" s="1"/>
  <c r="L253" s="1"/>
  <c r="K255"/>
  <c r="K254" s="1"/>
  <c r="K253" s="1"/>
  <c r="I255"/>
  <c r="I254" s="1"/>
  <c r="I253" s="1"/>
  <c r="H255"/>
  <c r="H254" s="1"/>
  <c r="H253" s="1"/>
  <c r="G255"/>
  <c r="G254" s="1"/>
  <c r="G253" s="1"/>
  <c r="F255"/>
  <c r="F254" s="1"/>
  <c r="F253" s="1"/>
  <c r="N254"/>
  <c r="N253" s="1"/>
  <c r="J252"/>
  <c r="E252"/>
  <c r="O251"/>
  <c r="O250" s="1"/>
  <c r="N251"/>
  <c r="M251"/>
  <c r="M250" s="1"/>
  <c r="L251"/>
  <c r="L250" s="1"/>
  <c r="K251"/>
  <c r="K250" s="1"/>
  <c r="I251"/>
  <c r="I250" s="1"/>
  <c r="H251"/>
  <c r="H250" s="1"/>
  <c r="G251"/>
  <c r="G250" s="1"/>
  <c r="F251"/>
  <c r="F250" s="1"/>
  <c r="N250"/>
  <c r="N249"/>
  <c r="J249" s="1"/>
  <c r="E249"/>
  <c r="O248"/>
  <c r="M248"/>
  <c r="L248"/>
  <c r="K248"/>
  <c r="I248"/>
  <c r="H248"/>
  <c r="G248"/>
  <c r="F248"/>
  <c r="J247"/>
  <c r="E247"/>
  <c r="O246"/>
  <c r="N246"/>
  <c r="M246"/>
  <c r="L246"/>
  <c r="K246"/>
  <c r="I246"/>
  <c r="H246"/>
  <c r="G246"/>
  <c r="F246"/>
  <c r="J243"/>
  <c r="E243"/>
  <c r="O242"/>
  <c r="O241" s="1"/>
  <c r="N242"/>
  <c r="M242"/>
  <c r="L242"/>
  <c r="L241" s="1"/>
  <c r="K242"/>
  <c r="I242"/>
  <c r="I241" s="1"/>
  <c r="H242"/>
  <c r="H241" s="1"/>
  <c r="G242"/>
  <c r="G241" s="1"/>
  <c r="F242"/>
  <c r="F241" s="1"/>
  <c r="N241"/>
  <c r="M241"/>
  <c r="N240"/>
  <c r="J240" s="1"/>
  <c r="E240"/>
  <c r="O239"/>
  <c r="M239"/>
  <c r="L239"/>
  <c r="K239"/>
  <c r="I239"/>
  <c r="H239"/>
  <c r="G239"/>
  <c r="F239"/>
  <c r="J238"/>
  <c r="F238"/>
  <c r="E238" s="1"/>
  <c r="O237"/>
  <c r="N237"/>
  <c r="M237"/>
  <c r="L237"/>
  <c r="K237"/>
  <c r="I237"/>
  <c r="H237"/>
  <c r="G237"/>
  <c r="O236"/>
  <c r="O235" s="1"/>
  <c r="F236"/>
  <c r="E236" s="1"/>
  <c r="M235"/>
  <c r="L235"/>
  <c r="K235"/>
  <c r="I235"/>
  <c r="H235"/>
  <c r="G235"/>
  <c r="J234"/>
  <c r="E234"/>
  <c r="O233"/>
  <c r="N233"/>
  <c r="M233"/>
  <c r="L233"/>
  <c r="K233"/>
  <c r="I233"/>
  <c r="H233"/>
  <c r="G233"/>
  <c r="F233"/>
  <c r="J232"/>
  <c r="E232"/>
  <c r="J231"/>
  <c r="E231"/>
  <c r="J230"/>
  <c r="E230"/>
  <c r="J229"/>
  <c r="E229"/>
  <c r="O228"/>
  <c r="N228"/>
  <c r="M228"/>
  <c r="L228"/>
  <c r="K228"/>
  <c r="I228"/>
  <c r="H228"/>
  <c r="G228"/>
  <c r="F228"/>
  <c r="J227"/>
  <c r="E227"/>
  <c r="O226"/>
  <c r="N226" s="1"/>
  <c r="J226" s="1"/>
  <c r="E226"/>
  <c r="M225"/>
  <c r="L225"/>
  <c r="K225"/>
  <c r="I225"/>
  <c r="H225"/>
  <c r="G225"/>
  <c r="F225"/>
  <c r="E224"/>
  <c r="P224" s="1"/>
  <c r="J223"/>
  <c r="E223"/>
  <c r="E222"/>
  <c r="P222" s="1"/>
  <c r="J221"/>
  <c r="E221"/>
  <c r="E220"/>
  <c r="P220" s="1"/>
  <c r="J219"/>
  <c r="E219"/>
  <c r="E218"/>
  <c r="P218" s="1"/>
  <c r="J217"/>
  <c r="E217"/>
  <c r="E216"/>
  <c r="P216" s="1"/>
  <c r="J215"/>
  <c r="E215"/>
  <c r="E214"/>
  <c r="P214" s="1"/>
  <c r="J213"/>
  <c r="E213"/>
  <c r="E212"/>
  <c r="P212" s="1"/>
  <c r="J211"/>
  <c r="E211"/>
  <c r="E210"/>
  <c r="P210" s="1"/>
  <c r="J209"/>
  <c r="E209"/>
  <c r="E208"/>
  <c r="P208" s="1"/>
  <c r="J207"/>
  <c r="E207"/>
  <c r="E206"/>
  <c r="P206" s="1"/>
  <c r="J205"/>
  <c r="E205"/>
  <c r="O204"/>
  <c r="N204"/>
  <c r="M204"/>
  <c r="L204"/>
  <c r="K204"/>
  <c r="I204"/>
  <c r="H204"/>
  <c r="G204"/>
  <c r="F204"/>
  <c r="J203"/>
  <c r="E203"/>
  <c r="J202"/>
  <c r="E202"/>
  <c r="J201"/>
  <c r="E201"/>
  <c r="J200"/>
  <c r="E200"/>
  <c r="J199"/>
  <c r="E199"/>
  <c r="J198"/>
  <c r="E198"/>
  <c r="N197"/>
  <c r="J197" s="1"/>
  <c r="E197"/>
  <c r="O196"/>
  <c r="M196"/>
  <c r="L196"/>
  <c r="K196"/>
  <c r="I196"/>
  <c r="H196"/>
  <c r="G196"/>
  <c r="F196"/>
  <c r="J194"/>
  <c r="E194"/>
  <c r="F193"/>
  <c r="E193" s="1"/>
  <c r="P193" s="1"/>
  <c r="J192"/>
  <c r="E192"/>
  <c r="F191"/>
  <c r="E191" s="1"/>
  <c r="P191" s="1"/>
  <c r="J190"/>
  <c r="E190"/>
  <c r="F189"/>
  <c r="E189" s="1"/>
  <c r="P189" s="1"/>
  <c r="J188"/>
  <c r="E188"/>
  <c r="E187"/>
  <c r="P187" s="1"/>
  <c r="J186"/>
  <c r="E186"/>
  <c r="J185"/>
  <c r="E185"/>
  <c r="F184"/>
  <c r="E184" s="1"/>
  <c r="P184" s="1"/>
  <c r="J183"/>
  <c r="E183"/>
  <c r="O182"/>
  <c r="N182"/>
  <c r="M182"/>
  <c r="L182"/>
  <c r="K182"/>
  <c r="I182"/>
  <c r="H182"/>
  <c r="G182"/>
  <c r="F182"/>
  <c r="J180"/>
  <c r="E180"/>
  <c r="F179"/>
  <c r="E179" s="1"/>
  <c r="P179" s="1"/>
  <c r="J178"/>
  <c r="E178"/>
  <c r="F177"/>
  <c r="E177" s="1"/>
  <c r="P177" s="1"/>
  <c r="J176"/>
  <c r="E176"/>
  <c r="F175"/>
  <c r="E175" s="1"/>
  <c r="P175" s="1"/>
  <c r="J174"/>
  <c r="E174"/>
  <c r="F173"/>
  <c r="E173" s="1"/>
  <c r="P173" s="1"/>
  <c r="J172"/>
  <c r="E172"/>
  <c r="J171"/>
  <c r="E171"/>
  <c r="F170"/>
  <c r="E170" s="1"/>
  <c r="P170" s="1"/>
  <c r="J169"/>
  <c r="E169"/>
  <c r="O168"/>
  <c r="N168"/>
  <c r="M168"/>
  <c r="L168"/>
  <c r="K168"/>
  <c r="I168"/>
  <c r="H168"/>
  <c r="G168"/>
  <c r="F168"/>
  <c r="E166"/>
  <c r="P166" s="1"/>
  <c r="J165"/>
  <c r="E165"/>
  <c r="O164"/>
  <c r="N164"/>
  <c r="M164"/>
  <c r="L164"/>
  <c r="K164"/>
  <c r="I164"/>
  <c r="H164"/>
  <c r="G164"/>
  <c r="F164"/>
  <c r="O163"/>
  <c r="N163" s="1"/>
  <c r="E163"/>
  <c r="M162"/>
  <c r="L162"/>
  <c r="K162"/>
  <c r="I162"/>
  <c r="H162"/>
  <c r="G162"/>
  <c r="F162"/>
  <c r="J159"/>
  <c r="E159"/>
  <c r="O158"/>
  <c r="E158"/>
  <c r="M157"/>
  <c r="L157"/>
  <c r="K157"/>
  <c r="I157"/>
  <c r="H157"/>
  <c r="G157"/>
  <c r="F157"/>
  <c r="J156"/>
  <c r="E156"/>
  <c r="J155"/>
  <c r="E155"/>
  <c r="J154"/>
  <c r="E154"/>
  <c r="J153"/>
  <c r="E153"/>
  <c r="O152"/>
  <c r="N152"/>
  <c r="M152"/>
  <c r="L152"/>
  <c r="K152"/>
  <c r="I152"/>
  <c r="H152"/>
  <c r="G152"/>
  <c r="F152"/>
  <c r="J151"/>
  <c r="J150" s="1"/>
  <c r="E151"/>
  <c r="O150"/>
  <c r="N150"/>
  <c r="M150"/>
  <c r="L150"/>
  <c r="I150"/>
  <c r="H150"/>
  <c r="G150"/>
  <c r="F150"/>
  <c r="J149"/>
  <c r="E149"/>
  <c r="J148"/>
  <c r="E148"/>
  <c r="J147"/>
  <c r="E147"/>
  <c r="J146"/>
  <c r="E146"/>
  <c r="N145"/>
  <c r="E145"/>
  <c r="J144"/>
  <c r="E144"/>
  <c r="J143"/>
  <c r="E143"/>
  <c r="J142"/>
  <c r="E142"/>
  <c r="J141"/>
  <c r="E141"/>
  <c r="J140"/>
  <c r="E140"/>
  <c r="N139"/>
  <c r="J139" s="1"/>
  <c r="E139"/>
  <c r="J138"/>
  <c r="E138"/>
  <c r="J137"/>
  <c r="E137"/>
  <c r="J136"/>
  <c r="E136"/>
  <c r="J135"/>
  <c r="E135"/>
  <c r="J134"/>
  <c r="E134"/>
  <c r="J133"/>
  <c r="E133"/>
  <c r="O132"/>
  <c r="N132" s="1"/>
  <c r="J132" s="1"/>
  <c r="E132"/>
  <c r="N131"/>
  <c r="J131" s="1"/>
  <c r="E131"/>
  <c r="J130"/>
  <c r="E130"/>
  <c r="O129"/>
  <c r="N129" s="1"/>
  <c r="H129"/>
  <c r="F129"/>
  <c r="E129" s="1"/>
  <c r="O127"/>
  <c r="E127"/>
  <c r="M126"/>
  <c r="L126"/>
  <c r="K126"/>
  <c r="I126"/>
  <c r="H126"/>
  <c r="G126"/>
  <c r="F126"/>
  <c r="J123"/>
  <c r="F123"/>
  <c r="O122"/>
  <c r="N122"/>
  <c r="M122"/>
  <c r="L122"/>
  <c r="K122"/>
  <c r="I122"/>
  <c r="H122"/>
  <c r="G122"/>
  <c r="N121"/>
  <c r="J121" s="1"/>
  <c r="E121"/>
  <c r="O120"/>
  <c r="M120"/>
  <c r="L120"/>
  <c r="K120"/>
  <c r="I120"/>
  <c r="H120"/>
  <c r="G120"/>
  <c r="F120"/>
  <c r="J119"/>
  <c r="E119"/>
  <c r="O118"/>
  <c r="N118"/>
  <c r="M118"/>
  <c r="L118"/>
  <c r="K118"/>
  <c r="I118"/>
  <c r="H118"/>
  <c r="G118"/>
  <c r="F118"/>
  <c r="J117"/>
  <c r="E117"/>
  <c r="N116"/>
  <c r="J116" s="1"/>
  <c r="F116"/>
  <c r="E116" s="1"/>
  <c r="O115"/>
  <c r="N115" s="1"/>
  <c r="F115"/>
  <c r="E115" s="1"/>
  <c r="M114"/>
  <c r="L114"/>
  <c r="K114"/>
  <c r="I114"/>
  <c r="H114"/>
  <c r="G114"/>
  <c r="J113"/>
  <c r="F113"/>
  <c r="E113" s="1"/>
  <c r="J112"/>
  <c r="F112"/>
  <c r="O111"/>
  <c r="N111"/>
  <c r="M111"/>
  <c r="L111"/>
  <c r="K111"/>
  <c r="I111"/>
  <c r="H111"/>
  <c r="G111"/>
  <c r="E109"/>
  <c r="P109" s="1"/>
  <c r="O108"/>
  <c r="N108"/>
  <c r="N106" s="1"/>
  <c r="M108"/>
  <c r="M106" s="1"/>
  <c r="L108"/>
  <c r="L106" s="1"/>
  <c r="K108"/>
  <c r="K106" s="1"/>
  <c r="J108"/>
  <c r="I108"/>
  <c r="I106" s="1"/>
  <c r="H108"/>
  <c r="H106" s="1"/>
  <c r="G108"/>
  <c r="G106" s="1"/>
  <c r="F108"/>
  <c r="J107"/>
  <c r="E107"/>
  <c r="O106"/>
  <c r="J105"/>
  <c r="E105"/>
  <c r="O104"/>
  <c r="N104"/>
  <c r="M104"/>
  <c r="L104"/>
  <c r="K104"/>
  <c r="I104"/>
  <c r="H104"/>
  <c r="G104"/>
  <c r="F104"/>
  <c r="J101"/>
  <c r="E101"/>
  <c r="O100"/>
  <c r="O98" s="1"/>
  <c r="N100"/>
  <c r="M100"/>
  <c r="M98" s="1"/>
  <c r="L100"/>
  <c r="L98" s="1"/>
  <c r="K100"/>
  <c r="K98" s="1"/>
  <c r="I100"/>
  <c r="I98" s="1"/>
  <c r="H100"/>
  <c r="H98" s="1"/>
  <c r="G100"/>
  <c r="G98" s="1"/>
  <c r="F100"/>
  <c r="N99"/>
  <c r="E99"/>
  <c r="J97"/>
  <c r="E97"/>
  <c r="O96"/>
  <c r="O95" s="1"/>
  <c r="N96"/>
  <c r="N95" s="1"/>
  <c r="M96"/>
  <c r="M95" s="1"/>
  <c r="L96"/>
  <c r="L95" s="1"/>
  <c r="K96"/>
  <c r="I96"/>
  <c r="I95" s="1"/>
  <c r="H96"/>
  <c r="H95" s="1"/>
  <c r="G96"/>
  <c r="G95" s="1"/>
  <c r="F96"/>
  <c r="F95" s="1"/>
  <c r="J94"/>
  <c r="E94"/>
  <c r="O93"/>
  <c r="N93"/>
  <c r="M93"/>
  <c r="L93"/>
  <c r="K93"/>
  <c r="I93"/>
  <c r="H93"/>
  <c r="G93"/>
  <c r="F93"/>
  <c r="J92"/>
  <c r="E92"/>
  <c r="O91"/>
  <c r="N91"/>
  <c r="M91"/>
  <c r="L91"/>
  <c r="K91"/>
  <c r="I91"/>
  <c r="H91"/>
  <c r="G91"/>
  <c r="F91"/>
  <c r="O90"/>
  <c r="N90" s="1"/>
  <c r="J90" s="1"/>
  <c r="E90"/>
  <c r="N89"/>
  <c r="J89" s="1"/>
  <c r="E89"/>
  <c r="O88"/>
  <c r="N88" s="1"/>
  <c r="J88" s="1"/>
  <c r="E88"/>
  <c r="J87"/>
  <c r="E87"/>
  <c r="O86"/>
  <c r="E86"/>
  <c r="M85"/>
  <c r="L85"/>
  <c r="K85"/>
  <c r="I85"/>
  <c r="H85"/>
  <c r="G85"/>
  <c r="F85"/>
  <c r="J84"/>
  <c r="E84"/>
  <c r="J83"/>
  <c r="E83"/>
  <c r="J82"/>
  <c r="E82"/>
  <c r="J81"/>
  <c r="E81"/>
  <c r="J80"/>
  <c r="E80"/>
  <c r="O79"/>
  <c r="O78" s="1"/>
  <c r="N79"/>
  <c r="N78" s="1"/>
  <c r="M79"/>
  <c r="M78" s="1"/>
  <c r="L79"/>
  <c r="L78" s="1"/>
  <c r="K79"/>
  <c r="K78" s="1"/>
  <c r="I79"/>
  <c r="I78" s="1"/>
  <c r="H79"/>
  <c r="H78" s="1"/>
  <c r="G79"/>
  <c r="G78" s="1"/>
  <c r="F79"/>
  <c r="F78" s="1"/>
  <c r="J77"/>
  <c r="E77"/>
  <c r="J76"/>
  <c r="E76"/>
  <c r="N75"/>
  <c r="J75" s="1"/>
  <c r="E75"/>
  <c r="N74"/>
  <c r="J74" s="1"/>
  <c r="E74"/>
  <c r="J73"/>
  <c r="E73"/>
  <c r="J72"/>
  <c r="E72"/>
  <c r="J71"/>
  <c r="E71"/>
  <c r="J70"/>
  <c r="E70"/>
  <c r="J69"/>
  <c r="G69"/>
  <c r="F69"/>
  <c r="E69" s="1"/>
  <c r="N68"/>
  <c r="J68" s="1"/>
  <c r="E68"/>
  <c r="N67"/>
  <c r="J67" s="1"/>
  <c r="E67"/>
  <c r="J66"/>
  <c r="E66"/>
  <c r="J65"/>
  <c r="G65"/>
  <c r="F65"/>
  <c r="E65" s="1"/>
  <c r="J64"/>
  <c r="F64"/>
  <c r="E64" s="1"/>
  <c r="J63"/>
  <c r="E63"/>
  <c r="J62"/>
  <c r="G62"/>
  <c r="F62"/>
  <c r="E62" s="1"/>
  <c r="E60"/>
  <c r="E59"/>
  <c r="J60" l="1"/>
  <c r="J53" s="1"/>
  <c r="P61"/>
  <c r="P60" s="1"/>
  <c r="F505"/>
  <c r="E505" s="1"/>
  <c r="H27"/>
  <c r="E152"/>
  <c r="P300"/>
  <c r="F402"/>
  <c r="F397" s="1"/>
  <c r="F396" s="1"/>
  <c r="P21"/>
  <c r="E372"/>
  <c r="K371"/>
  <c r="K370" s="1"/>
  <c r="O371"/>
  <c r="O370" s="1"/>
  <c r="N27"/>
  <c r="J145"/>
  <c r="J128" s="1"/>
  <c r="N128"/>
  <c r="E529"/>
  <c r="P529" s="1"/>
  <c r="L504"/>
  <c r="L503" s="1"/>
  <c r="P532"/>
  <c r="P555"/>
  <c r="P243"/>
  <c r="E327"/>
  <c r="P365"/>
  <c r="J529"/>
  <c r="E531"/>
  <c r="E53"/>
  <c r="N442"/>
  <c r="N441" s="1"/>
  <c r="L125"/>
  <c r="L124" s="1"/>
  <c r="E311"/>
  <c r="P339"/>
  <c r="M371"/>
  <c r="M370" s="1"/>
  <c r="E378"/>
  <c r="J412"/>
  <c r="J426"/>
  <c r="E431"/>
  <c r="J431"/>
  <c r="J96"/>
  <c r="N259"/>
  <c r="N336"/>
  <c r="J336" s="1"/>
  <c r="E338"/>
  <c r="J338"/>
  <c r="E410"/>
  <c r="E513"/>
  <c r="J513"/>
  <c r="J571"/>
  <c r="E150"/>
  <c r="P150" s="1"/>
  <c r="J168"/>
  <c r="P240"/>
  <c r="N281"/>
  <c r="G371"/>
  <c r="G370" s="1"/>
  <c r="E418"/>
  <c r="J418"/>
  <c r="N552"/>
  <c r="E554"/>
  <c r="P55"/>
  <c r="E51"/>
  <c r="J22"/>
  <c r="J17"/>
  <c r="P17" s="1"/>
  <c r="P154"/>
  <c r="P156"/>
  <c r="J313"/>
  <c r="K347"/>
  <c r="K346" s="1"/>
  <c r="P361"/>
  <c r="M574"/>
  <c r="M573" s="1"/>
  <c r="P58"/>
  <c r="L50"/>
  <c r="L49" s="1"/>
  <c r="P46"/>
  <c r="P32"/>
  <c r="H125"/>
  <c r="H124" s="1"/>
  <c r="E225"/>
  <c r="E233"/>
  <c r="N239"/>
  <c r="J239" s="1"/>
  <c r="N248"/>
  <c r="N245" s="1"/>
  <c r="N244" s="1"/>
  <c r="P264"/>
  <c r="J319"/>
  <c r="P360"/>
  <c r="I417"/>
  <c r="I416" s="1"/>
  <c r="H50"/>
  <c r="H49" s="1"/>
  <c r="P48"/>
  <c r="P35"/>
  <c r="P33"/>
  <c r="J25"/>
  <c r="E25"/>
  <c r="E22"/>
  <c r="P22" s="1"/>
  <c r="I50"/>
  <c r="I49" s="1"/>
  <c r="J47"/>
  <c r="E47"/>
  <c r="O27"/>
  <c r="O15" s="1"/>
  <c r="O14" s="1"/>
  <c r="P42"/>
  <c r="P29"/>
  <c r="P26"/>
  <c r="G30"/>
  <c r="G27" s="1"/>
  <c r="G15" s="1"/>
  <c r="G14" s="1"/>
  <c r="M50"/>
  <c r="M49" s="1"/>
  <c r="P52"/>
  <c r="P36"/>
  <c r="P34"/>
  <c r="F30"/>
  <c r="E30" s="1"/>
  <c r="J28"/>
  <c r="P28" s="1"/>
  <c r="P24"/>
  <c r="I27"/>
  <c r="I15" s="1"/>
  <c r="I14" s="1"/>
  <c r="J16"/>
  <c r="J30"/>
  <c r="K27"/>
  <c r="F27"/>
  <c r="F15" s="1"/>
  <c r="L15"/>
  <c r="L14" s="1"/>
  <c r="E18"/>
  <c r="M15"/>
  <c r="M14" s="1"/>
  <c r="H15"/>
  <c r="H14" s="1"/>
  <c r="G50"/>
  <c r="G49" s="1"/>
  <c r="K280"/>
  <c r="K279" s="1"/>
  <c r="E16"/>
  <c r="H110"/>
  <c r="H103" s="1"/>
  <c r="H102" s="1"/>
  <c r="M110"/>
  <c r="M103" s="1"/>
  <c r="M102" s="1"/>
  <c r="P185"/>
  <c r="P190"/>
  <c r="P229"/>
  <c r="P231"/>
  <c r="P266"/>
  <c r="I347"/>
  <c r="I346" s="1"/>
  <c r="P369"/>
  <c r="O417"/>
  <c r="O416" s="1"/>
  <c r="G417"/>
  <c r="G416" s="1"/>
  <c r="E547"/>
  <c r="F575"/>
  <c r="E575" s="1"/>
  <c r="P601"/>
  <c r="J91"/>
  <c r="F114"/>
  <c r="E114" s="1"/>
  <c r="K110"/>
  <c r="K103" s="1"/>
  <c r="K102" s="1"/>
  <c r="E120"/>
  <c r="P192"/>
  <c r="E228"/>
  <c r="E246"/>
  <c r="J259"/>
  <c r="L258"/>
  <c r="L257" s="1"/>
  <c r="P268"/>
  <c r="P270"/>
  <c r="P272"/>
  <c r="P282"/>
  <c r="E301"/>
  <c r="E332"/>
  <c r="M347"/>
  <c r="M346" s="1"/>
  <c r="E368"/>
  <c r="F420"/>
  <c r="J428"/>
  <c r="N425"/>
  <c r="N424" s="1"/>
  <c r="E438"/>
  <c r="J438"/>
  <c r="P488"/>
  <c r="J577"/>
  <c r="N598"/>
  <c r="J598" s="1"/>
  <c r="J600"/>
  <c r="J51"/>
  <c r="E31"/>
  <c r="P31" s="1"/>
  <c r="J23"/>
  <c r="P23" s="1"/>
  <c r="E19"/>
  <c r="E85"/>
  <c r="E93"/>
  <c r="P131"/>
  <c r="M167"/>
  <c r="M161" s="1"/>
  <c r="M160" s="1"/>
  <c r="E204"/>
  <c r="J204"/>
  <c r="I245"/>
  <c r="I244" s="1"/>
  <c r="E248"/>
  <c r="M245"/>
  <c r="M244" s="1"/>
  <c r="E267"/>
  <c r="M280"/>
  <c r="M279" s="1"/>
  <c r="N323"/>
  <c r="J323" s="1"/>
  <c r="O334"/>
  <c r="J344"/>
  <c r="E355"/>
  <c r="J355"/>
  <c r="I371"/>
  <c r="I370" s="1"/>
  <c r="E374"/>
  <c r="P374" s="1"/>
  <c r="E380"/>
  <c r="N380"/>
  <c r="J380" s="1"/>
  <c r="J382"/>
  <c r="E412"/>
  <c r="G442"/>
  <c r="G441" s="1"/>
  <c r="E451"/>
  <c r="J455"/>
  <c r="J482"/>
  <c r="J525"/>
  <c r="J523" s="1"/>
  <c r="P530"/>
  <c r="E537"/>
  <c r="E557"/>
  <c r="E560"/>
  <c r="J560"/>
  <c r="J44"/>
  <c r="N20"/>
  <c r="O347"/>
  <c r="O346" s="1"/>
  <c r="E100"/>
  <c r="P105"/>
  <c r="O114"/>
  <c r="O110" s="1"/>
  <c r="O103" s="1"/>
  <c r="O102" s="1"/>
  <c r="E157"/>
  <c r="E164"/>
  <c r="P183"/>
  <c r="P188"/>
  <c r="P227"/>
  <c r="F237"/>
  <c r="E237" s="1"/>
  <c r="P249"/>
  <c r="F261"/>
  <c r="E261" s="1"/>
  <c r="I280"/>
  <c r="I279" s="1"/>
  <c r="O280"/>
  <c r="O279" s="1"/>
  <c r="N293"/>
  <c r="N292" s="1"/>
  <c r="N291" s="1"/>
  <c r="J291" s="1"/>
  <c r="P304"/>
  <c r="N306"/>
  <c r="P357"/>
  <c r="L397"/>
  <c r="L396" s="1"/>
  <c r="H397"/>
  <c r="H396" s="1"/>
  <c r="M397"/>
  <c r="M396" s="1"/>
  <c r="P409"/>
  <c r="J435"/>
  <c r="I442"/>
  <c r="I441" s="1"/>
  <c r="E446"/>
  <c r="J446"/>
  <c r="O442"/>
  <c r="O441" s="1"/>
  <c r="K451"/>
  <c r="J451" s="1"/>
  <c r="J459"/>
  <c r="F482"/>
  <c r="E482" s="1"/>
  <c r="E548"/>
  <c r="E583"/>
  <c r="P585"/>
  <c r="P587"/>
  <c r="P589"/>
  <c r="P591"/>
  <c r="E593"/>
  <c r="J593"/>
  <c r="J104"/>
  <c r="I110"/>
  <c r="I103" s="1"/>
  <c r="I102" s="1"/>
  <c r="J118"/>
  <c r="H167"/>
  <c r="H161" s="1"/>
  <c r="H160" s="1"/>
  <c r="E182"/>
  <c r="E196"/>
  <c r="F235"/>
  <c r="E235" s="1"/>
  <c r="O245"/>
  <c r="O244" s="1"/>
  <c r="P262"/>
  <c r="P294"/>
  <c r="P305"/>
  <c r="P307"/>
  <c r="P329"/>
  <c r="I354"/>
  <c r="I353" s="1"/>
  <c r="N359"/>
  <c r="N358" s="1"/>
  <c r="N354" s="1"/>
  <c r="N353" s="1"/>
  <c r="E385"/>
  <c r="J385"/>
  <c r="J398"/>
  <c r="E408"/>
  <c r="L425"/>
  <c r="L424" s="1"/>
  <c r="E461"/>
  <c r="J461"/>
  <c r="J484"/>
  <c r="N487"/>
  <c r="J487" s="1"/>
  <c r="J552"/>
  <c r="E598"/>
  <c r="E603"/>
  <c r="G597"/>
  <c r="G596" s="1"/>
  <c r="P63"/>
  <c r="P72"/>
  <c r="P76"/>
  <c r="P81"/>
  <c r="P83"/>
  <c r="P94"/>
  <c r="G347"/>
  <c r="G346" s="1"/>
  <c r="M354"/>
  <c r="M353" s="1"/>
  <c r="P70"/>
  <c r="E79"/>
  <c r="P92"/>
  <c r="P67"/>
  <c r="G110"/>
  <c r="G103" s="1"/>
  <c r="G102" s="1"/>
  <c r="P172"/>
  <c r="P180"/>
  <c r="N333"/>
  <c r="J333" s="1"/>
  <c r="P333" s="1"/>
  <c r="P407"/>
  <c r="L442"/>
  <c r="L441" s="1"/>
  <c r="I458"/>
  <c r="I457" s="1"/>
  <c r="G528"/>
  <c r="G527" s="1"/>
  <c r="P538"/>
  <c r="P540"/>
  <c r="P542"/>
  <c r="P544"/>
  <c r="P546"/>
  <c r="P595"/>
  <c r="P80"/>
  <c r="P82"/>
  <c r="P84"/>
  <c r="P101"/>
  <c r="E112"/>
  <c r="P112" s="1"/>
  <c r="F111"/>
  <c r="F122"/>
  <c r="E122" s="1"/>
  <c r="E123"/>
  <c r="P123" s="1"/>
  <c r="J274"/>
  <c r="P274" s="1"/>
  <c r="N273"/>
  <c r="J273" s="1"/>
  <c r="F297"/>
  <c r="E297" s="1"/>
  <c r="E335"/>
  <c r="P335" s="1"/>
  <c r="F334"/>
  <c r="E334" s="1"/>
  <c r="E367"/>
  <c r="F366"/>
  <c r="E366" s="1"/>
  <c r="N127"/>
  <c r="J127" s="1"/>
  <c r="P127" s="1"/>
  <c r="J182"/>
  <c r="K167"/>
  <c r="K241"/>
  <c r="J241" s="1"/>
  <c r="J242"/>
  <c r="F314"/>
  <c r="E315"/>
  <c r="P315" s="1"/>
  <c r="E342"/>
  <c r="P342" s="1"/>
  <c r="F341"/>
  <c r="O404"/>
  <c r="N406"/>
  <c r="J406" s="1"/>
  <c r="P406" s="1"/>
  <c r="F443"/>
  <c r="E443" s="1"/>
  <c r="E444"/>
  <c r="P444" s="1"/>
  <c r="K536"/>
  <c r="J536" s="1"/>
  <c r="J537"/>
  <c r="J115"/>
  <c r="J114" s="1"/>
  <c r="N114"/>
  <c r="N110" s="1"/>
  <c r="E324"/>
  <c r="P324" s="1"/>
  <c r="F323"/>
  <c r="E323" s="1"/>
  <c r="E331"/>
  <c r="F330"/>
  <c r="E330" s="1"/>
  <c r="O400"/>
  <c r="N401"/>
  <c r="J401" s="1"/>
  <c r="P401" s="1"/>
  <c r="E434"/>
  <c r="E433" s="1"/>
  <c r="P433" s="1"/>
  <c r="F433"/>
  <c r="F425" s="1"/>
  <c r="I574"/>
  <c r="I573" s="1"/>
  <c r="P133"/>
  <c r="P137"/>
  <c r="P143"/>
  <c r="H280"/>
  <c r="H279" s="1"/>
  <c r="P64"/>
  <c r="P71"/>
  <c r="P77"/>
  <c r="F98"/>
  <c r="E98" s="1"/>
  <c r="I167"/>
  <c r="I161" s="1"/>
  <c r="I160" s="1"/>
  <c r="E78"/>
  <c r="L110"/>
  <c r="L103" s="1"/>
  <c r="L102" s="1"/>
  <c r="O126"/>
  <c r="E168"/>
  <c r="P217"/>
  <c r="E253"/>
  <c r="O261"/>
  <c r="O258" s="1"/>
  <c r="O257" s="1"/>
  <c r="L296"/>
  <c r="L295" s="1"/>
  <c r="O301"/>
  <c r="O299" s="1"/>
  <c r="J366"/>
  <c r="H442"/>
  <c r="H441" s="1"/>
  <c r="E286"/>
  <c r="P286" s="1"/>
  <c r="F285"/>
  <c r="F280" s="1"/>
  <c r="K358"/>
  <c r="E553"/>
  <c r="P553" s="1"/>
  <c r="F552"/>
  <c r="E552" s="1"/>
  <c r="P552" s="1"/>
  <c r="H350"/>
  <c r="F459"/>
  <c r="E459" s="1"/>
  <c r="P459" s="1"/>
  <c r="E460"/>
  <c r="P460" s="1"/>
  <c r="N507"/>
  <c r="J507" s="1"/>
  <c r="J509"/>
  <c r="P509" s="1"/>
  <c r="O534"/>
  <c r="O528" s="1"/>
  <c r="O527" s="1"/>
  <c r="N535"/>
  <c r="J535" s="1"/>
  <c r="P535" s="1"/>
  <c r="P135"/>
  <c r="P141"/>
  <c r="J253"/>
  <c r="G296"/>
  <c r="G295" s="1"/>
  <c r="P318"/>
  <c r="P320"/>
  <c r="E362"/>
  <c r="M442"/>
  <c r="M441" s="1"/>
  <c r="E464"/>
  <c r="L551"/>
  <c r="L550" s="1"/>
  <c r="O225"/>
  <c r="O167" s="1"/>
  <c r="N236"/>
  <c r="E241"/>
  <c r="J250"/>
  <c r="H258"/>
  <c r="H257" s="1"/>
  <c r="G280"/>
  <c r="G279" s="1"/>
  <c r="L280"/>
  <c r="L279" s="1"/>
  <c r="H296"/>
  <c r="H295" s="1"/>
  <c r="F299"/>
  <c r="E299" s="1"/>
  <c r="E363"/>
  <c r="J367"/>
  <c r="G551"/>
  <c r="G550" s="1"/>
  <c r="E582"/>
  <c r="I597"/>
  <c r="I596" s="1"/>
  <c r="E325"/>
  <c r="N417"/>
  <c r="N416" s="1"/>
  <c r="M481"/>
  <c r="M480" s="1"/>
  <c r="I528"/>
  <c r="I527" s="1"/>
  <c r="P533"/>
  <c r="P539"/>
  <c r="P541"/>
  <c r="P543"/>
  <c r="P545"/>
  <c r="P549"/>
  <c r="P59"/>
  <c r="P62"/>
  <c r="P69"/>
  <c r="E104"/>
  <c r="J111"/>
  <c r="P151"/>
  <c r="P153"/>
  <c r="L167"/>
  <c r="L161" s="1"/>
  <c r="L160" s="1"/>
  <c r="P169"/>
  <c r="P171"/>
  <c r="P176"/>
  <c r="P186"/>
  <c r="P209"/>
  <c r="P219"/>
  <c r="P230"/>
  <c r="P232"/>
  <c r="P234"/>
  <c r="E242"/>
  <c r="P242" s="1"/>
  <c r="G245"/>
  <c r="G244" s="1"/>
  <c r="P247"/>
  <c r="H245"/>
  <c r="H244" s="1"/>
  <c r="E255"/>
  <c r="J255"/>
  <c r="P269"/>
  <c r="P271"/>
  <c r="E273"/>
  <c r="J281"/>
  <c r="E283"/>
  <c r="N283"/>
  <c r="J285"/>
  <c r="J288"/>
  <c r="N297"/>
  <c r="J297" s="1"/>
  <c r="I296"/>
  <c r="I295" s="1"/>
  <c r="P303"/>
  <c r="P326"/>
  <c r="P328"/>
  <c r="O330"/>
  <c r="N334"/>
  <c r="J334" s="1"/>
  <c r="E348"/>
  <c r="J348"/>
  <c r="J351"/>
  <c r="E364"/>
  <c r="J368"/>
  <c r="P373"/>
  <c r="H371"/>
  <c r="H370" s="1"/>
  <c r="P375"/>
  <c r="P379"/>
  <c r="J387"/>
  <c r="E390"/>
  <c r="J390"/>
  <c r="J394"/>
  <c r="E400"/>
  <c r="M417"/>
  <c r="M416" s="1"/>
  <c r="H425"/>
  <c r="H424" s="1"/>
  <c r="F445"/>
  <c r="K445"/>
  <c r="K442" s="1"/>
  <c r="O461"/>
  <c r="O458" s="1"/>
  <c r="O457" s="1"/>
  <c r="J463"/>
  <c r="P463" s="1"/>
  <c r="P465"/>
  <c r="J467"/>
  <c r="J490"/>
  <c r="F512"/>
  <c r="E512" s="1"/>
  <c r="K512"/>
  <c r="J512" s="1"/>
  <c r="I551"/>
  <c r="I550" s="1"/>
  <c r="P556"/>
  <c r="P584"/>
  <c r="P586"/>
  <c r="P588"/>
  <c r="P590"/>
  <c r="P592"/>
  <c r="E594"/>
  <c r="J594"/>
  <c r="E599"/>
  <c r="P599" s="1"/>
  <c r="E600"/>
  <c r="P600" s="1"/>
  <c r="P602"/>
  <c r="J617"/>
  <c r="P65"/>
  <c r="P68"/>
  <c r="E91"/>
  <c r="E126"/>
  <c r="P134"/>
  <c r="P136"/>
  <c r="P138"/>
  <c r="P140"/>
  <c r="P142"/>
  <c r="P144"/>
  <c r="P165"/>
  <c r="P194"/>
  <c r="G167"/>
  <c r="G161" s="1"/>
  <c r="G160" s="1"/>
  <c r="P211"/>
  <c r="J237"/>
  <c r="J251"/>
  <c r="E254"/>
  <c r="J254"/>
  <c r="P260"/>
  <c r="P263"/>
  <c r="E275"/>
  <c r="J275"/>
  <c r="P284"/>
  <c r="J287"/>
  <c r="J306"/>
  <c r="E306"/>
  <c r="P310"/>
  <c r="J314"/>
  <c r="E319"/>
  <c r="P337"/>
  <c r="J350"/>
  <c r="G354"/>
  <c r="G353" s="1"/>
  <c r="E389"/>
  <c r="J389"/>
  <c r="J402"/>
  <c r="E413"/>
  <c r="J413"/>
  <c r="J436"/>
  <c r="E439"/>
  <c r="J439"/>
  <c r="E478"/>
  <c r="J478"/>
  <c r="L481"/>
  <c r="L480" s="1"/>
  <c r="E501"/>
  <c r="J501"/>
  <c r="O481"/>
  <c r="O480" s="1"/>
  <c r="E510"/>
  <c r="M528"/>
  <c r="M527" s="1"/>
  <c r="F536"/>
  <c r="E536" s="1"/>
  <c r="E606"/>
  <c r="J606"/>
  <c r="P73"/>
  <c r="P66"/>
  <c r="H551"/>
  <c r="H550" s="1"/>
  <c r="E394"/>
  <c r="F392"/>
  <c r="E392" s="1"/>
  <c r="N404"/>
  <c r="J404" s="1"/>
  <c r="E428"/>
  <c r="E507"/>
  <c r="K574"/>
  <c r="K573" s="1"/>
  <c r="J576"/>
  <c r="N575"/>
  <c r="J575" s="1"/>
  <c r="L245"/>
  <c r="L244" s="1"/>
  <c r="G258"/>
  <c r="G257" s="1"/>
  <c r="I258"/>
  <c r="I257" s="1"/>
  <c r="L322"/>
  <c r="L321" s="1"/>
  <c r="G322"/>
  <c r="G321" s="1"/>
  <c r="I322"/>
  <c r="I321" s="1"/>
  <c r="E358"/>
  <c r="H354"/>
  <c r="H353" s="1"/>
  <c r="L371"/>
  <c r="L370" s="1"/>
  <c r="N371"/>
  <c r="N370" s="1"/>
  <c r="J370" s="1"/>
  <c r="H377"/>
  <c r="H376" s="1"/>
  <c r="L377"/>
  <c r="L376" s="1"/>
  <c r="H597"/>
  <c r="H596" s="1"/>
  <c r="L597"/>
  <c r="L596" s="1"/>
  <c r="M597"/>
  <c r="M596" s="1"/>
  <c r="J78"/>
  <c r="J79"/>
  <c r="P87"/>
  <c r="P88"/>
  <c r="P89"/>
  <c r="P90"/>
  <c r="J93"/>
  <c r="P97"/>
  <c r="J100"/>
  <c r="P107"/>
  <c r="E108"/>
  <c r="P108" s="1"/>
  <c r="J106"/>
  <c r="P113"/>
  <c r="P116"/>
  <c r="P117"/>
  <c r="E118"/>
  <c r="P119"/>
  <c r="J122"/>
  <c r="F125"/>
  <c r="P130"/>
  <c r="P146"/>
  <c r="P147"/>
  <c r="P148"/>
  <c r="P149"/>
  <c r="G125"/>
  <c r="G124" s="1"/>
  <c r="I125"/>
  <c r="I124" s="1"/>
  <c r="J152"/>
  <c r="P152" s="1"/>
  <c r="M125"/>
  <c r="M124" s="1"/>
  <c r="P159"/>
  <c r="E162"/>
  <c r="J164"/>
  <c r="P174"/>
  <c r="P178"/>
  <c r="P198"/>
  <c r="P199"/>
  <c r="P200"/>
  <c r="P201"/>
  <c r="P202"/>
  <c r="P203"/>
  <c r="P205"/>
  <c r="P207"/>
  <c r="P213"/>
  <c r="P215"/>
  <c r="P221"/>
  <c r="P223"/>
  <c r="J228"/>
  <c r="P228" s="1"/>
  <c r="J233"/>
  <c r="P233" s="1"/>
  <c r="P238"/>
  <c r="E239"/>
  <c r="K245"/>
  <c r="K244" s="1"/>
  <c r="J246"/>
  <c r="E250"/>
  <c r="E251"/>
  <c r="P252"/>
  <c r="P256"/>
  <c r="E259"/>
  <c r="N261"/>
  <c r="J267"/>
  <c r="M258"/>
  <c r="M257" s="1"/>
  <c r="P276"/>
  <c r="E281"/>
  <c r="E287"/>
  <c r="E288"/>
  <c r="P289"/>
  <c r="P290"/>
  <c r="E291"/>
  <c r="E292"/>
  <c r="E293"/>
  <c r="M296"/>
  <c r="M295" s="1"/>
  <c r="P309"/>
  <c r="H322"/>
  <c r="H321" s="1"/>
  <c r="J327"/>
  <c r="M322"/>
  <c r="M321" s="1"/>
  <c r="E336"/>
  <c r="J340"/>
  <c r="J341"/>
  <c r="P343"/>
  <c r="E344"/>
  <c r="P345"/>
  <c r="P349"/>
  <c r="E350"/>
  <c r="H347"/>
  <c r="H346" s="1"/>
  <c r="L347"/>
  <c r="L346" s="1"/>
  <c r="N347"/>
  <c r="N346" s="1"/>
  <c r="E351"/>
  <c r="P352"/>
  <c r="P356"/>
  <c r="P381"/>
  <c r="F384"/>
  <c r="E384" s="1"/>
  <c r="K384"/>
  <c r="J384" s="1"/>
  <c r="M377"/>
  <c r="M376" s="1"/>
  <c r="O377"/>
  <c r="O376" s="1"/>
  <c r="M425"/>
  <c r="M424" s="1"/>
  <c r="O425"/>
  <c r="O424" s="1"/>
  <c r="F450"/>
  <c r="M458"/>
  <c r="M457" s="1"/>
  <c r="F477"/>
  <c r="E477" s="1"/>
  <c r="K477"/>
  <c r="J477" s="1"/>
  <c r="F500"/>
  <c r="E500" s="1"/>
  <c r="K500"/>
  <c r="K481" s="1"/>
  <c r="M504"/>
  <c r="M503" s="1"/>
  <c r="H528"/>
  <c r="H527" s="1"/>
  <c r="L528"/>
  <c r="L527" s="1"/>
  <c r="F559"/>
  <c r="E559" s="1"/>
  <c r="K559"/>
  <c r="J559" s="1"/>
  <c r="K570"/>
  <c r="J570" s="1"/>
  <c r="G574"/>
  <c r="G573" s="1"/>
  <c r="F605"/>
  <c r="E605" s="1"/>
  <c r="K605"/>
  <c r="J605" s="1"/>
  <c r="K616"/>
  <c r="J616" s="1"/>
  <c r="L354"/>
  <c r="L353" s="1"/>
  <c r="E359"/>
  <c r="J362"/>
  <c r="J363"/>
  <c r="J364"/>
  <c r="P364" s="1"/>
  <c r="J372"/>
  <c r="J378"/>
  <c r="E382"/>
  <c r="P383"/>
  <c r="P386"/>
  <c r="E387"/>
  <c r="P388"/>
  <c r="P391"/>
  <c r="G377"/>
  <c r="G376" s="1"/>
  <c r="I377"/>
  <c r="I376" s="1"/>
  <c r="P395"/>
  <c r="E398"/>
  <c r="P399"/>
  <c r="G397"/>
  <c r="G396" s="1"/>
  <c r="I397"/>
  <c r="I396" s="1"/>
  <c r="P403"/>
  <c r="E404"/>
  <c r="P405"/>
  <c r="J408"/>
  <c r="P414"/>
  <c r="P415"/>
  <c r="P419"/>
  <c r="E420"/>
  <c r="H417"/>
  <c r="H416" s="1"/>
  <c r="L417"/>
  <c r="L416" s="1"/>
  <c r="P421"/>
  <c r="J423"/>
  <c r="P423" s="1"/>
  <c r="E426"/>
  <c r="P427"/>
  <c r="G425"/>
  <c r="G424" s="1"/>
  <c r="I425"/>
  <c r="I424" s="1"/>
  <c r="P429"/>
  <c r="P430"/>
  <c r="P432"/>
  <c r="E435"/>
  <c r="E436"/>
  <c r="P437"/>
  <c r="J443"/>
  <c r="P447"/>
  <c r="P448"/>
  <c r="P452"/>
  <c r="P453"/>
  <c r="P454"/>
  <c r="E455"/>
  <c r="P456"/>
  <c r="G458"/>
  <c r="G457" s="1"/>
  <c r="P462"/>
  <c r="J464"/>
  <c r="E467"/>
  <c r="H458"/>
  <c r="H457" s="1"/>
  <c r="L458"/>
  <c r="L457" s="1"/>
  <c r="J466"/>
  <c r="P469"/>
  <c r="P470"/>
  <c r="P471"/>
  <c r="P473"/>
  <c r="P474"/>
  <c r="P475"/>
  <c r="P479"/>
  <c r="H481"/>
  <c r="H480" s="1"/>
  <c r="P483"/>
  <c r="E484"/>
  <c r="P486"/>
  <c r="E487"/>
  <c r="E490"/>
  <c r="P492"/>
  <c r="P493"/>
  <c r="P494"/>
  <c r="P496"/>
  <c r="P497"/>
  <c r="P498"/>
  <c r="G481"/>
  <c r="G480" s="1"/>
  <c r="I481"/>
  <c r="I480" s="1"/>
  <c r="P502"/>
  <c r="H504"/>
  <c r="H503" s="1"/>
  <c r="G504"/>
  <c r="G503" s="1"/>
  <c r="I504"/>
  <c r="I503" s="1"/>
  <c r="P508"/>
  <c r="P514"/>
  <c r="P516"/>
  <c r="P517"/>
  <c r="P518"/>
  <c r="P519"/>
  <c r="P520"/>
  <c r="P521"/>
  <c r="P522"/>
  <c r="E523"/>
  <c r="E525"/>
  <c r="P526"/>
  <c r="J531"/>
  <c r="J547"/>
  <c r="J548"/>
  <c r="J554"/>
  <c r="M551"/>
  <c r="M550" s="1"/>
  <c r="O551"/>
  <c r="O550" s="1"/>
  <c r="P558"/>
  <c r="P561"/>
  <c r="P562"/>
  <c r="P563"/>
  <c r="P564"/>
  <c r="P565"/>
  <c r="P566"/>
  <c r="P567"/>
  <c r="P568"/>
  <c r="P569"/>
  <c r="E570"/>
  <c r="E571"/>
  <c r="P572"/>
  <c r="P576"/>
  <c r="E577"/>
  <c r="H574"/>
  <c r="H573" s="1"/>
  <c r="L574"/>
  <c r="L573" s="1"/>
  <c r="P578"/>
  <c r="P579"/>
  <c r="E580"/>
  <c r="J582"/>
  <c r="J583"/>
  <c r="P607"/>
  <c r="P608"/>
  <c r="P609"/>
  <c r="P610"/>
  <c r="P611"/>
  <c r="P612"/>
  <c r="P613"/>
  <c r="P614"/>
  <c r="P615"/>
  <c r="E616"/>
  <c r="E617"/>
  <c r="J129"/>
  <c r="P129" s="1"/>
  <c r="P74"/>
  <c r="P75"/>
  <c r="E95"/>
  <c r="P121"/>
  <c r="P132"/>
  <c r="P139"/>
  <c r="J163"/>
  <c r="N162"/>
  <c r="J331"/>
  <c r="N330"/>
  <c r="J330" s="1"/>
  <c r="J411"/>
  <c r="P411" s="1"/>
  <c r="N410"/>
  <c r="J410" s="1"/>
  <c r="P410" s="1"/>
  <c r="O85"/>
  <c r="O50" s="1"/>
  <c r="O49" s="1"/>
  <c r="N86"/>
  <c r="K95"/>
  <c r="J95" s="1"/>
  <c r="N98"/>
  <c r="J98" s="1"/>
  <c r="J99"/>
  <c r="P99" s="1"/>
  <c r="F106"/>
  <c r="N120"/>
  <c r="P155"/>
  <c r="P197"/>
  <c r="P226"/>
  <c r="P265"/>
  <c r="P302"/>
  <c r="N158"/>
  <c r="O157"/>
  <c r="J312"/>
  <c r="P312" s="1"/>
  <c r="N311"/>
  <c r="J311" s="1"/>
  <c r="J489"/>
  <c r="J506"/>
  <c r="P506" s="1"/>
  <c r="K505"/>
  <c r="N511"/>
  <c r="O510"/>
  <c r="O504" s="1"/>
  <c r="O503" s="1"/>
  <c r="J604"/>
  <c r="P604" s="1"/>
  <c r="N603"/>
  <c r="J603" s="1"/>
  <c r="O162"/>
  <c r="N196"/>
  <c r="J196" s="1"/>
  <c r="N225"/>
  <c r="J225" s="1"/>
  <c r="F245"/>
  <c r="K261"/>
  <c r="K296"/>
  <c r="E298"/>
  <c r="P298" s="1"/>
  <c r="N301"/>
  <c r="N299" s="1"/>
  <c r="J299" s="1"/>
  <c r="O311"/>
  <c r="K325"/>
  <c r="F347"/>
  <c r="F354"/>
  <c r="F371"/>
  <c r="K392"/>
  <c r="P393"/>
  <c r="K397"/>
  <c r="O410"/>
  <c r="F417"/>
  <c r="K420"/>
  <c r="K425"/>
  <c r="N458"/>
  <c r="N457" s="1"/>
  <c r="F466"/>
  <c r="P468"/>
  <c r="P472"/>
  <c r="P476"/>
  <c r="P485"/>
  <c r="F489"/>
  <c r="P491"/>
  <c r="P495"/>
  <c r="P499"/>
  <c r="P515"/>
  <c r="P547"/>
  <c r="J581"/>
  <c r="P581" s="1"/>
  <c r="N580"/>
  <c r="J580" s="1"/>
  <c r="N557"/>
  <c r="N551" s="1"/>
  <c r="N550" s="1"/>
  <c r="O580"/>
  <c r="O574" s="1"/>
  <c r="O573" s="1"/>
  <c r="O603"/>
  <c r="O597" s="1"/>
  <c r="O596" s="1"/>
  <c r="P618"/>
  <c r="P57" l="1"/>
  <c r="P53" s="1"/>
  <c r="N400"/>
  <c r="J400" s="1"/>
  <c r="P400" s="1"/>
  <c r="P311"/>
  <c r="P571"/>
  <c r="P426"/>
  <c r="P327"/>
  <c r="P250"/>
  <c r="N280"/>
  <c r="N279" s="1"/>
  <c r="P47"/>
  <c r="E402"/>
  <c r="P402" s="1"/>
  <c r="P385"/>
  <c r="J27"/>
  <c r="P372"/>
  <c r="P251"/>
  <c r="P196"/>
  <c r="P583"/>
  <c r="P554"/>
  <c r="P25"/>
  <c r="P431"/>
  <c r="P145"/>
  <c r="P128" s="1"/>
  <c r="P255"/>
  <c r="P548"/>
  <c r="P338"/>
  <c r="P531"/>
  <c r="J371"/>
  <c r="P412"/>
  <c r="P438"/>
  <c r="F574"/>
  <c r="P455"/>
  <c r="P478"/>
  <c r="P389"/>
  <c r="P319"/>
  <c r="O322"/>
  <c r="O321" s="1"/>
  <c r="P355"/>
  <c r="P513"/>
  <c r="P93"/>
  <c r="P122"/>
  <c r="P225"/>
  <c r="P336"/>
  <c r="P537"/>
  <c r="K161"/>
  <c r="K160" s="1"/>
  <c r="P593"/>
  <c r="P323"/>
  <c r="J248"/>
  <c r="P248" s="1"/>
  <c r="P204"/>
  <c r="J279"/>
  <c r="O296"/>
  <c r="O295" s="1"/>
  <c r="P434"/>
  <c r="P378"/>
  <c r="P461"/>
  <c r="P418"/>
  <c r="P98"/>
  <c r="P467"/>
  <c r="P616"/>
  <c r="P382"/>
  <c r="P259"/>
  <c r="P91"/>
  <c r="P368"/>
  <c r="P253"/>
  <c r="J292"/>
  <c r="P292" s="1"/>
  <c r="P168"/>
  <c r="F110"/>
  <c r="E110" s="1"/>
  <c r="P560"/>
  <c r="P380"/>
  <c r="P51"/>
  <c r="K50"/>
  <c r="K49" s="1"/>
  <c r="P30"/>
  <c r="P536"/>
  <c r="P16"/>
  <c r="F50"/>
  <c r="E50" s="1"/>
  <c r="N377"/>
  <c r="N376" s="1"/>
  <c r="J358"/>
  <c r="P358" s="1"/>
  <c r="P451"/>
  <c r="L619"/>
  <c r="K450"/>
  <c r="K449" s="1"/>
  <c r="J449" s="1"/>
  <c r="P254"/>
  <c r="P363"/>
  <c r="P362"/>
  <c r="N597"/>
  <c r="N596" s="1"/>
  <c r="K458"/>
  <c r="K457" s="1"/>
  <c r="J457" s="1"/>
  <c r="O397"/>
  <c r="O396" s="1"/>
  <c r="P577"/>
  <c r="P570"/>
  <c r="P487"/>
  <c r="P559"/>
  <c r="P267"/>
  <c r="P246"/>
  <c r="P575"/>
  <c r="P428"/>
  <c r="P594"/>
  <c r="P241"/>
  <c r="J359"/>
  <c r="P359" s="1"/>
  <c r="P331"/>
  <c r="P443"/>
  <c r="P100"/>
  <c r="N19"/>
  <c r="J20"/>
  <c r="P20" s="1"/>
  <c r="F14"/>
  <c r="E15"/>
  <c r="J43"/>
  <c r="P43" s="1"/>
  <c r="P44"/>
  <c r="O161"/>
  <c r="O160" s="1"/>
  <c r="P482"/>
  <c r="P344"/>
  <c r="P275"/>
  <c r="E27"/>
  <c r="P27" s="1"/>
  <c r="N574"/>
  <c r="N573" s="1"/>
  <c r="J573" s="1"/>
  <c r="P299"/>
  <c r="N481"/>
  <c r="N480" s="1"/>
  <c r="J245"/>
  <c r="P525"/>
  <c r="P523" s="1"/>
  <c r="P490"/>
  <c r="P477"/>
  <c r="F258"/>
  <c r="F257" s="1"/>
  <c r="E257" s="1"/>
  <c r="M619"/>
  <c r="P501"/>
  <c r="P104"/>
  <c r="J110"/>
  <c r="P182"/>
  <c r="P79"/>
  <c r="P408"/>
  <c r="K15"/>
  <c r="P273"/>
  <c r="N332"/>
  <c r="J332" s="1"/>
  <c r="P332" s="1"/>
  <c r="P330"/>
  <c r="N126"/>
  <c r="J126" s="1"/>
  <c r="P126" s="1"/>
  <c r="P398"/>
  <c r="F528"/>
  <c r="F527" s="1"/>
  <c r="E527" s="1"/>
  <c r="P580"/>
  <c r="P115"/>
  <c r="P484"/>
  <c r="P435"/>
  <c r="P281"/>
  <c r="N258"/>
  <c r="N257" s="1"/>
  <c r="P118"/>
  <c r="K354"/>
  <c r="K353" s="1"/>
  <c r="J353" s="1"/>
  <c r="J293"/>
  <c r="P293" s="1"/>
  <c r="F167"/>
  <c r="P446"/>
  <c r="F377"/>
  <c r="F376" s="1"/>
  <c r="E376" s="1"/>
  <c r="P598"/>
  <c r="P306"/>
  <c r="F442"/>
  <c r="E442" s="1"/>
  <c r="P603"/>
  <c r="H619"/>
  <c r="P288"/>
  <c r="P239"/>
  <c r="P164"/>
  <c r="E111"/>
  <c r="P111" s="1"/>
  <c r="F504"/>
  <c r="E504" s="1"/>
  <c r="E445"/>
  <c r="P348"/>
  <c r="P366"/>
  <c r="P114"/>
  <c r="P78"/>
  <c r="E314"/>
  <c r="P314" s="1"/>
  <c r="F313"/>
  <c r="E313" s="1"/>
  <c r="P313" s="1"/>
  <c r="P297"/>
  <c r="J283"/>
  <c r="P283" s="1"/>
  <c r="F597"/>
  <c r="F596" s="1"/>
  <c r="E596" s="1"/>
  <c r="K551"/>
  <c r="J551" s="1"/>
  <c r="J500"/>
  <c r="P500" s="1"/>
  <c r="P582"/>
  <c r="P351"/>
  <c r="P350"/>
  <c r="J244"/>
  <c r="J445"/>
  <c r="P439"/>
  <c r="P390"/>
  <c r="P334"/>
  <c r="E341"/>
  <c r="F340"/>
  <c r="E340" s="1"/>
  <c r="P340" s="1"/>
  <c r="J236"/>
  <c r="P236" s="1"/>
  <c r="N235"/>
  <c r="J235" s="1"/>
  <c r="P235" s="1"/>
  <c r="N534"/>
  <c r="N528" s="1"/>
  <c r="N527" s="1"/>
  <c r="E285"/>
  <c r="P285" s="1"/>
  <c r="P394"/>
  <c r="E397"/>
  <c r="N103"/>
  <c r="N102" s="1"/>
  <c r="J102" s="1"/>
  <c r="P617"/>
  <c r="P464"/>
  <c r="P436"/>
  <c r="P404"/>
  <c r="P387"/>
  <c r="P384"/>
  <c r="P291"/>
  <c r="P287"/>
  <c r="P237"/>
  <c r="P507"/>
  <c r="P606"/>
  <c r="K528"/>
  <c r="K527" s="1"/>
  <c r="P413"/>
  <c r="P512"/>
  <c r="J280"/>
  <c r="P367"/>
  <c r="I619"/>
  <c r="G619"/>
  <c r="E450"/>
  <c r="F449"/>
  <c r="E449" s="1"/>
  <c r="J120"/>
  <c r="P120" s="1"/>
  <c r="P605"/>
  <c r="J346"/>
  <c r="E128"/>
  <c r="J347"/>
  <c r="K597"/>
  <c r="K596" s="1"/>
  <c r="E280"/>
  <c r="P280" s="1"/>
  <c r="F279"/>
  <c r="E279" s="1"/>
  <c r="E425"/>
  <c r="F424"/>
  <c r="E424" s="1"/>
  <c r="J442"/>
  <c r="K441"/>
  <c r="J441" s="1"/>
  <c r="E396"/>
  <c r="F551"/>
  <c r="E466"/>
  <c r="P466" s="1"/>
  <c r="F458"/>
  <c r="J420"/>
  <c r="P420" s="1"/>
  <c r="K417"/>
  <c r="K396"/>
  <c r="E354"/>
  <c r="F353"/>
  <c r="E353" s="1"/>
  <c r="K295"/>
  <c r="E245"/>
  <c r="F244"/>
  <c r="E244" s="1"/>
  <c r="J511"/>
  <c r="P511" s="1"/>
  <c r="N510"/>
  <c r="N157"/>
  <c r="J157" s="1"/>
  <c r="P157" s="1"/>
  <c r="J158"/>
  <c r="P158" s="1"/>
  <c r="J162"/>
  <c r="P162" s="1"/>
  <c r="J557"/>
  <c r="P557" s="1"/>
  <c r="N296"/>
  <c r="N295" s="1"/>
  <c r="P163"/>
  <c r="J301"/>
  <c r="P301" s="1"/>
  <c r="O125"/>
  <c r="O124" s="1"/>
  <c r="P95"/>
  <c r="E597"/>
  <c r="E574"/>
  <c r="F573"/>
  <c r="E573" s="1"/>
  <c r="K480"/>
  <c r="J481"/>
  <c r="E489"/>
  <c r="P489" s="1"/>
  <c r="F481"/>
  <c r="J425"/>
  <c r="K424"/>
  <c r="J424" s="1"/>
  <c r="E417"/>
  <c r="F416"/>
  <c r="E416" s="1"/>
  <c r="J392"/>
  <c r="P392" s="1"/>
  <c r="K377"/>
  <c r="E371"/>
  <c r="P371" s="1"/>
  <c r="F370"/>
  <c r="E370" s="1"/>
  <c r="P370" s="1"/>
  <c r="E347"/>
  <c r="F346"/>
  <c r="E346" s="1"/>
  <c r="J325"/>
  <c r="P325" s="1"/>
  <c r="K322"/>
  <c r="J261"/>
  <c r="P261" s="1"/>
  <c r="K258"/>
  <c r="K504"/>
  <c r="J505"/>
  <c r="P505" s="1"/>
  <c r="K125"/>
  <c r="E125"/>
  <c r="F124"/>
  <c r="E124" s="1"/>
  <c r="E106"/>
  <c r="P106" s="1"/>
  <c r="J86"/>
  <c r="N85"/>
  <c r="N50" s="1"/>
  <c r="J103" l="1"/>
  <c r="F103"/>
  <c r="E103" s="1"/>
  <c r="P244"/>
  <c r="F503"/>
  <c r="E503" s="1"/>
  <c r="N397"/>
  <c r="N396" s="1"/>
  <c r="J396" s="1"/>
  <c r="P396" s="1"/>
  <c r="P573"/>
  <c r="J458"/>
  <c r="J574"/>
  <c r="E377"/>
  <c r="K550"/>
  <c r="J550" s="1"/>
  <c r="F296"/>
  <c r="E296" s="1"/>
  <c r="J450"/>
  <c r="P110"/>
  <c r="P424"/>
  <c r="F441"/>
  <c r="E441" s="1"/>
  <c r="P441" s="1"/>
  <c r="J534"/>
  <c r="P534" s="1"/>
  <c r="J397"/>
  <c r="P397" s="1"/>
  <c r="P279"/>
  <c r="F49"/>
  <c r="E528"/>
  <c r="P347"/>
  <c r="J480"/>
  <c r="J528"/>
  <c r="N49"/>
  <c r="J50"/>
  <c r="J49" s="1"/>
  <c r="E14"/>
  <c r="K14"/>
  <c r="E49"/>
  <c r="P341"/>
  <c r="J597"/>
  <c r="P597" s="1"/>
  <c r="P442"/>
  <c r="J596"/>
  <c r="P596" s="1"/>
  <c r="N18"/>
  <c r="J19"/>
  <c r="P19" s="1"/>
  <c r="P245"/>
  <c r="E258"/>
  <c r="P445"/>
  <c r="N167"/>
  <c r="J167" s="1"/>
  <c r="J354"/>
  <c r="P354" s="1"/>
  <c r="P425"/>
  <c r="P353"/>
  <c r="J527"/>
  <c r="P527" s="1"/>
  <c r="F161"/>
  <c r="E167"/>
  <c r="N322"/>
  <c r="N321" s="1"/>
  <c r="P346"/>
  <c r="P574"/>
  <c r="F322"/>
  <c r="F295"/>
  <c r="E295" s="1"/>
  <c r="N125"/>
  <c r="N124" s="1"/>
  <c r="E551"/>
  <c r="P551" s="1"/>
  <c r="F550"/>
  <c r="E550" s="1"/>
  <c r="P450"/>
  <c r="P449"/>
  <c r="J85"/>
  <c r="P85" s="1"/>
  <c r="K124"/>
  <c r="J258"/>
  <c r="K257"/>
  <c r="J257" s="1"/>
  <c r="P257" s="1"/>
  <c r="K321"/>
  <c r="K376"/>
  <c r="J376" s="1"/>
  <c r="P376" s="1"/>
  <c r="J377"/>
  <c r="E481"/>
  <c r="P481" s="1"/>
  <c r="F480"/>
  <c r="E480" s="1"/>
  <c r="J296"/>
  <c r="P86"/>
  <c r="K503"/>
  <c r="N504"/>
  <c r="N503" s="1"/>
  <c r="J510"/>
  <c r="P510" s="1"/>
  <c r="K416"/>
  <c r="J416" s="1"/>
  <c r="P416" s="1"/>
  <c r="J417"/>
  <c r="P417" s="1"/>
  <c r="F457"/>
  <c r="E457" s="1"/>
  <c r="P457" s="1"/>
  <c r="E458"/>
  <c r="P458" s="1"/>
  <c r="J295"/>
  <c r="O619"/>
  <c r="P103" l="1"/>
  <c r="F102"/>
  <c r="E102" s="1"/>
  <c r="P102" s="1"/>
  <c r="P377"/>
  <c r="P296"/>
  <c r="N161"/>
  <c r="J161" s="1"/>
  <c r="P550"/>
  <c r="P480"/>
  <c r="P528"/>
  <c r="P258"/>
  <c r="J18"/>
  <c r="P18" s="1"/>
  <c r="N15"/>
  <c r="P49"/>
  <c r="Q49"/>
  <c r="R50" s="1"/>
  <c r="J321"/>
  <c r="J322"/>
  <c r="P50"/>
  <c r="F160"/>
  <c r="E160" s="1"/>
  <c r="E161"/>
  <c r="J124"/>
  <c r="P124" s="1"/>
  <c r="P167"/>
  <c r="P295"/>
  <c r="J125"/>
  <c r="P125" s="1"/>
  <c r="E322"/>
  <c r="P322" s="1"/>
  <c r="F321"/>
  <c r="E321" s="1"/>
  <c r="J504"/>
  <c r="P504" s="1"/>
  <c r="K619"/>
  <c r="J503"/>
  <c r="P503" s="1"/>
  <c r="N160" l="1"/>
  <c r="J160" s="1"/>
  <c r="P161"/>
  <c r="P321"/>
  <c r="N14"/>
  <c r="N619" s="1"/>
  <c r="J15"/>
  <c r="F619"/>
  <c r="P160"/>
  <c r="E619"/>
  <c r="J14" l="1"/>
  <c r="P15"/>
  <c r="P14" l="1"/>
  <c r="P619" s="1"/>
  <c r="J619"/>
</calcChain>
</file>

<file path=xl/sharedStrings.xml><?xml version="1.0" encoding="utf-8"?>
<sst xmlns="http://schemas.openxmlformats.org/spreadsheetml/2006/main" count="1973" uniqueCount="1063">
  <si>
    <t>___________  №  ___________</t>
  </si>
  <si>
    <t xml:space="preserve"> грн.</t>
  </si>
  <si>
    <t>Код програмної класифікації видатків та кредитування місцевих бюджетів (КПКВК)</t>
  </si>
  <si>
    <t>Код типової програмної класифікації видатків та кредитування місцевих бюджетів (КТПККВК)</t>
  </si>
  <si>
    <t>Код функціональної класифікації видатків та кредитування бюджету</t>
  </si>
  <si>
    <t>Найменування головного розпорядника, відповідального виконавця, бюджетної програми або напряму видатків згідно з типовою відомчою/ТПКВКМБ/ТКВКБМС</t>
  </si>
  <si>
    <t>Загальний фонд</t>
  </si>
  <si>
    <t>Спеціальний фонд</t>
  </si>
  <si>
    <t>РАЗОМ</t>
  </si>
  <si>
    <t>Всього</t>
  </si>
  <si>
    <t xml:space="preserve">видатки споживання </t>
  </si>
  <si>
    <t>з них</t>
  </si>
  <si>
    <t>видатки розвитку</t>
  </si>
  <si>
    <t xml:space="preserve">оплата праці </t>
  </si>
  <si>
    <t>комунальні послуги те енергоносії</t>
  </si>
  <si>
    <t>бюджет розвитку</t>
  </si>
  <si>
    <t>0300000</t>
  </si>
  <si>
    <t>03</t>
  </si>
  <si>
    <t>Виконавчий комітет Запорізької міської ради</t>
  </si>
  <si>
    <t>0310000</t>
  </si>
  <si>
    <t>0310100</t>
  </si>
  <si>
    <t>0100</t>
  </si>
  <si>
    <t>Державне управління</t>
  </si>
  <si>
    <t>0310170</t>
  </si>
  <si>
    <t>0170</t>
  </si>
  <si>
    <t>0111</t>
  </si>
  <si>
    <t>Організаційне, інформаційно-аналітичне та матеріально-технічне забезпечення діяльності міської ради та її виконавчого комітету</t>
  </si>
  <si>
    <t>0317200</t>
  </si>
  <si>
    <t>7200</t>
  </si>
  <si>
    <t>Засоби масової інформації</t>
  </si>
  <si>
    <t>0317210</t>
  </si>
  <si>
    <t>7210</t>
  </si>
  <si>
    <t>Підтримка засобів масової інформації</t>
  </si>
  <si>
    <t>0317211</t>
  </si>
  <si>
    <t>7211</t>
  </si>
  <si>
    <t>0830</t>
  </si>
  <si>
    <t>Сприяння діяльності телебачення і радіомовлення</t>
  </si>
  <si>
    <t>0317212</t>
  </si>
  <si>
    <t>7212</t>
  </si>
  <si>
    <t>Підтримка періодичних видань (газет та журналів)</t>
  </si>
  <si>
    <t>0316300</t>
  </si>
  <si>
    <t>6300</t>
  </si>
  <si>
    <t xml:space="preserve">Будівництво </t>
  </si>
  <si>
    <t>0316310</t>
  </si>
  <si>
    <t>6310</t>
  </si>
  <si>
    <t>0490</t>
  </si>
  <si>
    <t>Реалізація заходів щодо інвестиційного розвитку території</t>
  </si>
  <si>
    <t>0316322</t>
  </si>
  <si>
    <t>6322</t>
  </si>
  <si>
    <t>1060</t>
  </si>
  <si>
    <t>Житлове будівництво і придбання житла  військовослужбовцям та особам рядового і начальницького складу, звільненим у запас або відставку за станом здоров'я, віком, вислугою років та у зв'язку  із скороченням штатів, які перебувають на квартирному обліку за місцем проживання, членам сімей з числа цих осіб, які загинули під час виконання ними службових обов'язків, а також учасникам бойових дій в Афганістані та воєнних конфліктів</t>
  </si>
  <si>
    <t>0317400</t>
  </si>
  <si>
    <t>7400</t>
  </si>
  <si>
    <t>Інші послуги, пов'язані з економічною діяльністю</t>
  </si>
  <si>
    <t>0317470</t>
  </si>
  <si>
    <t>7470</t>
  </si>
  <si>
    <t>Внески до статутного капіталу суб'єктів господарювання</t>
  </si>
  <si>
    <t>0318000</t>
  </si>
  <si>
    <t>8000</t>
  </si>
  <si>
    <t>Видатки, не віднесені до основних груп</t>
  </si>
  <si>
    <t>Проведення виборів та референдумів</t>
  </si>
  <si>
    <t>0318010</t>
  </si>
  <si>
    <t>8010</t>
  </si>
  <si>
    <t>0160</t>
  </si>
  <si>
    <t>Проведення місцевих виборів</t>
  </si>
  <si>
    <t>0318600</t>
  </si>
  <si>
    <t>8600</t>
  </si>
  <si>
    <t>Інші видатки</t>
  </si>
  <si>
    <t>0318601</t>
  </si>
  <si>
    <t>8601</t>
  </si>
  <si>
    <t>0133</t>
  </si>
  <si>
    <t>Автотранспортне та господарське обслуговування структурних підрозділів та виконавчого комітету міської ради</t>
  </si>
  <si>
    <t>0318602</t>
  </si>
  <si>
    <t>8602</t>
  </si>
  <si>
    <t>Фінансова підтримка комунальних підприємств, організацій, органів самоорганізації населення</t>
  </si>
  <si>
    <t>0318603</t>
  </si>
  <si>
    <t>8603</t>
  </si>
  <si>
    <t>Інші видатки в сфері житлово-комунального господарства та фінансування зоходів з дезінсекції та дератизації</t>
  </si>
  <si>
    <t>0318604</t>
  </si>
  <si>
    <t>8604</t>
  </si>
  <si>
    <t>Заходи з раціонального використання території міста, містобудівного розвитку та створення містобудівного кадастру</t>
  </si>
  <si>
    <t>0318605</t>
  </si>
  <si>
    <t>8605</t>
  </si>
  <si>
    <t>Заходи з інвентаризації, оцінки та оформлення права власності об’єктів нерухомості, утримання та охорона об'єктів комунальної власності</t>
  </si>
  <si>
    <t>0318606</t>
  </si>
  <si>
    <t>8606</t>
  </si>
  <si>
    <t>Підготовка та проведення масових заходів, забезпечення відеоконтролю у місцях масового перебування громадян</t>
  </si>
  <si>
    <t>програма  забезпечення працездатності систем об'єктивного відеоспостереження у м.Запоріжжі</t>
  </si>
  <si>
    <t>свята</t>
  </si>
  <si>
    <t>0318607</t>
  </si>
  <si>
    <t>8607</t>
  </si>
  <si>
    <t>Заходи з підтримки кредитного рейтингу міста та його боргових зобов'язань забезпечення представництва органів місцевого самоврядування у громадських об'єднаннях, залучення громадскості та участь депутатів міської ради у вирішенні нагальних потреб міста</t>
  </si>
  <si>
    <t>участь в Асоціації міст</t>
  </si>
  <si>
    <t>програма сприяння молодіжного руху "Молодь для міста"</t>
  </si>
  <si>
    <t>0318608</t>
  </si>
  <si>
    <t>8608</t>
  </si>
  <si>
    <t>Підтримка призову на військову службу та заходи з мобілізації</t>
  </si>
  <si>
    <t>0318609</t>
  </si>
  <si>
    <t>Заходи з інформатизації</t>
  </si>
  <si>
    <t>Цифрова стратегія</t>
  </si>
  <si>
    <t>кол-центр та модулі</t>
  </si>
  <si>
    <t>0319100</t>
  </si>
  <si>
    <t>9100</t>
  </si>
  <si>
    <t>Цільові фонди</t>
  </si>
  <si>
    <t>0319180</t>
  </si>
  <si>
    <t>9180</t>
  </si>
  <si>
    <t>Цільові фонди, утворені Верховною Радою Автономної Республіки Крим, органами місцевого самоврядування і місцевими органами виконавчої влади</t>
  </si>
  <si>
    <t>0319181</t>
  </si>
  <si>
    <t>9181</t>
  </si>
  <si>
    <t>Цільовий фонд, утворений міською радою</t>
  </si>
  <si>
    <t>1000000</t>
  </si>
  <si>
    <t>10</t>
  </si>
  <si>
    <t>Департамент освіти і науки Запорізької міської ради</t>
  </si>
  <si>
    <t>1010000</t>
  </si>
  <si>
    <t>1010100</t>
  </si>
  <si>
    <t>1010180</t>
  </si>
  <si>
    <t>0180</t>
  </si>
  <si>
    <t>Керівництво і управління у сфері освіти і науки</t>
  </si>
  <si>
    <t>1011000</t>
  </si>
  <si>
    <t>1000</t>
  </si>
  <si>
    <t>Освіта</t>
  </si>
  <si>
    <t>1011010</t>
  </si>
  <si>
    <t>1010</t>
  </si>
  <si>
    <t>0910</t>
  </si>
  <si>
    <t>Дошкільна освіта</t>
  </si>
  <si>
    <t>в тому числі за рахунок субвенції з державного бюджету місцевим бюджетам на здійснення заходів щодо соціально-економічного розвитку окремих територій</t>
  </si>
  <si>
    <t>1011020</t>
  </si>
  <si>
    <t>1020</t>
  </si>
  <si>
    <t>0921</t>
  </si>
  <si>
    <t>Надання загальної середньої освіти загальноосвітніми навчальними закладами (в т.ч.школою-дитячим садком, інтернатом при школі), спеціалізованими школами, ліцеями, гімназіями, колегіумами</t>
  </si>
  <si>
    <t xml:space="preserve">в т.ч.за рахунок освітньої субвенції </t>
  </si>
  <si>
    <t>в т.ч.за рахунок залишку коштів освітньої субвенції з державного бюджету, що утворився на початок бюджетного періоду</t>
  </si>
  <si>
    <t>1030</t>
  </si>
  <si>
    <t>в т.ч.за рахунок освітньої субвенції</t>
  </si>
  <si>
    <t>1011070</t>
  </si>
  <si>
    <t>1070</t>
  </si>
  <si>
    <t>0922</t>
  </si>
  <si>
    <t>Надання загальної середньої освіти спеціальними загальноосвітніми школами-інтернатами, школами та іншими навчальними закладами для дітей, які потребують корекції фізичного та (або) розумового розвитку</t>
  </si>
  <si>
    <t>1011090</t>
  </si>
  <si>
    <t>1090</t>
  </si>
  <si>
    <t>0960</t>
  </si>
  <si>
    <t>Надання позашкільної освіти позашкільними закладами освіти, заходи із позашкільної роботи з дітьми</t>
  </si>
  <si>
    <t>1011100</t>
  </si>
  <si>
    <t>1100</t>
  </si>
  <si>
    <t>0930</t>
  </si>
  <si>
    <t>Підготовка робітничих кадрів закладами професійно-технічної освіти</t>
  </si>
  <si>
    <t>в т.ч.за рахунок освітньої субенції</t>
  </si>
  <si>
    <t>в т.ч.за рахунок субвенції на підтримку підготовки робітничих кадрів у професійно-технічних та інших навчальних закладах</t>
  </si>
  <si>
    <t>1011170</t>
  </si>
  <si>
    <t>1170</t>
  </si>
  <si>
    <t>0990</t>
  </si>
  <si>
    <t>Методичне забезпечення діяльності навчальних закладів та інші заходи в галузі освіти</t>
  </si>
  <si>
    <t>1011180</t>
  </si>
  <si>
    <t>1180</t>
  </si>
  <si>
    <t>Здійснення технічного нагляду за будівництвом і капітальним ремонтом та іншими окремими господарськими функціями</t>
  </si>
  <si>
    <t>1011190</t>
  </si>
  <si>
    <t>1190</t>
  </si>
  <si>
    <t>Централізоване ведення бухгалтерського обліку</t>
  </si>
  <si>
    <t>1011200</t>
  </si>
  <si>
    <t>1200</t>
  </si>
  <si>
    <t>Здійснення централізованого господарського обслуговування</t>
  </si>
  <si>
    <t>1011210</t>
  </si>
  <si>
    <t>1210</t>
  </si>
  <si>
    <t>Утримання інших закладів освіти</t>
  </si>
  <si>
    <t>1011230</t>
  </si>
  <si>
    <t>1230</t>
  </si>
  <si>
    <t>Надання допомоги дітям-сиротам та дітям, позбавленим батьківського піклування, яким виповнюється 18 років</t>
  </si>
  <si>
    <t>1013000</t>
  </si>
  <si>
    <t>3000</t>
  </si>
  <si>
    <t>Соціальний захист та соціальне забезпечення</t>
  </si>
  <si>
    <t>1013130</t>
  </si>
  <si>
    <t>3130</t>
  </si>
  <si>
    <t>Здійснення соціальної роботи із вразливими категоріями населення</t>
  </si>
  <si>
    <t>1013131</t>
  </si>
  <si>
    <t>3131</t>
  </si>
  <si>
    <t>1040</t>
  </si>
  <si>
    <t>Центри соціальних служб для сім'ї, дітей та молоді</t>
  </si>
  <si>
    <t>1013132</t>
  </si>
  <si>
    <t>3132</t>
  </si>
  <si>
    <t>Програми і заходи центрів соціальних служб для сім'ї, дітей та молоді</t>
  </si>
  <si>
    <t>1013140</t>
  </si>
  <si>
    <t>3140</t>
  </si>
  <si>
    <t>Заходи державної політики з питань молоді</t>
  </si>
  <si>
    <t>1013160</t>
  </si>
  <si>
    <t>3160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</si>
  <si>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</si>
  <si>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1013240</t>
  </si>
  <si>
    <t>3240</t>
  </si>
  <si>
    <t>1050</t>
  </si>
  <si>
    <t>Організація та проведення громадських робіт</t>
  </si>
  <si>
    <t>1016300</t>
  </si>
  <si>
    <t>1016310</t>
  </si>
  <si>
    <t>1016330</t>
  </si>
  <si>
    <t>6330</t>
  </si>
  <si>
    <t>Проведення невідкладних відновлювальних робіт, будівництво та реконструкція загальноосвітніх навчальних закладів</t>
  </si>
  <si>
    <t>1016340</t>
  </si>
  <si>
    <t>6340</t>
  </si>
  <si>
    <t>Проведення невідкладних відновлювальних робіт, будівництво та реконструкція спеціалізованих навчальних закладів</t>
  </si>
  <si>
    <t>1016350</t>
  </si>
  <si>
    <t>6350</t>
  </si>
  <si>
    <t>Проведення невідкладних відновлювальних робіт, будівництво та реконструкція позашкільних навчальних закладів</t>
  </si>
  <si>
    <t>1017500</t>
  </si>
  <si>
    <t>7500</t>
  </si>
  <si>
    <t>Інші заходи, пов'язані з економічною діяльністю</t>
  </si>
  <si>
    <t>1017501</t>
  </si>
  <si>
    <t>7501</t>
  </si>
  <si>
    <t>0411</t>
  </si>
  <si>
    <t>Заходи з розвитку туризму</t>
  </si>
  <si>
    <t>1017700</t>
  </si>
  <si>
    <t>7700</t>
  </si>
  <si>
    <t>Інші природоохоронні заходи</t>
  </si>
  <si>
    <t>1017701</t>
  </si>
  <si>
    <t>7701</t>
  </si>
  <si>
    <t>0540</t>
  </si>
  <si>
    <t>Заходи з екологічної безпеки міста</t>
  </si>
  <si>
    <t>1018000</t>
  </si>
  <si>
    <t>1018100</t>
  </si>
  <si>
    <t>8100</t>
  </si>
  <si>
    <t>Надання та повернення пільгового довгострокового кредиту на будівництво (реконструкцію) та придбання житла</t>
  </si>
  <si>
    <t>1018108</t>
  </si>
  <si>
    <t>8108</t>
  </si>
  <si>
    <t>Витрати, пов'язані з наданням та обслуговуванням пільгових довгострокових кредитів, наданих громадянам на будівництво (реконструкцію) та придбання житла</t>
  </si>
  <si>
    <t>1019100</t>
  </si>
  <si>
    <t>1019110</t>
  </si>
  <si>
    <t>9110</t>
  </si>
  <si>
    <t>0511</t>
  </si>
  <si>
    <t>Охорона та раціональне використання природних ресурсів</t>
  </si>
  <si>
    <t>1019180</t>
  </si>
  <si>
    <t>1019181</t>
  </si>
  <si>
    <t>1100000</t>
  </si>
  <si>
    <t>11</t>
  </si>
  <si>
    <t>Департамент спорту, сім'ї та молоді Запорізької міської ради</t>
  </si>
  <si>
    <t>1110000</t>
  </si>
  <si>
    <t>1110100</t>
  </si>
  <si>
    <t>1110180</t>
  </si>
  <si>
    <t>Керівництво і управління у сфері спорту, сім'ї та молоді</t>
  </si>
  <si>
    <t>1113000</t>
  </si>
  <si>
    <t>1113140</t>
  </si>
  <si>
    <t>1113400</t>
  </si>
  <si>
    <t>3400</t>
  </si>
  <si>
    <t>Інші видатки на соціальний захист населення</t>
  </si>
  <si>
    <t>1113401</t>
  </si>
  <si>
    <t>3401</t>
  </si>
  <si>
    <t xml:space="preserve">Міська комплексна програма соціального захисту та інші соціальні виплати населенню </t>
  </si>
  <si>
    <t>1115000</t>
  </si>
  <si>
    <t>5000</t>
  </si>
  <si>
    <t>Фізична культура і спорт</t>
  </si>
  <si>
    <t>1115010</t>
  </si>
  <si>
    <t>5010</t>
  </si>
  <si>
    <t>Проведення спортивної роботи в регіоні</t>
  </si>
  <si>
    <t>1115011</t>
  </si>
  <si>
    <t>5011</t>
  </si>
  <si>
    <t>0810</t>
  </si>
  <si>
    <t>Проведення навчально-тренувальних зборів і змагань з олімпійських видів спорту</t>
  </si>
  <si>
    <t>1115012</t>
  </si>
  <si>
    <t>5012</t>
  </si>
  <si>
    <t>Проведення навчально-тренувальних зборів і змагань з неолімпійських видів спорту</t>
  </si>
  <si>
    <t>1115020</t>
  </si>
  <si>
    <t>5020</t>
  </si>
  <si>
    <t>Діяльність закладів фізичної культури і спорту</t>
  </si>
  <si>
    <t>1115022</t>
  </si>
  <si>
    <t>5022</t>
  </si>
  <si>
    <t>Утримання та навчально-тренувальна робота комунальних дитячо-юнацьких спортивних шкіл</t>
  </si>
  <si>
    <t>1115024</t>
  </si>
  <si>
    <t>5024</t>
  </si>
  <si>
    <t>Фінансова підтримка комунальних спортивних споруд</t>
  </si>
  <si>
    <t>1115050</t>
  </si>
  <si>
    <t>5050</t>
  </si>
  <si>
    <t>Цетралізований бухгалтерський та фінансовий облік у сфері фізичної культури та спорту</t>
  </si>
  <si>
    <t>1115100</t>
  </si>
  <si>
    <t>5100</t>
  </si>
  <si>
    <t>1115101</t>
  </si>
  <si>
    <t>5101</t>
  </si>
  <si>
    <t>Заходи з виховання у населення активної соціальної орієнтації на здоровий спосіб життя та оздоровлення населення засобами фізичної культури та спорту</t>
  </si>
  <si>
    <t>1116300</t>
  </si>
  <si>
    <t>1116310</t>
  </si>
  <si>
    <t>1118000</t>
  </si>
  <si>
    <t>1118108</t>
  </si>
  <si>
    <t>1400000</t>
  </si>
  <si>
    <t>14</t>
  </si>
  <si>
    <t>Департамент охорони здоров'я Запорізької міської ради</t>
  </si>
  <si>
    <t>1410000</t>
  </si>
  <si>
    <t>1410100</t>
  </si>
  <si>
    <t>1410180</t>
  </si>
  <si>
    <t>Керівництво і управління у сфері охорони здоров'я</t>
  </si>
  <si>
    <t>1412000</t>
  </si>
  <si>
    <t>2000</t>
  </si>
  <si>
    <t>Охорона здоров'я</t>
  </si>
  <si>
    <t>1412010</t>
  </si>
  <si>
    <t>2010</t>
  </si>
  <si>
    <t>0731</t>
  </si>
  <si>
    <t>Багатопрофільна стаціонарна медична допомога населенню</t>
  </si>
  <si>
    <t xml:space="preserve">в т.ч.за рахунок медичної субвенції </t>
  </si>
  <si>
    <t>в т.ч.за рахунок залишку коштів медичної субвенції з державного бюджету, що утворився на початок бюджетного періоду</t>
  </si>
  <si>
    <t>1412050</t>
  </si>
  <si>
    <t>2050</t>
  </si>
  <si>
    <t>0733</t>
  </si>
  <si>
    <t>Лкарсько-акушерська допомога вагітним, породіллям та новонародженим</t>
  </si>
  <si>
    <t>в т.ч.за рахунок медичної субвенції</t>
  </si>
  <si>
    <t>1412120</t>
  </si>
  <si>
    <t>2120</t>
  </si>
  <si>
    <t>0721</t>
  </si>
  <si>
    <t>Амбулаторно-поліклінічна допомога населенню</t>
  </si>
  <si>
    <t>1412140</t>
  </si>
  <si>
    <t>2140</t>
  </si>
  <si>
    <t>0722</t>
  </si>
  <si>
    <t>Надання стоматологічної допомоги населенню</t>
  </si>
  <si>
    <t>1412170</t>
  </si>
  <si>
    <t>2170</t>
  </si>
  <si>
    <t>0740</t>
  </si>
  <si>
    <t>Інформаційно-методичне та просвітницьке забезпечення в галузі охорони здоров'я</t>
  </si>
  <si>
    <t>1412180</t>
  </si>
  <si>
    <t>2180</t>
  </si>
  <si>
    <t>0726</t>
  </si>
  <si>
    <t>Первинна медична допомога населенню</t>
  </si>
  <si>
    <t>1412200</t>
  </si>
  <si>
    <t>2200</t>
  </si>
  <si>
    <t>0763</t>
  </si>
  <si>
    <t>Служби технічного нагляду за будівництвом та капітальним ремонтом,централізовані бухгалтерії, групи централізованого господарського обслуговування</t>
  </si>
  <si>
    <t>1412210</t>
  </si>
  <si>
    <t>2210</t>
  </si>
  <si>
    <t>Централізований бухгалтерський та фінансовий облік закладів охорони здоров'я</t>
  </si>
  <si>
    <t>Програми і централізовані заходи у галузі охорони здоров'я</t>
  </si>
  <si>
    <t>1412214</t>
  </si>
  <si>
    <t>2214</t>
  </si>
  <si>
    <t>Забезпечення централізованих заходів з лікування хворих на цукровий та нецукровий діабет</t>
  </si>
  <si>
    <t>1412220</t>
  </si>
  <si>
    <t>2220</t>
  </si>
  <si>
    <t>Інші заходи в галузі охорони здоров'я</t>
  </si>
  <si>
    <t>1412221</t>
  </si>
  <si>
    <t>2221</t>
  </si>
  <si>
    <t xml:space="preserve">Забезпечення окремих категорій хворих лікарськими засобами, виробами медичного призначення, обладнанням, які спрямовані на збереження життя хворих, попередження ускладнень в перебігу хвороби </t>
  </si>
  <si>
    <t>1412222</t>
  </si>
  <si>
    <t>2222</t>
  </si>
  <si>
    <t>Медична статистика та інформаційна підтримка виконання програм по галузі охорони здоров'я міста</t>
  </si>
  <si>
    <t>1416300</t>
  </si>
  <si>
    <t>Будівництво</t>
  </si>
  <si>
    <t>1416310</t>
  </si>
  <si>
    <t>1500000</t>
  </si>
  <si>
    <t>15</t>
  </si>
  <si>
    <t>Управління соціального захисту населення Запорізької міської ради</t>
  </si>
  <si>
    <t>1510000</t>
  </si>
  <si>
    <t>1510100</t>
  </si>
  <si>
    <t>1510180</t>
  </si>
  <si>
    <t>Керівництво і управління у сфері соціального захисту населення</t>
  </si>
  <si>
    <t>1511000</t>
  </si>
  <si>
    <t>1511060</t>
  </si>
  <si>
    <t>Забезпечення належних умов для виховання та розвитку дітей-сиріт і дітей, позбавлених батьківського піклування, в дитячих будинках (у т.ч. сімейного типу та прийомних сім'ях)</t>
  </si>
  <si>
    <t xml:space="preserve">в тому числі за рахунок субвенції з державного бюджету </t>
  </si>
  <si>
    <t>1513000</t>
  </si>
  <si>
    <t>1513010</t>
  </si>
  <si>
    <t>3010</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</si>
  <si>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</si>
  <si>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1513011</t>
  </si>
  <si>
    <t>3011</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</si>
  <si>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t>
  </si>
  <si>
    <t>1513012</t>
  </si>
  <si>
    <t>3012</t>
  </si>
  <si>
    <t xml:space="preserve">Надання пільг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за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міліціїї, осіб начальницького складу податкової міліції, рядового і начальницького складу </t>
  </si>
  <si>
    <t>кримінально-виконавчої системи, державної пожежної охорони, загиблих або померлих у зв'язку з виконанням службових обов' 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захисту,Державної служби спеціального зв'язку та захисту інформаії України, які загинули (померли), пропали безвісти або стали інвалідами при проходженні служби, суддям у відставці на житлово-комунальні послуги</t>
  </si>
  <si>
    <t>1513013</t>
  </si>
  <si>
    <t>3013</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</si>
  <si>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 - комунальні послуги</t>
  </si>
  <si>
    <t>1513015</t>
  </si>
  <si>
    <t>3015</t>
  </si>
  <si>
    <t>Надання пільг багатодіітним сім'ям на житлово-комунальні послуги</t>
  </si>
  <si>
    <t>1513016</t>
  </si>
  <si>
    <t>3016</t>
  </si>
  <si>
    <t>Надання субсидій населенню для відшкодування витрат на оплату житлово-комунальних послуг</t>
  </si>
  <si>
    <t>1513017</t>
  </si>
  <si>
    <t>3017</t>
  </si>
  <si>
    <t>Компенсація населенню додаткових витрат на оплату послуг газопостачання, центрального опалення та централізованого постачання гарячої води</t>
  </si>
  <si>
    <t>1513020</t>
  </si>
  <si>
    <t>3020</t>
  </si>
  <si>
    <t>Надання пільг та субсидій населенню на придбання твердого та рідкого пічного побутового палива в скрапленого газу</t>
  </si>
  <si>
    <t>1513021</t>
  </si>
  <si>
    <t>3021</t>
  </si>
  <si>
    <t>Надання пільг ветеранам війни, особам, на яких поширюється дія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</si>
  <si>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1513022</t>
  </si>
  <si>
    <t>3022</t>
  </si>
  <si>
    <t xml:space="preserve">Надання пільг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охрани, дітям (до досягнення повноліття) працівників міліції, осіб наальницького складу податкової міліції, рядового і начальницького складу кримінально-виконавчої системи, державної </t>
  </si>
  <si>
    <t>пожежної охорони, загиблих або померлих у звязку з виконанням службових обовязків, непрацездатним членам сімей, які перебували на їх утриманні, на придбання твердого палива</t>
  </si>
  <si>
    <t>1513023</t>
  </si>
  <si>
    <t>3023</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</si>
  <si>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</si>
  <si>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1513025</t>
  </si>
  <si>
    <t>3025</t>
  </si>
  <si>
    <t>Надання пільг багатодітним сім'ям на придбання твердого палива та скрапленого газу</t>
  </si>
  <si>
    <t>1513026</t>
  </si>
  <si>
    <t>3026</t>
  </si>
  <si>
    <t>Надання субсидій населенню для відшкодування витрат на придбання твердого та рідкого пічного побутового палива і скрапленого газу</t>
  </si>
  <si>
    <t>1513028</t>
  </si>
  <si>
    <t>3028</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</si>
  <si>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</si>
  <si>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1513030</t>
  </si>
  <si>
    <t>3030</t>
  </si>
  <si>
    <t>Надання пільг з оплати послуг зв'язку та інших передбачених законодавством пільг (крім пільг на одержання ліків, зубопротезування, забезпечення продуктами харчування,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та компенсації за пільговий проїзд окремих категорій громадян</t>
  </si>
  <si>
    <t>1513031</t>
  </si>
  <si>
    <t>3031</t>
  </si>
  <si>
    <t>Надання інших пільг ветеранам війни, особам, на яких поширюється дія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t>
  </si>
  <si>
    <t>1513033</t>
  </si>
  <si>
    <t>3033</t>
  </si>
  <si>
    <t>Надання інших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</si>
  <si>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1513034</t>
  </si>
  <si>
    <t>3034</t>
  </si>
  <si>
    <t>Надання пільг окремим категоріям громадян з оплати послуг зв'язку</t>
  </si>
  <si>
    <t>1513035</t>
  </si>
  <si>
    <t>3035</t>
  </si>
  <si>
    <t>Компенсаційні виплати на пільговий проїзд автомобільним транспортом окремим категоріям громадян</t>
  </si>
  <si>
    <t>1513036</t>
  </si>
  <si>
    <t>3036</t>
  </si>
  <si>
    <t>Компенсаційні виплати за пільговий проїзд окремих категорій громадян на  водному транспорті</t>
  </si>
  <si>
    <t>1513037</t>
  </si>
  <si>
    <t>3037</t>
  </si>
  <si>
    <t>Компенсаційні виплати за пільговий проїзд окремих категорій громадян на залізничному транспорті</t>
  </si>
  <si>
    <t>1513038</t>
  </si>
  <si>
    <t>3038</t>
  </si>
  <si>
    <t>Компенсаційні виплати на пільговий проїзд електротранспортом окремим категоріям громадян</t>
  </si>
  <si>
    <t>1513040</t>
  </si>
  <si>
    <t>Надання допомоги сім'ям з дітьми, малозабезпеченим сім'ям, інвалідам з дитинства, дітям-інвалідам та тимчасової допомоги дітям</t>
  </si>
  <si>
    <t>1513041</t>
  </si>
  <si>
    <t>3041</t>
  </si>
  <si>
    <t xml:space="preserve">Надання допомоги у зв`язку з вагітністю і пологами </t>
  </si>
  <si>
    <t>1513042</t>
  </si>
  <si>
    <t>3042</t>
  </si>
  <si>
    <t>Надання допомоги на догляд за дитиною віком до трьох років</t>
  </si>
  <si>
    <t>1513043</t>
  </si>
  <si>
    <t>3043</t>
  </si>
  <si>
    <t>Надання допомоги при народженні дитини</t>
  </si>
  <si>
    <t>1513044</t>
  </si>
  <si>
    <t>3044</t>
  </si>
  <si>
    <t>Надання допомоги на дітей, над якими встановлено опіку чи піклування</t>
  </si>
  <si>
    <t>1513045</t>
  </si>
  <si>
    <t>3045</t>
  </si>
  <si>
    <t>Надання допомоги на дітей одиноким матерям</t>
  </si>
  <si>
    <t>1513046</t>
  </si>
  <si>
    <t>3046</t>
  </si>
  <si>
    <t>Надання тимчасової державної допомоги дітям</t>
  </si>
  <si>
    <t>1513047</t>
  </si>
  <si>
    <t>3047</t>
  </si>
  <si>
    <t>Надання допомоги при усиновленні дитини</t>
  </si>
  <si>
    <t>1513048</t>
  </si>
  <si>
    <t>3048</t>
  </si>
  <si>
    <t>Надання державної соціальної допомоги малозабезпеченим сім'ям</t>
  </si>
  <si>
    <t>1513049</t>
  </si>
  <si>
    <t>3049</t>
  </si>
  <si>
    <t xml:space="preserve">Надання державної соціальної допомоги інвалідам з дитинства та дітям-інвалідам </t>
  </si>
  <si>
    <t>1513080</t>
  </si>
  <si>
    <t>3080</t>
  </si>
  <si>
    <t>Надання допомоги на догляд за інвалідом І чи ІІ групи внаслідок психічного розладу</t>
  </si>
  <si>
    <t>1513100</t>
  </si>
  <si>
    <t>3100</t>
  </si>
  <si>
    <t>Надання соціальних та реабілітаційних послуг громадянам похилого віку, інвалідам, дітям-інвалідам в установах соціального обслуговування</t>
  </si>
  <si>
    <t>1513104</t>
  </si>
  <si>
    <t>3104</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</si>
  <si>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</si>
  <si>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1513240</t>
  </si>
  <si>
    <t>1513130</t>
  </si>
  <si>
    <t>Здійснення соціальної роботи з вразливими категоріями населення</t>
  </si>
  <si>
    <t>1513131</t>
  </si>
  <si>
    <t>1513132</t>
  </si>
  <si>
    <t>1513140</t>
  </si>
  <si>
    <t>Соціальні програми і заходи державних органів у справах молоді</t>
  </si>
  <si>
    <t>1513160</t>
  </si>
  <si>
    <t>1513180</t>
  </si>
  <si>
    <t>3180</t>
  </si>
  <si>
    <t>Надання соціальних гарантій інвалідам,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</si>
  <si>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1513181</t>
  </si>
  <si>
    <t>3181</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</si>
  <si>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</si>
  <si>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1513200</t>
  </si>
  <si>
    <t>3200</t>
  </si>
  <si>
    <t>Соціальний захист ветеранів війни і праці</t>
  </si>
  <si>
    <t>1513202</t>
  </si>
  <si>
    <t>3202</t>
  </si>
  <si>
    <t>Надання фінансової підтримки громадським організаціям інвалідів і ветеранів, діяльність яких має соціальну спрямованість</t>
  </si>
  <si>
    <t>1513400</t>
  </si>
  <si>
    <t>1513401</t>
  </si>
  <si>
    <t>1516300</t>
  </si>
  <si>
    <t>1516310</t>
  </si>
  <si>
    <t>1519100</t>
  </si>
  <si>
    <t>1519180</t>
  </si>
  <si>
    <t>1519181</t>
  </si>
  <si>
    <t>2000000</t>
  </si>
  <si>
    <t>20</t>
  </si>
  <si>
    <t>Служба (управління) у справах дітей Запорізької міської ради</t>
  </si>
  <si>
    <t>2010000</t>
  </si>
  <si>
    <t>2010100</t>
  </si>
  <si>
    <t>2010180</t>
  </si>
  <si>
    <t>Керівництво і управління у сфері соціального захисту   дітей</t>
  </si>
  <si>
    <t>2011000</t>
  </si>
  <si>
    <t>2011060</t>
  </si>
  <si>
    <t>2013000</t>
  </si>
  <si>
    <t>2013110</t>
  </si>
  <si>
    <t>3110</t>
  </si>
  <si>
    <t>Заклади і заходи з питань дітей та їх соціального захисту</t>
  </si>
  <si>
    <t>2013112</t>
  </si>
  <si>
    <t>3112</t>
  </si>
  <si>
    <t>1040 </t>
  </si>
  <si>
    <t>Заходи державної політики з питань дітей та їх соціального захисту</t>
  </si>
  <si>
    <t>2300000</t>
  </si>
  <si>
    <t>23</t>
  </si>
  <si>
    <t>Департамент правового забезпечення Запорізької міської ради</t>
  </si>
  <si>
    <t>2310000</t>
  </si>
  <si>
    <t>2310100</t>
  </si>
  <si>
    <t>2310180</t>
  </si>
  <si>
    <t>Керівництво і управління у сфері правового забезпечення</t>
  </si>
  <si>
    <t>2400000</t>
  </si>
  <si>
    <t>24</t>
  </si>
  <si>
    <t>Департамент культури і туризму Запорізької міської ради</t>
  </si>
  <si>
    <t>2410000</t>
  </si>
  <si>
    <t>2410100</t>
  </si>
  <si>
    <t>2410180</t>
  </si>
  <si>
    <t>Керівництво і управління у сфері культури і мистецтва, туризму</t>
  </si>
  <si>
    <t>2414000</t>
  </si>
  <si>
    <t>4000</t>
  </si>
  <si>
    <t>Культура і мистецтво</t>
  </si>
  <si>
    <t>2414020</t>
  </si>
  <si>
    <t>4020</t>
  </si>
  <si>
    <t>0821</t>
  </si>
  <si>
    <t>Театри</t>
  </si>
  <si>
    <t>2414060</t>
  </si>
  <si>
    <t>4060</t>
  </si>
  <si>
    <t>0824</t>
  </si>
  <si>
    <t>Бібліотеки</t>
  </si>
  <si>
    <t>2414090</t>
  </si>
  <si>
    <t>4090</t>
  </si>
  <si>
    <t>0828</t>
  </si>
  <si>
    <t>Палаци і будинки культури, клуби та інші заклади клубного типу</t>
  </si>
  <si>
    <t>2414100</t>
  </si>
  <si>
    <t>4100</t>
  </si>
  <si>
    <t>Школи естетичного виховання дітей</t>
  </si>
  <si>
    <t>2414110</t>
  </si>
  <si>
    <t>4110</t>
  </si>
  <si>
    <t>0823</t>
  </si>
  <si>
    <t>Кінематографія</t>
  </si>
  <si>
    <t>2414200</t>
  </si>
  <si>
    <t>4200</t>
  </si>
  <si>
    <t>0829</t>
  </si>
  <si>
    <t>Інші культурно-освітні заклади та заходи</t>
  </si>
  <si>
    <t>2414201</t>
  </si>
  <si>
    <t>4201</t>
  </si>
  <si>
    <t>Централізований бухгалтерський та фінансовий облік закладів культури</t>
  </si>
  <si>
    <t>2414202</t>
  </si>
  <si>
    <t>4202</t>
  </si>
  <si>
    <t>Служба технічного нагляду</t>
  </si>
  <si>
    <t>2414203</t>
  </si>
  <si>
    <t>4203</t>
  </si>
  <si>
    <t>Культурно-мистецькі заходи</t>
  </si>
  <si>
    <t>2414204</t>
  </si>
  <si>
    <t>4204</t>
  </si>
  <si>
    <t>Відродження народних традицій та методичне забезпечення закладів культури</t>
  </si>
  <si>
    <t>2414205</t>
  </si>
  <si>
    <t>4205</t>
  </si>
  <si>
    <t>Оцінка вартості пам’яток історії та монументального мистецтва</t>
  </si>
  <si>
    <t>2416300</t>
  </si>
  <si>
    <t>2416310</t>
  </si>
  <si>
    <t>2417500</t>
  </si>
  <si>
    <t>2417501</t>
  </si>
  <si>
    <t>2600000</t>
  </si>
  <si>
    <t>26</t>
  </si>
  <si>
    <t>Відділ охорони культурної спадщини Запорізької міської ради</t>
  </si>
  <si>
    <t>2610180</t>
  </si>
  <si>
    <t>Керівництво і управління у сфері охорони культурної спадщини</t>
  </si>
  <si>
    <t>3200000</t>
  </si>
  <si>
    <t>32</t>
  </si>
  <si>
    <t>Департамент надання адміністративних послуг та розвитку підприємництва Запорізької міської ради</t>
  </si>
  <si>
    <t>3210000</t>
  </si>
  <si>
    <t>3210100</t>
  </si>
  <si>
    <t>3210180</t>
  </si>
  <si>
    <t>Керівництво і управління у сфері підтримки підприємництва, регуляторної політики, організації надання адміністративних послуг</t>
  </si>
  <si>
    <t>3216300</t>
  </si>
  <si>
    <t>3216310</t>
  </si>
  <si>
    <t>3217400</t>
  </si>
  <si>
    <t>3217450</t>
  </si>
  <si>
    <t>7450</t>
  </si>
  <si>
    <t>Сприяння розвитку малого та середнього підприємництва</t>
  </si>
  <si>
    <t>3218000</t>
  </si>
  <si>
    <t>3218600</t>
  </si>
  <si>
    <t>3218606</t>
  </si>
  <si>
    <t>Підготовка та проведення масових заходів, забезпечення відео контролю у місцях масового перебування громадян</t>
  </si>
  <si>
    <t>3218602</t>
  </si>
  <si>
    <t>3300000</t>
  </si>
  <si>
    <t>33</t>
  </si>
  <si>
    <t>Департамент реєстраційних послуг міської ради</t>
  </si>
  <si>
    <t>3310000</t>
  </si>
  <si>
    <t>3310100</t>
  </si>
  <si>
    <t>3310180</t>
  </si>
  <si>
    <t>Керівництво і управління у сфері державної реєстрації речових прав на нерухоме майно, юридичних осіб та фізичних осіб - підприємців та фізичних осіб</t>
  </si>
  <si>
    <t>4000000</t>
  </si>
  <si>
    <t>40</t>
  </si>
  <si>
    <t>Департамент з управління житлово-комунальним господарством Запорізької міської ради</t>
  </si>
  <si>
    <t>4010000</t>
  </si>
  <si>
    <t>Департамент з управління житлового-комунальним господарством Запорізької міської ради</t>
  </si>
  <si>
    <t>4010100</t>
  </si>
  <si>
    <t>4010180</t>
  </si>
  <si>
    <t>Керівництво і управління у сфері житлово-комунального господарства</t>
  </si>
  <si>
    <t>4016000</t>
  </si>
  <si>
    <t>6000</t>
  </si>
  <si>
    <t>Житлово-комунальне господарство</t>
  </si>
  <si>
    <t>4016010</t>
  </si>
  <si>
    <t>6010</t>
  </si>
  <si>
    <t>0610</t>
  </si>
  <si>
    <t>Забезпечення надійного та безперебійного функціонування житлово-експлуатаційного господарства</t>
  </si>
  <si>
    <t>4016020</t>
  </si>
  <si>
    <t>6020</t>
  </si>
  <si>
    <t>Капітальний ремонт об'єктів житлового господарства</t>
  </si>
  <si>
    <t>4016021</t>
  </si>
  <si>
    <t>6021</t>
  </si>
  <si>
    <t xml:space="preserve">Капітальний ремонт житлового фонду </t>
  </si>
  <si>
    <t>4016022</t>
  </si>
  <si>
    <t>6022</t>
  </si>
  <si>
    <t>Капітальний ремонт житлового фонду об'єднань співвласників багатоквартирних будинків</t>
  </si>
  <si>
    <t>4016030</t>
  </si>
  <si>
    <t>6030</t>
  </si>
  <si>
    <t>Фінансова підтримка об'єктів житлово-комунального господарства</t>
  </si>
  <si>
    <t>4016100</t>
  </si>
  <si>
    <t>6100</t>
  </si>
  <si>
    <t>0620</t>
  </si>
  <si>
    <t>Впровадження засобів обліку витрат та регулювання споживання води та теплової енергії</t>
  </si>
  <si>
    <t>4016300</t>
  </si>
  <si>
    <t>4016310</t>
  </si>
  <si>
    <t>4016320</t>
  </si>
  <si>
    <t>6320</t>
  </si>
  <si>
    <t>Надання допомоги у вирішенні житлових питань</t>
  </si>
  <si>
    <t>4016324</t>
  </si>
  <si>
    <t>6324</t>
  </si>
  <si>
    <t>Будівництво та придбання житла для окремих категорій населення</t>
  </si>
  <si>
    <t>4016400</t>
  </si>
  <si>
    <t>6400</t>
  </si>
  <si>
    <t>Попередження аварій та запобігання техногенним катастрофам у житлово-комунальному господарстві та на інших аварійних об'єктах комунальної власності</t>
  </si>
  <si>
    <t>4017400</t>
  </si>
  <si>
    <t>4017470</t>
  </si>
  <si>
    <t>4018000</t>
  </si>
  <si>
    <t>4018600</t>
  </si>
  <si>
    <t>4018602</t>
  </si>
  <si>
    <t>фінансова підтримка житлово-експлуатаційних та комунальних підприємств міста</t>
  </si>
  <si>
    <t>аварійна служба</t>
  </si>
  <si>
    <t>4018605</t>
  </si>
  <si>
    <t>Інші видатки у сфері житлового-комунального господарства та фінансування заходів з дезінсекції та дератизації</t>
  </si>
  <si>
    <t>4019100</t>
  </si>
  <si>
    <t>4019110</t>
  </si>
  <si>
    <t>4100000</t>
  </si>
  <si>
    <t>41</t>
  </si>
  <si>
    <t>Департамент інфраструктури та благоустрою Запорізької міської ради</t>
  </si>
  <si>
    <t>4110000</t>
  </si>
  <si>
    <t>Департамент інфраструктури та благоустрою міста Запорізької міської ради</t>
  </si>
  <si>
    <t>4110100</t>
  </si>
  <si>
    <t>4110180</t>
  </si>
  <si>
    <t>Керівництво і управління у сфері інфраструктури та благоустрою</t>
  </si>
  <si>
    <t>4113000</t>
  </si>
  <si>
    <t>4113240</t>
  </si>
  <si>
    <t>4113400</t>
  </si>
  <si>
    <t>4113401</t>
  </si>
  <si>
    <t>4113402</t>
  </si>
  <si>
    <t>3402</t>
  </si>
  <si>
    <t>Заходи з поховання</t>
  </si>
  <si>
    <t>4116000</t>
  </si>
  <si>
    <t>4116060</t>
  </si>
  <si>
    <t>6060</t>
  </si>
  <si>
    <t>Благоустрій міст, сіл, селищ</t>
  </si>
  <si>
    <t>4116300</t>
  </si>
  <si>
    <t>4116310</t>
  </si>
  <si>
    <t>4116600</t>
  </si>
  <si>
    <t>6600</t>
  </si>
  <si>
    <t>Транспорт, дорожнє господарство, зв'язок, телекомунікації та інформатика</t>
  </si>
  <si>
    <t>4116650</t>
  </si>
  <si>
    <t>6650</t>
  </si>
  <si>
    <t>0456</t>
  </si>
  <si>
    <t>Утримання та розвиток інфраструктури доріг</t>
  </si>
  <si>
    <t>4117400</t>
  </si>
  <si>
    <t>4117470</t>
  </si>
  <si>
    <t>4117700</t>
  </si>
  <si>
    <t>4117701</t>
  </si>
  <si>
    <t>4118000</t>
  </si>
  <si>
    <t>4118600</t>
  </si>
  <si>
    <t>4118606</t>
  </si>
  <si>
    <t>Пдготовка та проведення масових заходів, забезпечення відеоконтролю у місцях масового перебування громадян</t>
  </si>
  <si>
    <t>4118603</t>
  </si>
  <si>
    <t>4119100</t>
  </si>
  <si>
    <t>4119110</t>
  </si>
  <si>
    <t>4500000</t>
  </si>
  <si>
    <t>45</t>
  </si>
  <si>
    <t>Департамент комунальної власності та приватизації Запорізької міської ради</t>
  </si>
  <si>
    <t>4510000</t>
  </si>
  <si>
    <t>4510100</t>
  </si>
  <si>
    <t>4510180</t>
  </si>
  <si>
    <t>Керівництво і управління у сфері управління майном права комунальної власності</t>
  </si>
  <si>
    <t>4518000</t>
  </si>
  <si>
    <t>4518600</t>
  </si>
  <si>
    <t>4518605</t>
  </si>
  <si>
    <t>4800000</t>
  </si>
  <si>
    <t>48</t>
  </si>
  <si>
    <t>Департамент архітектури та містобудування Запорізької міської ради</t>
  </si>
  <si>
    <t>4810000</t>
  </si>
  <si>
    <t>4810100</t>
  </si>
  <si>
    <t>4810180</t>
  </si>
  <si>
    <t>Керівництво і управління у сфері містобудування та архітектури</t>
  </si>
  <si>
    <t>4816430</t>
  </si>
  <si>
    <t>6430</t>
  </si>
  <si>
    <t>0443</t>
  </si>
  <si>
    <t>Розробка схем та проектних рішень масового застосування</t>
  </si>
  <si>
    <t>4818000</t>
  </si>
  <si>
    <t>4818600</t>
  </si>
  <si>
    <t>4818604</t>
  </si>
  <si>
    <t>4818602</t>
  </si>
  <si>
    <t>Фінансова підтримка комунальних підприємств, організацій, органів самоорганізації населення, оплата громадських робіт в житлово-комунальному господарстві</t>
  </si>
  <si>
    <t>4900000</t>
  </si>
  <si>
    <t>49</t>
  </si>
  <si>
    <t>Інспекція державного архітектурно-будівельного контролю Запорізької міської ради</t>
  </si>
  <si>
    <t>4910000</t>
  </si>
  <si>
    <t>4910100</t>
  </si>
  <si>
    <t>4910180</t>
  </si>
  <si>
    <t>Керівництво і управління у сфері державного архітектурно-будівельного контролю</t>
  </si>
  <si>
    <t>5000000</t>
  </si>
  <si>
    <t>50</t>
  </si>
  <si>
    <t>Інспекція з благоустрою Запорізької міської ради</t>
  </si>
  <si>
    <t>5010000</t>
  </si>
  <si>
    <t>5010100</t>
  </si>
  <si>
    <t>5010180</t>
  </si>
  <si>
    <t>Керівництво і управління у сфері контролю за дотриманням законодавства про благоустрій</t>
  </si>
  <si>
    <t>5600000</t>
  </si>
  <si>
    <t>56</t>
  </si>
  <si>
    <t>Управління з питань земельних відносин Запорізької міської ради</t>
  </si>
  <si>
    <t>5610000</t>
  </si>
  <si>
    <t>5610100</t>
  </si>
  <si>
    <t>5610180</t>
  </si>
  <si>
    <t>Керівництво і управління у сфері земельних відносин</t>
  </si>
  <si>
    <t>5617300</t>
  </si>
  <si>
    <t>7300</t>
  </si>
  <si>
    <t>Сільське і лісове господарство, рибне господарство та мисливство</t>
  </si>
  <si>
    <t>5617310</t>
  </si>
  <si>
    <t>7310</t>
  </si>
  <si>
    <t>0421</t>
  </si>
  <si>
    <t>Проведення заходів із землеустрою</t>
  </si>
  <si>
    <t>6000000</t>
  </si>
  <si>
    <t>60</t>
  </si>
  <si>
    <t>Управління з питань екологічної безпеки Запорізької міської ради</t>
  </si>
  <si>
    <t>6010000</t>
  </si>
  <si>
    <t>6010100</t>
  </si>
  <si>
    <t>6010180</t>
  </si>
  <si>
    <t>Керівництво і управління у сфері охорони навколишнього природного  середовища</t>
  </si>
  <si>
    <t>6016300</t>
  </si>
  <si>
    <t>6016310</t>
  </si>
  <si>
    <t>6017400</t>
  </si>
  <si>
    <t>6017460</t>
  </si>
  <si>
    <t>7460</t>
  </si>
  <si>
    <t>6017600</t>
  </si>
  <si>
    <t>7600</t>
  </si>
  <si>
    <t>Охорона навколишнього природного середовища та ядерна безпека</t>
  </si>
  <si>
    <t>6017610</t>
  </si>
  <si>
    <t>7610</t>
  </si>
  <si>
    <t>6017612</t>
  </si>
  <si>
    <t>7612</t>
  </si>
  <si>
    <t>Охорона і раціональне використання земель</t>
  </si>
  <si>
    <t>6017700</t>
  </si>
  <si>
    <t>6017701</t>
  </si>
  <si>
    <t>6018000</t>
  </si>
  <si>
    <t>6018600</t>
  </si>
  <si>
    <t>6018602</t>
  </si>
  <si>
    <t>6019100</t>
  </si>
  <si>
    <t>6019110</t>
  </si>
  <si>
    <t>6019180</t>
  </si>
  <si>
    <t>6019181</t>
  </si>
  <si>
    <t>6500000</t>
  </si>
  <si>
    <t>65</t>
  </si>
  <si>
    <t>Управління з питань транспортного забезпечення та зв'язку Запорізької міської ради</t>
  </si>
  <si>
    <t>6510000</t>
  </si>
  <si>
    <t>6510100</t>
  </si>
  <si>
    <t>6510180</t>
  </si>
  <si>
    <t>Керівництво і управління у сфері транспорту та зв'язку</t>
  </si>
  <si>
    <t>6516300</t>
  </si>
  <si>
    <t>6516310</t>
  </si>
  <si>
    <t>6516600</t>
  </si>
  <si>
    <t>6516640</t>
  </si>
  <si>
    <t>6640</t>
  </si>
  <si>
    <t>0455</t>
  </si>
  <si>
    <t>Інші заходи у сфері електротранспорту</t>
  </si>
  <si>
    <t>6516700</t>
  </si>
  <si>
    <t>6700</t>
  </si>
  <si>
    <t>Діяльність і послуги, не віднесені до інших категорій</t>
  </si>
  <si>
    <t>6516701</t>
  </si>
  <si>
    <t>6701</t>
  </si>
  <si>
    <t>0460</t>
  </si>
  <si>
    <t>Ремонт, експлуатація та утримання пасажирських понтонів</t>
  </si>
  <si>
    <t>6516702</t>
  </si>
  <si>
    <t>6702</t>
  </si>
  <si>
    <t>Заходи у сфері повітряного транспорту</t>
  </si>
  <si>
    <t>6516703</t>
  </si>
  <si>
    <t>6703</t>
  </si>
  <si>
    <t>Заходи у сфері міського пасажирського транспорту загального користування</t>
  </si>
  <si>
    <t>6516800</t>
  </si>
  <si>
    <t>6800</t>
  </si>
  <si>
    <t>Інші заходи у сфері автомобільного транспорту</t>
  </si>
  <si>
    <t>6516801</t>
  </si>
  <si>
    <t>6801</t>
  </si>
  <si>
    <t>Організація пасажирських перевезень до садово-городніх ділянок</t>
  </si>
  <si>
    <t>6517400</t>
  </si>
  <si>
    <t>6517470</t>
  </si>
  <si>
    <t>6518600</t>
  </si>
  <si>
    <t>6518602</t>
  </si>
  <si>
    <t>6518606</t>
  </si>
  <si>
    <t>6700000</t>
  </si>
  <si>
    <t>67</t>
  </si>
  <si>
    <t>Управління з питань попередження надзвичайних ситуацій та цивільного захисту населення Запорізької міської ради</t>
  </si>
  <si>
    <t>6710000</t>
  </si>
  <si>
    <t>6710100</t>
  </si>
  <si>
    <t>6710180</t>
  </si>
  <si>
    <t>Керівництво і управління у сфері техногенно-екологічної безпеки, цивільного захисту та надзвичайних ситуацій</t>
  </si>
  <si>
    <t>6717800</t>
  </si>
  <si>
    <t>7800</t>
  </si>
  <si>
    <t>Запобігання та ліквідація надзвичайних ситуацій та наслідків стихійного лиха</t>
  </si>
  <si>
    <t>6717810</t>
  </si>
  <si>
    <t>7810</t>
  </si>
  <si>
    <t>0320</t>
  </si>
  <si>
    <t xml:space="preserve">Видатки на запобігання та ліквідацію надзвичайних ситуацій та наслідків стихійного лиха </t>
  </si>
  <si>
    <t>6717820</t>
  </si>
  <si>
    <t>7820</t>
  </si>
  <si>
    <t>0220</t>
  </si>
  <si>
    <t>Заходи у сфері захисту населення і території від надзвичайних ситуацій техногенного та природного характеру</t>
  </si>
  <si>
    <t>6717840</t>
  </si>
  <si>
    <t>7840</t>
  </si>
  <si>
    <t xml:space="preserve">Організація рятування на водах </t>
  </si>
  <si>
    <t>7300000</t>
  </si>
  <si>
    <t>73</t>
  </si>
  <si>
    <t>Департамент економічного розвитку Запорізької міської ради</t>
  </si>
  <si>
    <t>7310000</t>
  </si>
  <si>
    <t>7310100</t>
  </si>
  <si>
    <t>7310180</t>
  </si>
  <si>
    <t>Керівництво і управління у сфері соціально-економічного розвитку</t>
  </si>
  <si>
    <t>7316300</t>
  </si>
  <si>
    <t>7316310</t>
  </si>
  <si>
    <t>7316400</t>
  </si>
  <si>
    <t>7317400</t>
  </si>
  <si>
    <t>7317470</t>
  </si>
  <si>
    <t>7317500</t>
  </si>
  <si>
    <t>7317502</t>
  </si>
  <si>
    <t>7502</t>
  </si>
  <si>
    <t>Стратегія економічного розвитку</t>
  </si>
  <si>
    <t>7318000</t>
  </si>
  <si>
    <t>7318600</t>
  </si>
  <si>
    <t>7318602</t>
  </si>
  <si>
    <t>7319100</t>
  </si>
  <si>
    <t>7319180</t>
  </si>
  <si>
    <t>7319181</t>
  </si>
  <si>
    <t>7500000</t>
  </si>
  <si>
    <t>75</t>
  </si>
  <si>
    <t>Департамент фінансової та бюджетної політики Запорізької міської ради</t>
  </si>
  <si>
    <t>7510000</t>
  </si>
  <si>
    <t>7510100</t>
  </si>
  <si>
    <t>7510180</t>
  </si>
  <si>
    <t>Керівництво і управління у сфері бюджету та фінансів</t>
  </si>
  <si>
    <t>7518000</t>
  </si>
  <si>
    <t>7518600</t>
  </si>
  <si>
    <t>7518607</t>
  </si>
  <si>
    <t>7519010</t>
  </si>
  <si>
    <t>9010</t>
  </si>
  <si>
    <t>Обслуговування боргу</t>
  </si>
  <si>
    <t>7600000</t>
  </si>
  <si>
    <t>76</t>
  </si>
  <si>
    <t>7610000</t>
  </si>
  <si>
    <t>7618000</t>
  </si>
  <si>
    <t>7618010</t>
  </si>
  <si>
    <t>Резервний фонд</t>
  </si>
  <si>
    <t>7618120</t>
  </si>
  <si>
    <t>8120</t>
  </si>
  <si>
    <t>Реверсна дотація</t>
  </si>
  <si>
    <t>7618370</t>
  </si>
  <si>
    <t>8370</t>
  </si>
  <si>
    <t>Субвенція з місцевого бюджету державному бюджету на виконання програм соціально-економічного та культурного розвитку регіонів</t>
  </si>
  <si>
    <t>7618800</t>
  </si>
  <si>
    <t>8800</t>
  </si>
  <si>
    <t>Інші субвенції</t>
  </si>
  <si>
    <t>7618801</t>
  </si>
  <si>
    <t>9000000</t>
  </si>
  <si>
    <t>90</t>
  </si>
  <si>
    <t xml:space="preserve"> Районна адміністрація Запорізької міської ради по Дніпровському району</t>
  </si>
  <si>
    <t>9010000</t>
  </si>
  <si>
    <t>Районна адміністрація Запорізької міської ради по Дніпровському району</t>
  </si>
  <si>
    <t>9010100</t>
  </si>
  <si>
    <t>9010180</t>
  </si>
  <si>
    <t>Керівництво і управління у сфері комплексного соціально-економічного розвитку району та реалізації політики міської ради у визначених законодавством сферах управління</t>
  </si>
  <si>
    <t>9016000</t>
  </si>
  <si>
    <t>9016010</t>
  </si>
  <si>
    <t>9016060</t>
  </si>
  <si>
    <t>9016300</t>
  </si>
  <si>
    <t>9016310</t>
  </si>
  <si>
    <t>9018000</t>
  </si>
  <si>
    <t>9018600</t>
  </si>
  <si>
    <t>9018601</t>
  </si>
  <si>
    <t>9018602</t>
  </si>
  <si>
    <t>9018603</t>
  </si>
  <si>
    <t>9018604</t>
  </si>
  <si>
    <t>9018605</t>
  </si>
  <si>
    <t>9018606</t>
  </si>
  <si>
    <t>9018607</t>
  </si>
  <si>
    <t>9018608</t>
  </si>
  <si>
    <t>9018609</t>
  </si>
  <si>
    <t>8609</t>
  </si>
  <si>
    <t>9019100</t>
  </si>
  <si>
    <t>9019180</t>
  </si>
  <si>
    <t>9019181</t>
  </si>
  <si>
    <t>9100000</t>
  </si>
  <si>
    <t>91</t>
  </si>
  <si>
    <t xml:space="preserve"> Районна адміністрація Запорізької міської ради по Хортицькому району</t>
  </si>
  <si>
    <t>9110000</t>
  </si>
  <si>
    <t>Районна адміністрація Запорізької міської ради по Хортицькому району</t>
  </si>
  <si>
    <t>9110100</t>
  </si>
  <si>
    <t>9110180</t>
  </si>
  <si>
    <t>9116000</t>
  </si>
  <si>
    <t>9116010</t>
  </si>
  <si>
    <t>9116060</t>
  </si>
  <si>
    <t>9116300</t>
  </si>
  <si>
    <t>9116310</t>
  </si>
  <si>
    <t>9118000</t>
  </si>
  <si>
    <t>9118600</t>
  </si>
  <si>
    <t>9118601</t>
  </si>
  <si>
    <t>9118602</t>
  </si>
  <si>
    <t>9118603</t>
  </si>
  <si>
    <t>9118604</t>
  </si>
  <si>
    <t>9118605</t>
  </si>
  <si>
    <t>9118606</t>
  </si>
  <si>
    <t>9118607</t>
  </si>
  <si>
    <t>9118608</t>
  </si>
  <si>
    <t>9118609</t>
  </si>
  <si>
    <t>9119100</t>
  </si>
  <si>
    <t>9119180</t>
  </si>
  <si>
    <t>9119181</t>
  </si>
  <si>
    <t>9200000</t>
  </si>
  <si>
    <t>92</t>
  </si>
  <si>
    <t xml:space="preserve"> Районна адміністрація Запорізької міської ради по Вознесенівському району</t>
  </si>
  <si>
    <t>9210000</t>
  </si>
  <si>
    <t>9210100</t>
  </si>
  <si>
    <t>9210180</t>
  </si>
  <si>
    <t>9216000</t>
  </si>
  <si>
    <t>9216010</t>
  </si>
  <si>
    <t>9216060</t>
  </si>
  <si>
    <t>9216300</t>
  </si>
  <si>
    <t>9216310</t>
  </si>
  <si>
    <t>9218000</t>
  </si>
  <si>
    <t>9218600</t>
  </si>
  <si>
    <t>9218601</t>
  </si>
  <si>
    <t>9218602</t>
  </si>
  <si>
    <t>9218603</t>
  </si>
  <si>
    <t>9218604</t>
  </si>
  <si>
    <t>9218605</t>
  </si>
  <si>
    <t>9218606</t>
  </si>
  <si>
    <t>9218607</t>
  </si>
  <si>
    <t>9218608</t>
  </si>
  <si>
    <t>9218609</t>
  </si>
  <si>
    <t>9219100</t>
  </si>
  <si>
    <t>9219110</t>
  </si>
  <si>
    <t>9219181</t>
  </si>
  <si>
    <t>9300000</t>
  </si>
  <si>
    <t>93</t>
  </si>
  <si>
    <t xml:space="preserve"> Районна адміністрація Запорізької міської ради по Олександрівському району</t>
  </si>
  <si>
    <t>9310000</t>
  </si>
  <si>
    <t>9310100</t>
  </si>
  <si>
    <t>9310180</t>
  </si>
  <si>
    <t>9316000</t>
  </si>
  <si>
    <t>9316010</t>
  </si>
  <si>
    <t>9316060</t>
  </si>
  <si>
    <t>9316300</t>
  </si>
  <si>
    <t>9316310</t>
  </si>
  <si>
    <t>9318000</t>
  </si>
  <si>
    <t>9318600</t>
  </si>
  <si>
    <t>9318601</t>
  </si>
  <si>
    <t>9318602</t>
  </si>
  <si>
    <t>9318603</t>
  </si>
  <si>
    <t>9318604</t>
  </si>
  <si>
    <t>9318605</t>
  </si>
  <si>
    <t>9318606</t>
  </si>
  <si>
    <t>9318607</t>
  </si>
  <si>
    <t>9318608</t>
  </si>
  <si>
    <t>9318609</t>
  </si>
  <si>
    <t>9319100</t>
  </si>
  <si>
    <t>9319230</t>
  </si>
  <si>
    <t>9230</t>
  </si>
  <si>
    <t>9319181</t>
  </si>
  <si>
    <t>9400000</t>
  </si>
  <si>
    <t>94</t>
  </si>
  <si>
    <t xml:space="preserve"> Районна адміністрація Запорізької міської ради по Шевченківському району</t>
  </si>
  <si>
    <t>9410000</t>
  </si>
  <si>
    <t>9410100</t>
  </si>
  <si>
    <t>9410180</t>
  </si>
  <si>
    <t>9416000</t>
  </si>
  <si>
    <t>9416010</t>
  </si>
  <si>
    <t>9416060</t>
  </si>
  <si>
    <t>9416300</t>
  </si>
  <si>
    <t>9416310</t>
  </si>
  <si>
    <t>9418000</t>
  </si>
  <si>
    <t>9418600</t>
  </si>
  <si>
    <t>9418601</t>
  </si>
  <si>
    <t>9418602</t>
  </si>
  <si>
    <t>9418603</t>
  </si>
  <si>
    <t>9418604</t>
  </si>
  <si>
    <t>9418605</t>
  </si>
  <si>
    <t>9418606</t>
  </si>
  <si>
    <t>9418607</t>
  </si>
  <si>
    <t>9418608</t>
  </si>
  <si>
    <t>9418609</t>
  </si>
  <si>
    <t>9419100</t>
  </si>
  <si>
    <t>9419180</t>
  </si>
  <si>
    <t>9419181</t>
  </si>
  <si>
    <t>9500000</t>
  </si>
  <si>
    <t>95</t>
  </si>
  <si>
    <t xml:space="preserve"> Районна адміністрація Запорізької міської ради по Заводському району</t>
  </si>
  <si>
    <t>9510000</t>
  </si>
  <si>
    <t>9510100</t>
  </si>
  <si>
    <t>9510180</t>
  </si>
  <si>
    <t>9516000</t>
  </si>
  <si>
    <t>9516010</t>
  </si>
  <si>
    <t>9516060</t>
  </si>
  <si>
    <t>9516300</t>
  </si>
  <si>
    <t>9516310</t>
  </si>
  <si>
    <t>9518000</t>
  </si>
  <si>
    <t>9518600</t>
  </si>
  <si>
    <t>9518601</t>
  </si>
  <si>
    <t>9518602</t>
  </si>
  <si>
    <t>9518603</t>
  </si>
  <si>
    <t>9518604</t>
  </si>
  <si>
    <t>9518605</t>
  </si>
  <si>
    <t>9518606</t>
  </si>
  <si>
    <t>9518607</t>
  </si>
  <si>
    <t>9518608</t>
  </si>
  <si>
    <t>9518609</t>
  </si>
  <si>
    <t>9519100</t>
  </si>
  <si>
    <t>9519180</t>
  </si>
  <si>
    <t>9519181</t>
  </si>
  <si>
    <t>9600000</t>
  </si>
  <si>
    <t>96</t>
  </si>
  <si>
    <t xml:space="preserve"> Районна адміністрація Запорізької міської ради по Комунарському району</t>
  </si>
  <si>
    <t>9610000</t>
  </si>
  <si>
    <t>9610100</t>
  </si>
  <si>
    <t>9610180</t>
  </si>
  <si>
    <t>9616000</t>
  </si>
  <si>
    <t>9616010</t>
  </si>
  <si>
    <t>9616060</t>
  </si>
  <si>
    <t>9616300</t>
  </si>
  <si>
    <t>9616310</t>
  </si>
  <si>
    <t>9618000</t>
  </si>
  <si>
    <t>9618600</t>
  </si>
  <si>
    <t>9618601</t>
  </si>
  <si>
    <t>9618602</t>
  </si>
  <si>
    <t>9618603</t>
  </si>
  <si>
    <t>9618604</t>
  </si>
  <si>
    <t>9618605</t>
  </si>
  <si>
    <t>9618606</t>
  </si>
  <si>
    <t>9618607</t>
  </si>
  <si>
    <t>9618608</t>
  </si>
  <si>
    <t>9618609</t>
  </si>
  <si>
    <t>9619100</t>
  </si>
  <si>
    <t>9619181</t>
  </si>
  <si>
    <t>Всього видатків</t>
  </si>
  <si>
    <t>у тому числі</t>
  </si>
  <si>
    <t xml:space="preserve">до рішення  виконавчого комітету </t>
  </si>
  <si>
    <t>міської ради</t>
  </si>
  <si>
    <t>Р.А. Омельянович</t>
  </si>
  <si>
    <t xml:space="preserve">Додаток                         </t>
  </si>
  <si>
    <t>Керуючий справами виконкому ради</t>
  </si>
  <si>
    <t>в тому числі за рахунок субвенції з державного бюджету місцевим бюджетам на реалізацію проектів в рамках Надзвичайної кредитної програми для відновлення України</t>
  </si>
  <si>
    <t>Розподіл видатків за рахунок освітньої, медичної субвенцій з державного бюджету місцевим бюджетам та субвенції з державного бюджету місцевим бюджетам на реалізацію проектів в рамках Надзвичайної кредитної програми для відновлення України</t>
  </si>
  <si>
    <t>Проведення невідкладних відновлюваних робіт, будівництво та реконструкція загальноосвітніх навчальних закладів</t>
  </si>
</sst>
</file>

<file path=xl/styles.xml><?xml version="1.0" encoding="utf-8"?>
<styleSheet xmlns="http://schemas.openxmlformats.org/spreadsheetml/2006/main">
  <numFmts count="1">
    <numFmt numFmtId="164" formatCode="0.000"/>
  </numFmts>
  <fonts count="27">
    <font>
      <sz val="11"/>
      <color theme="1"/>
      <name val="Calibri"/>
      <family val="2"/>
      <charset val="204"/>
      <scheme val="minor"/>
    </font>
    <font>
      <sz val="14"/>
      <name val="Arial Cyr"/>
      <charset val="204"/>
    </font>
    <font>
      <b/>
      <sz val="16"/>
      <name val="Arial Cyr"/>
      <charset val="204"/>
    </font>
    <font>
      <b/>
      <sz val="14"/>
      <name val="Arial Cyr"/>
      <charset val="204"/>
    </font>
    <font>
      <b/>
      <sz val="10"/>
      <name val="Arial Cyr"/>
      <charset val="204"/>
    </font>
    <font>
      <sz val="9"/>
      <name val="Arial Cyr"/>
      <charset val="204"/>
    </font>
    <font>
      <sz val="8"/>
      <name val="Arial Cyr"/>
      <charset val="204"/>
    </font>
    <font>
      <i/>
      <sz val="10"/>
      <name val="Arial Cyr"/>
      <charset val="204"/>
    </font>
    <font>
      <sz val="10"/>
      <color rgb="FF002060"/>
      <name val="Arial Cyr"/>
      <charset val="204"/>
    </font>
    <font>
      <sz val="10"/>
      <name val="Arial Cyr"/>
      <charset val="204"/>
    </font>
    <font>
      <sz val="10"/>
      <color indexed="10"/>
      <name val="Arial Cyr"/>
      <charset val="204"/>
    </font>
    <font>
      <sz val="10"/>
      <color indexed="60"/>
      <name val="Arial Cyr"/>
      <charset val="204"/>
    </font>
    <font>
      <sz val="10"/>
      <color theme="9" tint="-0.249977111117893"/>
      <name val="Arial Cyr"/>
      <charset val="204"/>
    </font>
    <font>
      <i/>
      <sz val="9"/>
      <name val="Arial Cyr"/>
      <charset val="204"/>
    </font>
    <font>
      <sz val="10"/>
      <name val="Arial Cyr"/>
      <family val="2"/>
      <charset val="204"/>
    </font>
    <font>
      <sz val="10"/>
      <color rgb="FFFF0000"/>
      <name val="Arial Cyr"/>
      <charset val="204"/>
    </font>
    <font>
      <b/>
      <sz val="10"/>
      <color rgb="FFFF0000"/>
      <name val="Arial Cyr"/>
      <charset val="204"/>
    </font>
    <font>
      <sz val="10"/>
      <color rgb="FF002060"/>
      <name val="Arial Cyr"/>
      <family val="2"/>
      <charset val="204"/>
    </font>
    <font>
      <sz val="9"/>
      <name val="Arial Cyr"/>
      <family val="2"/>
      <charset val="204"/>
    </font>
    <font>
      <sz val="10"/>
      <color indexed="10"/>
      <name val="Arial Cyr"/>
      <family val="2"/>
      <charset val="204"/>
    </font>
    <font>
      <b/>
      <sz val="10"/>
      <name val="Arial Cyr"/>
      <family val="2"/>
      <charset val="204"/>
    </font>
    <font>
      <sz val="12"/>
      <name val="Arial Cyr"/>
      <family val="2"/>
      <charset val="204"/>
    </font>
    <font>
      <sz val="18"/>
      <name val="Times New Roman"/>
      <family val="1"/>
      <charset val="204"/>
    </font>
    <font>
      <sz val="18"/>
      <color theme="1"/>
      <name val="Calibri"/>
      <family val="2"/>
      <charset val="204"/>
      <scheme val="minor"/>
    </font>
    <font>
      <sz val="11"/>
      <name val="Calibri"/>
      <family val="2"/>
      <charset val="204"/>
      <scheme val="minor"/>
    </font>
    <font>
      <b/>
      <i/>
      <sz val="10"/>
      <name val="Arial Cyr"/>
      <charset val="204"/>
    </font>
    <font>
      <sz val="14"/>
      <name val="Times New Roman"/>
      <family val="1"/>
      <charset val="204"/>
    </font>
  </fonts>
  <fills count="5">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indexed="10"/>
        <bgColor indexed="64"/>
      </patternFill>
    </fill>
  </fills>
  <borders count="16">
    <border>
      <left/>
      <right/>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64"/>
      </bottom>
      <diagonal/>
    </border>
    <border>
      <left/>
      <right style="thin">
        <color indexed="9"/>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9"/>
      </right>
      <top/>
      <bottom/>
      <diagonal/>
    </border>
  </borders>
  <cellStyleXfs count="1">
    <xf numFmtId="0" fontId="0" fillId="0" borderId="0"/>
  </cellStyleXfs>
  <cellXfs count="198">
    <xf numFmtId="0" fontId="0" fillId="0" borderId="0" xfId="0"/>
    <xf numFmtId="0" fontId="0" fillId="0" borderId="0" xfId="0" applyFont="1"/>
    <xf numFmtId="49" fontId="0" fillId="0" borderId="1" xfId="0" applyNumberFormat="1" applyFont="1" applyBorder="1"/>
    <xf numFmtId="0" fontId="0" fillId="0" borderId="1" xfId="0" applyFont="1" applyBorder="1"/>
    <xf numFmtId="0" fontId="1" fillId="0" borderId="2" xfId="0" applyFont="1" applyBorder="1" applyAlignment="1">
      <alignment horizontal="left" wrapText="1"/>
    </xf>
    <xf numFmtId="0" fontId="1" fillId="0" borderId="3" xfId="0" applyFont="1" applyBorder="1" applyAlignment="1">
      <alignment horizontal="left" wrapText="1"/>
    </xf>
    <xf numFmtId="49" fontId="0" fillId="0" borderId="5" xfId="0" applyNumberFormat="1" applyFont="1" applyBorder="1"/>
    <xf numFmtId="0" fontId="0" fillId="0" borderId="5" xfId="0" applyFont="1" applyBorder="1"/>
    <xf numFmtId="0" fontId="3" fillId="0" borderId="5" xfId="0" applyFont="1" applyBorder="1"/>
    <xf numFmtId="0" fontId="4" fillId="0" borderId="5" xfId="0" applyFont="1" applyBorder="1"/>
    <xf numFmtId="0" fontId="0" fillId="0" borderId="9" xfId="0" applyBorder="1" applyAlignment="1">
      <alignment horizontal="center" vertical="center" wrapText="1"/>
    </xf>
    <xf numFmtId="0" fontId="0" fillId="0" borderId="13" xfId="0" applyBorder="1" applyAlignment="1">
      <alignment horizontal="center" vertical="center" wrapText="1"/>
    </xf>
    <xf numFmtId="49" fontId="0" fillId="0" borderId="14" xfId="0" applyNumberFormat="1" applyFont="1" applyBorder="1" applyAlignment="1">
      <alignment horizontal="center"/>
    </xf>
    <xf numFmtId="0" fontId="0" fillId="0" borderId="14" xfId="0" applyFont="1" applyBorder="1" applyAlignment="1">
      <alignment horizontal="center"/>
    </xf>
    <xf numFmtId="49" fontId="0" fillId="2" borderId="14" xfId="0" applyNumberFormat="1" applyFill="1" applyBorder="1" applyAlignment="1">
      <alignment horizontal="center"/>
    </xf>
    <xf numFmtId="0" fontId="0" fillId="2" borderId="14" xfId="0" applyFill="1" applyBorder="1" applyAlignment="1">
      <alignment wrapText="1"/>
    </xf>
    <xf numFmtId="1" fontId="0" fillId="2" borderId="14" xfId="0" applyNumberFormat="1" applyFont="1" applyFill="1" applyBorder="1" applyAlignment="1">
      <alignment horizontal="right"/>
    </xf>
    <xf numFmtId="0" fontId="0" fillId="2" borderId="0" xfId="0" applyFont="1" applyFill="1"/>
    <xf numFmtId="49" fontId="0" fillId="0" borderId="14" xfId="0" applyNumberFormat="1" applyFill="1" applyBorder="1" applyAlignment="1">
      <alignment horizontal="center"/>
    </xf>
    <xf numFmtId="0" fontId="0" fillId="0" borderId="14" xfId="0" applyFill="1" applyBorder="1" applyAlignment="1">
      <alignment horizontal="left" wrapText="1"/>
    </xf>
    <xf numFmtId="1" fontId="0" fillId="0" borderId="14" xfId="0" applyNumberFormat="1" applyFont="1" applyFill="1" applyBorder="1" applyAlignment="1">
      <alignment horizontal="right"/>
    </xf>
    <xf numFmtId="0" fontId="0" fillId="0" borderId="0" xfId="0" applyFont="1" applyFill="1"/>
    <xf numFmtId="49" fontId="8" fillId="0" borderId="14" xfId="0" applyNumberFormat="1" applyFont="1" applyFill="1" applyBorder="1" applyAlignment="1">
      <alignment horizontal="center"/>
    </xf>
    <xf numFmtId="0" fontId="8" fillId="0" borderId="14" xfId="0" applyFont="1" applyFill="1" applyBorder="1" applyAlignment="1">
      <alignment horizontal="left" wrapText="1"/>
    </xf>
    <xf numFmtId="1" fontId="8" fillId="0" borderId="14" xfId="0" applyNumberFormat="1" applyFont="1" applyFill="1" applyBorder="1" applyAlignment="1">
      <alignment horizontal="right"/>
    </xf>
    <xf numFmtId="49" fontId="0" fillId="0" borderId="14" xfId="0" applyNumberFormat="1" applyBorder="1" applyAlignment="1">
      <alignment horizontal="center"/>
    </xf>
    <xf numFmtId="0" fontId="0" fillId="0" borderId="14" xfId="0" applyBorder="1" applyAlignment="1">
      <alignment horizontal="left" wrapText="1"/>
    </xf>
    <xf numFmtId="1" fontId="0" fillId="0" borderId="14" xfId="0" applyNumberFormat="1" applyFont="1" applyBorder="1" applyAlignment="1">
      <alignment horizontal="right"/>
    </xf>
    <xf numFmtId="49" fontId="8" fillId="0" borderId="14" xfId="0" applyNumberFormat="1" applyFont="1" applyBorder="1" applyAlignment="1">
      <alignment horizontal="center"/>
    </xf>
    <xf numFmtId="0" fontId="8" fillId="0" borderId="14" xfId="0" applyFont="1" applyBorder="1" applyAlignment="1">
      <alignment horizontal="left" wrapText="1"/>
    </xf>
    <xf numFmtId="1" fontId="8" fillId="0" borderId="14" xfId="0" applyNumberFormat="1" applyFont="1" applyBorder="1" applyAlignment="1">
      <alignment horizontal="right"/>
    </xf>
    <xf numFmtId="0" fontId="0" fillId="0" borderId="14" xfId="0" applyBorder="1" applyAlignment="1">
      <alignment wrapText="1"/>
    </xf>
    <xf numFmtId="0" fontId="9" fillId="0" borderId="14" xfId="0" applyFont="1" applyBorder="1" applyAlignment="1">
      <alignment wrapText="1"/>
    </xf>
    <xf numFmtId="0" fontId="8" fillId="0" borderId="14" xfId="0" applyFont="1" applyBorder="1" applyAlignment="1">
      <alignment wrapText="1"/>
    </xf>
    <xf numFmtId="49" fontId="10" fillId="0" borderId="14" xfId="0" applyNumberFormat="1" applyFont="1" applyFill="1" applyBorder="1" applyAlignment="1">
      <alignment horizontal="center"/>
    </xf>
    <xf numFmtId="49" fontId="10" fillId="0" borderId="14" xfId="0" applyNumberFormat="1" applyFont="1" applyBorder="1" applyAlignment="1">
      <alignment horizontal="center"/>
    </xf>
    <xf numFmtId="0" fontId="10" fillId="0" borderId="14" xfId="0" applyFont="1" applyBorder="1" applyAlignment="1">
      <alignment wrapText="1"/>
    </xf>
    <xf numFmtId="1" fontId="10" fillId="0" borderId="14" xfId="0" applyNumberFormat="1" applyFont="1" applyBorder="1" applyAlignment="1">
      <alignment horizontal="right"/>
    </xf>
    <xf numFmtId="49" fontId="0" fillId="0" borderId="14" xfId="0" applyNumberFormat="1" applyFont="1" applyFill="1" applyBorder="1" applyAlignment="1">
      <alignment horizontal="center"/>
    </xf>
    <xf numFmtId="0" fontId="0" fillId="0" borderId="14" xfId="0" applyFill="1" applyBorder="1" applyAlignment="1">
      <alignment wrapText="1"/>
    </xf>
    <xf numFmtId="1" fontId="11" fillId="0" borderId="14" xfId="0" applyNumberFormat="1" applyFont="1" applyBorder="1" applyAlignment="1">
      <alignment horizontal="right"/>
    </xf>
    <xf numFmtId="0" fontId="11" fillId="0" borderId="0" xfId="0" applyFont="1"/>
    <xf numFmtId="0" fontId="12" fillId="0" borderId="14" xfId="0" applyFont="1" applyBorder="1" applyAlignment="1">
      <alignment wrapText="1"/>
    </xf>
    <xf numFmtId="1" fontId="9" fillId="0" borderId="14" xfId="0" applyNumberFormat="1" applyFont="1" applyBorder="1" applyAlignment="1">
      <alignment horizontal="right"/>
    </xf>
    <xf numFmtId="49" fontId="0" fillId="3" borderId="14" xfId="0" applyNumberFormat="1" applyFont="1" applyFill="1" applyBorder="1" applyAlignment="1">
      <alignment horizontal="center"/>
    </xf>
    <xf numFmtId="49" fontId="0" fillId="3" borderId="14" xfId="0" applyNumberFormat="1" applyFill="1" applyBorder="1" applyAlignment="1">
      <alignment horizontal="center"/>
    </xf>
    <xf numFmtId="0" fontId="0" fillId="3" borderId="14" xfId="0" applyFill="1" applyBorder="1" applyAlignment="1">
      <alignment wrapText="1"/>
    </xf>
    <xf numFmtId="1" fontId="0" fillId="3" borderId="14" xfId="0" applyNumberFormat="1" applyFont="1" applyFill="1" applyBorder="1" applyAlignment="1">
      <alignment horizontal="right"/>
    </xf>
    <xf numFmtId="0" fontId="0" fillId="3" borderId="0" xfId="0" applyFont="1" applyFill="1"/>
    <xf numFmtId="0" fontId="12" fillId="3" borderId="14" xfId="0" applyFont="1" applyFill="1" applyBorder="1" applyAlignment="1">
      <alignment wrapText="1"/>
    </xf>
    <xf numFmtId="1" fontId="0" fillId="2" borderId="14" xfId="0" applyNumberFormat="1" applyFont="1" applyFill="1" applyBorder="1"/>
    <xf numFmtId="1" fontId="0" fillId="2" borderId="0" xfId="0" applyNumberFormat="1" applyFont="1" applyFill="1"/>
    <xf numFmtId="1" fontId="0" fillId="0" borderId="0" xfId="0" applyNumberFormat="1" applyFont="1"/>
    <xf numFmtId="49" fontId="7" fillId="0" borderId="14" xfId="0" applyNumberFormat="1" applyFont="1" applyBorder="1" applyAlignment="1">
      <alignment horizontal="center"/>
    </xf>
    <xf numFmtId="0" fontId="13" fillId="0" borderId="14" xfId="0" applyFont="1" applyBorder="1" applyAlignment="1">
      <alignment horizontal="left" wrapText="1"/>
    </xf>
    <xf numFmtId="1" fontId="7" fillId="0" borderId="14" xfId="0" applyNumberFormat="1" applyFont="1" applyBorder="1" applyAlignment="1">
      <alignment horizontal="right"/>
    </xf>
    <xf numFmtId="0" fontId="7" fillId="0" borderId="0" xfId="0" applyFont="1"/>
    <xf numFmtId="1" fontId="7" fillId="0" borderId="14" xfId="0" applyNumberFormat="1" applyFont="1" applyBorder="1" applyAlignment="1">
      <alignment horizontal="center"/>
    </xf>
    <xf numFmtId="49" fontId="14" fillId="0" borderId="14" xfId="0" applyNumberFormat="1" applyFont="1" applyBorder="1" applyAlignment="1">
      <alignment horizontal="center"/>
    </xf>
    <xf numFmtId="0" fontId="14" fillId="0" borderId="14" xfId="0" applyFont="1" applyBorder="1" applyAlignment="1">
      <alignment horizontal="left" wrapText="1"/>
    </xf>
    <xf numFmtId="1" fontId="14" fillId="0" borderId="14" xfId="0" applyNumberFormat="1" applyFont="1" applyFill="1" applyBorder="1" applyAlignment="1">
      <alignment horizontal="right"/>
    </xf>
    <xf numFmtId="0" fontId="14" fillId="0" borderId="0" xfId="0" applyFont="1" applyFill="1"/>
    <xf numFmtId="1" fontId="7" fillId="0" borderId="14" xfId="0" applyNumberFormat="1" applyFont="1" applyFill="1" applyBorder="1" applyAlignment="1">
      <alignment horizontal="right"/>
    </xf>
    <xf numFmtId="0" fontId="7" fillId="0" borderId="0" xfId="0" applyFont="1" applyFill="1"/>
    <xf numFmtId="0" fontId="7" fillId="0" borderId="14" xfId="0" applyFont="1" applyBorder="1" applyAlignment="1">
      <alignment horizontal="left" wrapText="1"/>
    </xf>
    <xf numFmtId="0" fontId="13" fillId="0" borderId="14" xfId="0" applyFont="1" applyBorder="1" applyAlignment="1">
      <alignment wrapText="1"/>
    </xf>
    <xf numFmtId="0" fontId="7" fillId="2" borderId="0" xfId="0" applyFont="1" applyFill="1"/>
    <xf numFmtId="0" fontId="10" fillId="0" borderId="14" xfId="0" applyFont="1" applyFill="1" applyBorder="1" applyAlignment="1">
      <alignment wrapText="1"/>
    </xf>
    <xf numFmtId="49" fontId="15" fillId="0" borderId="14" xfId="0" applyNumberFormat="1" applyFont="1" applyFill="1" applyBorder="1" applyAlignment="1">
      <alignment horizontal="center"/>
    </xf>
    <xf numFmtId="0" fontId="15" fillId="0" borderId="14" xfId="0" applyFont="1" applyFill="1" applyBorder="1" applyAlignment="1">
      <alignment wrapText="1"/>
    </xf>
    <xf numFmtId="1" fontId="15" fillId="0" borderId="14" xfId="0" applyNumberFormat="1" applyFont="1" applyBorder="1" applyAlignment="1">
      <alignment horizontal="right"/>
    </xf>
    <xf numFmtId="0" fontId="8" fillId="0" borderId="14" xfId="0" applyFont="1" applyFill="1" applyBorder="1" applyAlignment="1">
      <alignment wrapText="1"/>
    </xf>
    <xf numFmtId="0" fontId="14" fillId="0" borderId="14" xfId="0" applyFont="1" applyFill="1" applyBorder="1" applyAlignment="1">
      <alignment horizontal="left" wrapText="1"/>
    </xf>
    <xf numFmtId="0" fontId="16" fillId="0" borderId="14" xfId="0" applyFont="1" applyBorder="1" applyAlignment="1">
      <alignment wrapText="1"/>
    </xf>
    <xf numFmtId="0" fontId="0" fillId="0" borderId="14" xfId="0" applyFont="1" applyBorder="1" applyAlignment="1">
      <alignment wrapText="1"/>
    </xf>
    <xf numFmtId="0" fontId="0" fillId="0" borderId="14" xfId="0" applyFont="1" applyBorder="1" applyAlignment="1">
      <alignment horizontal="left" wrapText="1"/>
    </xf>
    <xf numFmtId="49" fontId="17" fillId="0" borderId="14" xfId="0" applyNumberFormat="1" applyFont="1" applyFill="1" applyBorder="1" applyAlignment="1">
      <alignment horizontal="center"/>
    </xf>
    <xf numFmtId="49" fontId="17" fillId="0" borderId="14" xfId="0" applyNumberFormat="1" applyFont="1" applyBorder="1" applyAlignment="1">
      <alignment horizontal="center"/>
    </xf>
    <xf numFmtId="0" fontId="17" fillId="0" borderId="14" xfId="0" applyFont="1" applyBorder="1" applyAlignment="1">
      <alignment horizontal="left" wrapText="1"/>
    </xf>
    <xf numFmtId="1" fontId="17" fillId="0" borderId="14" xfId="0" applyNumberFormat="1" applyFont="1" applyBorder="1" applyAlignment="1">
      <alignment horizontal="right"/>
    </xf>
    <xf numFmtId="49" fontId="14" fillId="0" borderId="14" xfId="0" applyNumberFormat="1" applyFont="1" applyFill="1" applyBorder="1" applyAlignment="1">
      <alignment horizontal="center"/>
    </xf>
    <xf numFmtId="0" fontId="14" fillId="0" borderId="14" xfId="0" applyFont="1" applyFill="1" applyBorder="1" applyAlignment="1">
      <alignment wrapText="1"/>
    </xf>
    <xf numFmtId="49" fontId="7" fillId="0" borderId="14" xfId="0" applyNumberFormat="1" applyFont="1" applyFill="1" applyBorder="1" applyAlignment="1">
      <alignment horizontal="center"/>
    </xf>
    <xf numFmtId="49" fontId="7" fillId="0" borderId="8" xfId="0" applyNumberFormat="1" applyFont="1" applyFill="1" applyBorder="1" applyAlignment="1">
      <alignment horizontal="center"/>
    </xf>
    <xf numFmtId="0" fontId="13" fillId="0" borderId="8" xfId="0" applyFont="1" applyFill="1" applyBorder="1" applyAlignment="1">
      <alignment wrapText="1"/>
    </xf>
    <xf numFmtId="1" fontId="7" fillId="0" borderId="8" xfId="0" applyNumberFormat="1" applyFont="1" applyFill="1" applyBorder="1" applyAlignment="1">
      <alignment horizontal="right"/>
    </xf>
    <xf numFmtId="0" fontId="17" fillId="0" borderId="14" xfId="0" applyFont="1" applyFill="1" applyBorder="1" applyAlignment="1">
      <alignment wrapText="1"/>
    </xf>
    <xf numFmtId="1" fontId="17" fillId="0" borderId="14" xfId="0" applyNumberFormat="1" applyFont="1" applyFill="1" applyBorder="1" applyAlignment="1">
      <alignment horizontal="right"/>
    </xf>
    <xf numFmtId="0" fontId="18" fillId="0" borderId="14" xfId="0" applyFont="1" applyFill="1" applyBorder="1" applyAlignment="1">
      <alignment wrapText="1"/>
    </xf>
    <xf numFmtId="49" fontId="14" fillId="0" borderId="8" xfId="0" applyNumberFormat="1" applyFont="1" applyFill="1" applyBorder="1" applyAlignment="1">
      <alignment horizontal="center"/>
    </xf>
    <xf numFmtId="0" fontId="18" fillId="0" borderId="8" xfId="0" applyFont="1" applyFill="1" applyBorder="1" applyAlignment="1">
      <alignment horizontal="left" wrapText="1"/>
    </xf>
    <xf numFmtId="1" fontId="14" fillId="0" borderId="8" xfId="0" applyNumberFormat="1" applyFont="1" applyFill="1" applyBorder="1" applyAlignment="1">
      <alignment horizontal="right"/>
    </xf>
    <xf numFmtId="49" fontId="14" fillId="0" borderId="13" xfId="0" applyNumberFormat="1" applyFont="1" applyFill="1" applyBorder="1" applyAlignment="1">
      <alignment horizontal="center"/>
    </xf>
    <xf numFmtId="0" fontId="18" fillId="0" borderId="13" xfId="0" applyNumberFormat="1" applyFont="1" applyFill="1" applyBorder="1" applyAlignment="1">
      <alignment horizontal="left" wrapText="1"/>
    </xf>
    <xf numFmtId="1" fontId="14" fillId="0" borderId="13" xfId="0" applyNumberFormat="1" applyFont="1" applyFill="1" applyBorder="1" applyAlignment="1">
      <alignment horizontal="right"/>
    </xf>
    <xf numFmtId="0" fontId="18" fillId="0" borderId="14" xfId="0" applyFont="1" applyFill="1" applyBorder="1" applyAlignment="1">
      <alignment horizontal="left" wrapText="1"/>
    </xf>
    <xf numFmtId="1" fontId="14" fillId="0" borderId="14" xfId="0" applyNumberFormat="1" applyFont="1" applyFill="1" applyBorder="1" applyAlignment="1">
      <alignment horizontal="left" wrapText="1"/>
    </xf>
    <xf numFmtId="0" fontId="17" fillId="0" borderId="14" xfId="0" applyFont="1" applyFill="1" applyBorder="1" applyAlignment="1">
      <alignment horizontal="left" wrapText="1"/>
    </xf>
    <xf numFmtId="1" fontId="0" fillId="0" borderId="8" xfId="0" applyNumberFormat="1" applyFont="1" applyFill="1" applyBorder="1" applyAlignment="1">
      <alignment horizontal="right"/>
    </xf>
    <xf numFmtId="1" fontId="0" fillId="0" borderId="13" xfId="0" applyNumberFormat="1" applyFont="1" applyFill="1" applyBorder="1" applyAlignment="1">
      <alignment horizontal="right"/>
    </xf>
    <xf numFmtId="0" fontId="17" fillId="0" borderId="14" xfId="0" applyFont="1" applyBorder="1" applyAlignment="1">
      <alignment wrapText="1"/>
    </xf>
    <xf numFmtId="49" fontId="19" fillId="0" borderId="14" xfId="0" applyNumberFormat="1" applyFont="1" applyFill="1" applyBorder="1" applyAlignment="1">
      <alignment horizontal="center"/>
    </xf>
    <xf numFmtId="49" fontId="19" fillId="0" borderId="14" xfId="0" applyNumberFormat="1" applyFont="1" applyBorder="1" applyAlignment="1">
      <alignment horizontal="center"/>
    </xf>
    <xf numFmtId="0" fontId="19" fillId="0" borderId="14" xfId="0" applyFont="1" applyFill="1" applyBorder="1" applyAlignment="1">
      <alignment horizontal="left" wrapText="1"/>
    </xf>
    <xf numFmtId="1" fontId="19" fillId="0" borderId="14" xfId="0" applyNumberFormat="1" applyFont="1" applyFill="1" applyBorder="1" applyAlignment="1">
      <alignment horizontal="right"/>
    </xf>
    <xf numFmtId="2" fontId="0" fillId="0" borderId="14" xfId="0" applyNumberFormat="1" applyFont="1" applyFill="1" applyBorder="1" applyAlignment="1">
      <alignment horizontal="right"/>
    </xf>
    <xf numFmtId="2" fontId="17" fillId="0" borderId="14" xfId="0" applyNumberFormat="1" applyFont="1" applyFill="1" applyBorder="1" applyAlignment="1">
      <alignment horizontal="right"/>
    </xf>
    <xf numFmtId="49" fontId="14" fillId="2" borderId="14" xfId="0" applyNumberFormat="1" applyFont="1" applyFill="1" applyBorder="1" applyAlignment="1">
      <alignment horizontal="center"/>
    </xf>
    <xf numFmtId="0" fontId="14" fillId="2" borderId="14" xfId="0" applyFont="1" applyFill="1" applyBorder="1" applyAlignment="1">
      <alignment horizontal="left" wrapText="1"/>
    </xf>
    <xf numFmtId="1" fontId="14" fillId="2" borderId="14" xfId="0" applyNumberFormat="1" applyFont="1" applyFill="1" applyBorder="1" applyAlignment="1">
      <alignment horizontal="right"/>
    </xf>
    <xf numFmtId="0" fontId="0" fillId="0" borderId="14" xfId="0" applyFill="1" applyBorder="1" applyAlignment="1">
      <alignment horizontal="justify" wrapText="1"/>
    </xf>
    <xf numFmtId="0" fontId="8" fillId="0" borderId="14" xfId="0" applyFont="1" applyFill="1" applyBorder="1" applyAlignment="1">
      <alignment horizontal="justify" wrapText="1"/>
    </xf>
    <xf numFmtId="1" fontId="4" fillId="0" borderId="14" xfId="0" applyNumberFormat="1" applyFont="1" applyBorder="1" applyAlignment="1">
      <alignment horizontal="right"/>
    </xf>
    <xf numFmtId="0" fontId="9" fillId="2" borderId="14" xfId="0" applyFont="1" applyFill="1" applyBorder="1" applyAlignment="1">
      <alignment wrapText="1"/>
    </xf>
    <xf numFmtId="1" fontId="0" fillId="0" borderId="14" xfId="0" applyNumberFormat="1" applyFont="1" applyBorder="1"/>
    <xf numFmtId="49" fontId="9" fillId="0" borderId="14" xfId="0" applyNumberFormat="1" applyFont="1" applyBorder="1" applyAlignment="1">
      <alignment horizontal="center"/>
    </xf>
    <xf numFmtId="49" fontId="9" fillId="2" borderId="14" xfId="0" applyNumberFormat="1" applyFont="1" applyFill="1" applyBorder="1" applyAlignment="1">
      <alignment horizontal="center"/>
    </xf>
    <xf numFmtId="1" fontId="0" fillId="2" borderId="14" xfId="0" applyNumberFormat="1" applyFill="1" applyBorder="1" applyAlignment="1">
      <alignment wrapText="1"/>
    </xf>
    <xf numFmtId="0" fontId="0" fillId="4" borderId="0" xfId="0" applyFont="1" applyFill="1"/>
    <xf numFmtId="0" fontId="10" fillId="0" borderId="14" xfId="0" applyFont="1" applyFill="1" applyBorder="1" applyAlignment="1">
      <alignment horizontal="left" wrapText="1"/>
    </xf>
    <xf numFmtId="49" fontId="15" fillId="0" borderId="14" xfId="0" applyNumberFormat="1" applyFont="1" applyBorder="1" applyAlignment="1">
      <alignment horizontal="center"/>
    </xf>
    <xf numFmtId="0" fontId="15" fillId="0" borderId="14" xfId="0" applyFont="1" applyBorder="1" applyAlignment="1">
      <alignment wrapText="1"/>
    </xf>
    <xf numFmtId="0" fontId="10" fillId="0" borderId="14" xfId="0" applyFont="1" applyBorder="1" applyAlignment="1">
      <alignment horizontal="left" wrapText="1"/>
    </xf>
    <xf numFmtId="0" fontId="0" fillId="2" borderId="14" xfId="0" applyFill="1" applyBorder="1" applyAlignment="1">
      <alignment horizontal="left" wrapText="1"/>
    </xf>
    <xf numFmtId="0" fontId="15" fillId="0" borderId="14" xfId="0" applyFont="1" applyFill="1" applyBorder="1" applyAlignment="1">
      <alignment horizontal="left" wrapText="1"/>
    </xf>
    <xf numFmtId="0" fontId="15" fillId="0" borderId="14" xfId="0" applyFont="1" applyBorder="1" applyAlignment="1">
      <alignment horizontal="left" wrapText="1"/>
    </xf>
    <xf numFmtId="0" fontId="19" fillId="0" borderId="14" xfId="0" applyFont="1" applyBorder="1" applyAlignment="1">
      <alignment wrapText="1"/>
    </xf>
    <xf numFmtId="0" fontId="9" fillId="2" borderId="14" xfId="0" applyFont="1" applyFill="1" applyBorder="1" applyAlignment="1">
      <alignment horizontal="left" wrapText="1"/>
    </xf>
    <xf numFmtId="1" fontId="9" fillId="2" borderId="14" xfId="0" applyNumberFormat="1" applyFont="1" applyFill="1" applyBorder="1" applyAlignment="1">
      <alignment horizontal="right"/>
    </xf>
    <xf numFmtId="1" fontId="9" fillId="2" borderId="14" xfId="0" applyNumberFormat="1" applyFont="1" applyFill="1" applyBorder="1"/>
    <xf numFmtId="49" fontId="9" fillId="0" borderId="14" xfId="0" applyNumberFormat="1" applyFont="1" applyFill="1" applyBorder="1" applyAlignment="1">
      <alignment horizontal="center"/>
    </xf>
    <xf numFmtId="0" fontId="9" fillId="0" borderId="14" xfId="0" applyFont="1" applyFill="1" applyBorder="1" applyAlignment="1">
      <alignment horizontal="left" wrapText="1"/>
    </xf>
    <xf numFmtId="1" fontId="9" fillId="0" borderId="14" xfId="0" applyNumberFormat="1" applyFont="1" applyFill="1" applyBorder="1" applyAlignment="1">
      <alignment horizontal="right"/>
    </xf>
    <xf numFmtId="0" fontId="11" fillId="2" borderId="0" xfId="0" applyFont="1" applyFill="1"/>
    <xf numFmtId="0" fontId="11" fillId="0" borderId="0" xfId="0" applyFont="1" applyFill="1"/>
    <xf numFmtId="49" fontId="16" fillId="0" borderId="14" xfId="0" applyNumberFormat="1" applyFont="1" applyBorder="1" applyAlignment="1">
      <alignment horizontal="center"/>
    </xf>
    <xf numFmtId="1" fontId="14" fillId="2" borderId="14" xfId="0" applyNumberFormat="1" applyFont="1" applyFill="1" applyBorder="1"/>
    <xf numFmtId="0" fontId="14" fillId="2" borderId="0" xfId="0" applyFont="1" applyFill="1"/>
    <xf numFmtId="49" fontId="14" fillId="2" borderId="14" xfId="0" applyNumberFormat="1" applyFont="1" applyFill="1" applyBorder="1" applyAlignment="1">
      <alignment horizontal="center" wrapText="1"/>
    </xf>
    <xf numFmtId="1" fontId="14" fillId="2" borderId="14" xfId="0" applyNumberFormat="1" applyFont="1" applyFill="1" applyBorder="1" applyAlignment="1">
      <alignment horizontal="right" wrapText="1"/>
    </xf>
    <xf numFmtId="164" fontId="14" fillId="2" borderId="0" xfId="0" applyNumberFormat="1" applyFont="1" applyFill="1"/>
    <xf numFmtId="49" fontId="14" fillId="0" borderId="14" xfId="0" applyNumberFormat="1" applyFont="1" applyFill="1" applyBorder="1" applyAlignment="1">
      <alignment horizontal="center" wrapText="1"/>
    </xf>
    <xf numFmtId="1" fontId="14" fillId="0" borderId="14" xfId="0" applyNumberFormat="1" applyFont="1" applyFill="1" applyBorder="1" applyAlignment="1">
      <alignment horizontal="right" wrapText="1"/>
    </xf>
    <xf numFmtId="164" fontId="14" fillId="0" borderId="0" xfId="0" applyNumberFormat="1" applyFont="1" applyFill="1"/>
    <xf numFmtId="49" fontId="17" fillId="0" borderId="14" xfId="0" applyNumberFormat="1" applyFont="1" applyFill="1" applyBorder="1" applyAlignment="1">
      <alignment horizontal="center" wrapText="1"/>
    </xf>
    <xf numFmtId="1" fontId="17" fillId="0" borderId="14" xfId="0" applyNumberFormat="1" applyFont="1" applyFill="1" applyBorder="1" applyAlignment="1">
      <alignment horizontal="right" wrapText="1"/>
    </xf>
    <xf numFmtId="164" fontId="14" fillId="0" borderId="0" xfId="0" applyNumberFormat="1" applyFont="1"/>
    <xf numFmtId="0" fontId="14" fillId="0" borderId="0" xfId="0" applyFont="1"/>
    <xf numFmtId="0" fontId="9" fillId="0" borderId="14" xfId="0" applyFont="1" applyBorder="1" applyAlignment="1">
      <alignment horizontal="left" wrapText="1"/>
    </xf>
    <xf numFmtId="1" fontId="19" fillId="0" borderId="14" xfId="0" applyNumberFormat="1" applyFont="1" applyFill="1" applyBorder="1" applyAlignment="1">
      <alignment horizontal="right" wrapText="1"/>
    </xf>
    <xf numFmtId="1" fontId="10" fillId="0" borderId="14" xfId="0" applyNumberFormat="1" applyFont="1" applyFill="1" applyBorder="1" applyAlignment="1">
      <alignment horizontal="right"/>
    </xf>
    <xf numFmtId="1" fontId="10" fillId="0" borderId="14" xfId="0" applyNumberFormat="1" applyFont="1" applyFill="1" applyBorder="1" applyAlignment="1">
      <alignment horizontal="right" wrapText="1"/>
    </xf>
    <xf numFmtId="1" fontId="0" fillId="0" borderId="14" xfId="0" applyNumberFormat="1" applyFont="1" applyFill="1" applyBorder="1"/>
    <xf numFmtId="1" fontId="8" fillId="0" borderId="14" xfId="0" applyNumberFormat="1" applyFont="1" applyFill="1" applyBorder="1"/>
    <xf numFmtId="1" fontId="17" fillId="0" borderId="14" xfId="0" applyNumberFormat="1" applyFont="1" applyFill="1" applyBorder="1"/>
    <xf numFmtId="0" fontId="20" fillId="0" borderId="0" xfId="0" applyFont="1"/>
    <xf numFmtId="1" fontId="14" fillId="0" borderId="14" xfId="0" applyNumberFormat="1" applyFont="1" applyFill="1" applyBorder="1"/>
    <xf numFmtId="1" fontId="14" fillId="0" borderId="14" xfId="0" applyNumberFormat="1" applyFont="1" applyBorder="1"/>
    <xf numFmtId="1" fontId="17" fillId="0" borderId="14" xfId="0" applyNumberFormat="1" applyFont="1" applyBorder="1"/>
    <xf numFmtId="1" fontId="14" fillId="0" borderId="14" xfId="0" applyNumberFormat="1" applyFont="1" applyBorder="1" applyAlignment="1">
      <alignment horizontal="right"/>
    </xf>
    <xf numFmtId="0" fontId="14" fillId="0" borderId="14" xfId="0" applyFont="1" applyBorder="1" applyAlignment="1">
      <alignment wrapText="1"/>
    </xf>
    <xf numFmtId="0" fontId="21" fillId="2" borderId="14" xfId="0" applyFont="1" applyFill="1" applyBorder="1" applyAlignment="1">
      <alignment horizontal="left" wrapText="1"/>
    </xf>
    <xf numFmtId="49" fontId="0" fillId="0" borderId="0" xfId="0" applyNumberFormat="1" applyFont="1"/>
    <xf numFmtId="0" fontId="22" fillId="0" borderId="1" xfId="0" applyFont="1" applyBorder="1" applyAlignment="1">
      <alignment horizontal="left"/>
    </xf>
    <xf numFmtId="0" fontId="23" fillId="0" borderId="0" xfId="0" applyFont="1"/>
    <xf numFmtId="0" fontId="22" fillId="0" borderId="0" xfId="0" applyFont="1" applyBorder="1" applyAlignment="1">
      <alignment horizontal="left"/>
    </xf>
    <xf numFmtId="0" fontId="22" fillId="0" borderId="0" xfId="0" applyFont="1" applyAlignment="1">
      <alignment horizontal="left"/>
    </xf>
    <xf numFmtId="1" fontId="24" fillId="0" borderId="14" xfId="0" applyNumberFormat="1" applyFont="1" applyBorder="1" applyAlignment="1">
      <alignment horizontal="right"/>
    </xf>
    <xf numFmtId="0" fontId="24" fillId="0" borderId="0" xfId="0" applyFont="1"/>
    <xf numFmtId="1" fontId="24" fillId="0" borderId="0" xfId="0" applyNumberFormat="1" applyFont="1"/>
    <xf numFmtId="0" fontId="25" fillId="0" borderId="14" xfId="0" applyFont="1" applyBorder="1" applyAlignment="1">
      <alignment horizontal="left" wrapText="1"/>
    </xf>
    <xf numFmtId="0" fontId="0" fillId="0" borderId="6" xfId="0" applyFill="1" applyBorder="1" applyAlignment="1">
      <alignment horizontal="center"/>
    </xf>
    <xf numFmtId="0" fontId="0" fillId="0" borderId="7" xfId="0" applyFill="1" applyBorder="1" applyAlignment="1">
      <alignment horizontal="center"/>
    </xf>
    <xf numFmtId="0" fontId="1" fillId="0" borderId="2" xfId="0" applyFont="1" applyBorder="1" applyAlignment="1">
      <alignment horizontal="left" wrapText="1"/>
    </xf>
    <xf numFmtId="0" fontId="1" fillId="0" borderId="3" xfId="0" applyFont="1" applyBorder="1" applyAlignment="1">
      <alignment horizontal="left" wrapText="1"/>
    </xf>
    <xf numFmtId="0" fontId="2" fillId="0" borderId="4" xfId="0" applyFont="1" applyBorder="1" applyAlignment="1">
      <alignment horizontal="center"/>
    </xf>
    <xf numFmtId="0" fontId="2" fillId="0" borderId="3" xfId="0" applyFont="1" applyBorder="1" applyAlignment="1">
      <alignment horizontal="center"/>
    </xf>
    <xf numFmtId="0" fontId="26" fillId="0" borderId="0" xfId="0" applyFont="1" applyBorder="1" applyAlignment="1">
      <alignment horizontal="center" wrapText="1"/>
    </xf>
    <xf numFmtId="0" fontId="26" fillId="0" borderId="15" xfId="0" applyFont="1" applyBorder="1" applyAlignment="1">
      <alignment horizont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8" xfId="0" applyFont="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7" fillId="0" borderId="8" xfId="0" applyFont="1" applyBorder="1" applyAlignment="1">
      <alignment horizontal="center" vertical="center" wrapText="1"/>
    </xf>
    <xf numFmtId="0" fontId="7" fillId="0" borderId="13" xfId="0" applyFont="1" applyBorder="1" applyAlignment="1">
      <alignment horizontal="center" vertical="center" wrapText="1"/>
    </xf>
    <xf numFmtId="0" fontId="0" fillId="0" borderId="9" xfId="0" applyFont="1" applyBorder="1" applyAlignment="1">
      <alignment horizontal="center" vertical="center"/>
    </xf>
    <xf numFmtId="0" fontId="0" fillId="0" borderId="11" xfId="0" applyFont="1" applyBorder="1" applyAlignment="1">
      <alignment horizontal="center" vertical="center"/>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2:AF622"/>
  <sheetViews>
    <sheetView tabSelected="1" workbookViewId="0">
      <selection activeCell="Q59" sqref="Q59:Q61"/>
    </sheetView>
  </sheetViews>
  <sheetFormatPr defaultRowHeight="15"/>
  <cols>
    <col min="1" max="1" width="10.85546875" style="1" customWidth="1"/>
    <col min="2" max="2" width="11.7109375" style="162" customWidth="1"/>
    <col min="3" max="3" width="9.140625" style="162"/>
    <col min="4" max="4" width="28.5703125" style="1" customWidth="1"/>
    <col min="5" max="5" width="11.7109375" style="1" customWidth="1"/>
    <col min="6" max="6" width="12.85546875" style="1" customWidth="1"/>
    <col min="7" max="7" width="12.42578125" style="1" customWidth="1"/>
    <col min="8" max="8" width="12.85546875" style="1" customWidth="1"/>
    <col min="9" max="9" width="9.140625" style="1"/>
    <col min="10" max="10" width="11.7109375" style="1" customWidth="1"/>
    <col min="11" max="12" width="9.140625" style="1"/>
    <col min="13" max="13" width="11.7109375" style="1" customWidth="1"/>
    <col min="14" max="15" width="9.140625" style="1"/>
    <col min="16" max="16" width="14.7109375" style="1" customWidth="1"/>
    <col min="17" max="17" width="11" style="1" customWidth="1"/>
    <col min="18" max="18" width="11.140625" style="1" customWidth="1"/>
    <col min="19" max="20" width="10" style="1" bestFit="1" customWidth="1"/>
    <col min="21" max="16384" width="9.140625" style="1"/>
  </cols>
  <sheetData>
    <row r="2" spans="1:18" hidden="1"/>
    <row r="3" spans="1:18" ht="23.25">
      <c r="B3" s="2"/>
      <c r="C3" s="2"/>
      <c r="D3" s="3"/>
      <c r="E3" s="3"/>
      <c r="F3" s="3"/>
      <c r="G3" s="3"/>
      <c r="H3" s="3"/>
      <c r="I3" s="3"/>
      <c r="J3" s="173"/>
      <c r="K3" s="174"/>
      <c r="L3" s="163" t="s">
        <v>1058</v>
      </c>
      <c r="M3" s="164"/>
      <c r="N3" s="164"/>
      <c r="O3" s="163"/>
      <c r="P3" s="163"/>
      <c r="Q3" s="164"/>
      <c r="R3" s="164"/>
    </row>
    <row r="4" spans="1:18" ht="23.25">
      <c r="B4" s="2"/>
      <c r="C4" s="2"/>
      <c r="D4" s="3"/>
      <c r="E4" s="3"/>
      <c r="F4" s="3"/>
      <c r="G4" s="3"/>
      <c r="H4" s="3"/>
      <c r="I4" s="3"/>
      <c r="J4" s="173"/>
      <c r="K4" s="174"/>
      <c r="L4" s="163" t="s">
        <v>1055</v>
      </c>
      <c r="M4" s="164"/>
      <c r="N4" s="164"/>
      <c r="O4" s="163"/>
      <c r="P4" s="163"/>
      <c r="Q4" s="164"/>
      <c r="R4" s="164"/>
    </row>
    <row r="5" spans="1:18" ht="23.25">
      <c r="B5" s="2"/>
      <c r="C5" s="2"/>
      <c r="D5" s="3"/>
      <c r="E5" s="3"/>
      <c r="F5" s="3"/>
      <c r="G5" s="3"/>
      <c r="H5" s="3"/>
      <c r="I5" s="3"/>
      <c r="J5" s="4"/>
      <c r="K5" s="5"/>
      <c r="L5" s="165" t="s">
        <v>1056</v>
      </c>
      <c r="M5" s="164"/>
      <c r="N5" s="164"/>
      <c r="O5" s="165"/>
      <c r="P5" s="165"/>
      <c r="Q5" s="164"/>
      <c r="R5" s="164"/>
    </row>
    <row r="6" spans="1:18" ht="23.25">
      <c r="B6" s="2"/>
      <c r="C6" s="2"/>
      <c r="D6" s="3"/>
      <c r="E6" s="3"/>
      <c r="F6" s="3"/>
      <c r="G6" s="3"/>
      <c r="H6" s="3"/>
      <c r="I6" s="3"/>
      <c r="J6" s="173"/>
      <c r="K6" s="174"/>
      <c r="L6" s="166" t="s">
        <v>0</v>
      </c>
      <c r="M6" s="164"/>
      <c r="N6" s="164"/>
      <c r="O6" s="166"/>
      <c r="P6" s="166"/>
      <c r="Q6" s="164"/>
      <c r="R6" s="164"/>
    </row>
    <row r="7" spans="1:18" ht="10.5" customHeight="1">
      <c r="B7" s="175"/>
      <c r="C7" s="175"/>
      <c r="D7" s="175"/>
      <c r="E7" s="175"/>
      <c r="F7" s="175"/>
      <c r="G7" s="175"/>
      <c r="H7" s="175"/>
      <c r="I7" s="175"/>
      <c r="J7" s="175"/>
      <c r="K7" s="175"/>
      <c r="L7" s="175"/>
      <c r="M7" s="175"/>
      <c r="N7" s="175"/>
      <c r="O7" s="175"/>
      <c r="P7" s="176"/>
    </row>
    <row r="8" spans="1:18" ht="36.75" customHeight="1">
      <c r="A8" s="177" t="s">
        <v>1061</v>
      </c>
      <c r="B8" s="177"/>
      <c r="C8" s="177"/>
      <c r="D8" s="177"/>
      <c r="E8" s="177"/>
      <c r="F8" s="177"/>
      <c r="G8" s="177"/>
      <c r="H8" s="177"/>
      <c r="I8" s="177"/>
      <c r="J8" s="177"/>
      <c r="K8" s="177"/>
      <c r="L8" s="177"/>
      <c r="M8" s="177"/>
      <c r="N8" s="177"/>
      <c r="O8" s="177"/>
      <c r="P8" s="178"/>
    </row>
    <row r="9" spans="1:18" ht="9.75" customHeight="1">
      <c r="B9" s="6"/>
      <c r="C9" s="6"/>
      <c r="D9" s="7"/>
      <c r="E9" s="8"/>
      <c r="F9" s="8"/>
      <c r="G9" s="8"/>
      <c r="H9" s="8"/>
      <c r="I9" s="8"/>
      <c r="J9" s="8"/>
      <c r="K9" s="8"/>
      <c r="L9" s="8"/>
      <c r="M9" s="9"/>
      <c r="N9" s="9"/>
      <c r="O9" s="171" t="s">
        <v>1</v>
      </c>
      <c r="P9" s="172"/>
    </row>
    <row r="10" spans="1:18" ht="15" customHeight="1">
      <c r="A10" s="179" t="s">
        <v>2</v>
      </c>
      <c r="B10" s="182" t="s">
        <v>3</v>
      </c>
      <c r="C10" s="182" t="s">
        <v>4</v>
      </c>
      <c r="D10" s="185" t="s">
        <v>5</v>
      </c>
      <c r="E10" s="188" t="s">
        <v>6</v>
      </c>
      <c r="F10" s="189"/>
      <c r="G10" s="189"/>
      <c r="H10" s="189"/>
      <c r="I10" s="190"/>
      <c r="J10" s="188" t="s">
        <v>7</v>
      </c>
      <c r="K10" s="189"/>
      <c r="L10" s="189"/>
      <c r="M10" s="189"/>
      <c r="N10" s="189"/>
      <c r="O10" s="190"/>
      <c r="P10" s="191" t="s">
        <v>8</v>
      </c>
    </row>
    <row r="11" spans="1:18">
      <c r="A11" s="180"/>
      <c r="B11" s="183"/>
      <c r="C11" s="183"/>
      <c r="D11" s="186"/>
      <c r="E11" s="191" t="s">
        <v>9</v>
      </c>
      <c r="F11" s="194" t="s">
        <v>10</v>
      </c>
      <c r="G11" s="196" t="s">
        <v>11</v>
      </c>
      <c r="H11" s="197"/>
      <c r="I11" s="194" t="s">
        <v>12</v>
      </c>
      <c r="J11" s="191" t="s">
        <v>9</v>
      </c>
      <c r="K11" s="194" t="s">
        <v>10</v>
      </c>
      <c r="L11" s="196" t="s">
        <v>11</v>
      </c>
      <c r="M11" s="197"/>
      <c r="N11" s="194" t="s">
        <v>12</v>
      </c>
      <c r="O11" s="10" t="s">
        <v>11</v>
      </c>
      <c r="P11" s="192"/>
    </row>
    <row r="12" spans="1:18" ht="80.25" customHeight="1">
      <c r="A12" s="181"/>
      <c r="B12" s="184"/>
      <c r="C12" s="184"/>
      <c r="D12" s="187"/>
      <c r="E12" s="193"/>
      <c r="F12" s="195"/>
      <c r="G12" s="11" t="s">
        <v>13</v>
      </c>
      <c r="H12" s="11" t="s">
        <v>14</v>
      </c>
      <c r="I12" s="195"/>
      <c r="J12" s="193"/>
      <c r="K12" s="195"/>
      <c r="L12" s="11" t="s">
        <v>13</v>
      </c>
      <c r="M12" s="11" t="s">
        <v>14</v>
      </c>
      <c r="N12" s="195"/>
      <c r="O12" s="11" t="s">
        <v>15</v>
      </c>
      <c r="P12" s="193"/>
    </row>
    <row r="13" spans="1:18">
      <c r="A13" s="12">
        <v>1</v>
      </c>
      <c r="B13" s="13">
        <v>2</v>
      </c>
      <c r="C13" s="13">
        <v>3</v>
      </c>
      <c r="D13" s="13">
        <v>4</v>
      </c>
      <c r="E13" s="13">
        <v>5</v>
      </c>
      <c r="F13" s="13">
        <v>6</v>
      </c>
      <c r="G13" s="13">
        <v>7</v>
      </c>
      <c r="H13" s="13">
        <v>8</v>
      </c>
      <c r="I13" s="13">
        <v>9</v>
      </c>
      <c r="J13" s="13">
        <v>10</v>
      </c>
      <c r="K13" s="13">
        <v>11</v>
      </c>
      <c r="L13" s="13">
        <v>12</v>
      </c>
      <c r="M13" s="13">
        <v>13</v>
      </c>
      <c r="N13" s="13">
        <v>14</v>
      </c>
      <c r="O13" s="13">
        <v>15</v>
      </c>
      <c r="P13" s="13">
        <v>16</v>
      </c>
    </row>
    <row r="14" spans="1:18" s="17" customFormat="1" ht="30.75" hidden="1" customHeight="1">
      <c r="A14" s="14" t="s">
        <v>16</v>
      </c>
      <c r="B14" s="14" t="s">
        <v>17</v>
      </c>
      <c r="C14" s="14"/>
      <c r="D14" s="15" t="s">
        <v>18</v>
      </c>
      <c r="E14" s="16">
        <f t="shared" ref="E14:O14" si="0">E15</f>
        <v>45494291</v>
      </c>
      <c r="F14" s="16">
        <f t="shared" si="0"/>
        <v>45494291</v>
      </c>
      <c r="G14" s="16">
        <f t="shared" si="0"/>
        <v>15887292</v>
      </c>
      <c r="H14" s="16">
        <f t="shared" si="0"/>
        <v>1573640</v>
      </c>
      <c r="I14" s="16">
        <f t="shared" si="0"/>
        <v>0</v>
      </c>
      <c r="J14" s="16">
        <f t="shared" si="0"/>
        <v>35943588</v>
      </c>
      <c r="K14" s="16">
        <f t="shared" si="0"/>
        <v>157367</v>
      </c>
      <c r="L14" s="16">
        <f t="shared" si="0"/>
        <v>0</v>
      </c>
      <c r="M14" s="16">
        <f t="shared" si="0"/>
        <v>0</v>
      </c>
      <c r="N14" s="16">
        <f t="shared" si="0"/>
        <v>35786221</v>
      </c>
      <c r="O14" s="16">
        <f t="shared" si="0"/>
        <v>35786221</v>
      </c>
      <c r="P14" s="16">
        <f>E14+J14</f>
        <v>81437879</v>
      </c>
    </row>
    <row r="15" spans="1:18" s="21" customFormat="1" ht="30" hidden="1">
      <c r="A15" s="18" t="s">
        <v>19</v>
      </c>
      <c r="B15" s="18"/>
      <c r="C15" s="18"/>
      <c r="D15" s="19" t="s">
        <v>18</v>
      </c>
      <c r="E15" s="20">
        <f>F15+I15</f>
        <v>45494291</v>
      </c>
      <c r="F15" s="20">
        <f>F16+F18+F22+F25+F46+F27</f>
        <v>45494291</v>
      </c>
      <c r="G15" s="20">
        <f>G16+G18+G22+G25+G46+G27</f>
        <v>15887292</v>
      </c>
      <c r="H15" s="20">
        <f>H16+H18+H22+H25+H46+H27</f>
        <v>1573640</v>
      </c>
      <c r="I15" s="20">
        <f>I16+I18+I22+I25+I46+I27</f>
        <v>0</v>
      </c>
      <c r="J15" s="20">
        <f>K15+N15</f>
        <v>35943588</v>
      </c>
      <c r="K15" s="20">
        <f>K16+K18+K22+K25+K46+K27</f>
        <v>157367</v>
      </c>
      <c r="L15" s="20">
        <f>L16+L18+L22+L25+L46+L27</f>
        <v>0</v>
      </c>
      <c r="M15" s="20">
        <f>M16+M18+M22+M25+M46+M27</f>
        <v>0</v>
      </c>
      <c r="N15" s="20">
        <f>N16+N18+N22+N25+N46+N27</f>
        <v>35786221</v>
      </c>
      <c r="O15" s="20">
        <f>O16+O18+O22+O25+O46+O27</f>
        <v>35786221</v>
      </c>
      <c r="P15" s="20">
        <f>E15+J15</f>
        <v>81437879</v>
      </c>
    </row>
    <row r="16" spans="1:18" s="21" customFormat="1" hidden="1">
      <c r="A16" s="22" t="s">
        <v>20</v>
      </c>
      <c r="B16" s="22" t="s">
        <v>21</v>
      </c>
      <c r="C16" s="22"/>
      <c r="D16" s="23" t="s">
        <v>22</v>
      </c>
      <c r="E16" s="20">
        <f t="shared" ref="E16:E28" si="1">F16+I16</f>
        <v>22441128</v>
      </c>
      <c r="F16" s="24">
        <f>F17</f>
        <v>22441128</v>
      </c>
      <c r="G16" s="24">
        <f t="shared" ref="G16:O16" si="2">G17</f>
        <v>12706920</v>
      </c>
      <c r="H16" s="24">
        <f t="shared" si="2"/>
        <v>1460707</v>
      </c>
      <c r="I16" s="24">
        <f t="shared" si="2"/>
        <v>0</v>
      </c>
      <c r="J16" s="20">
        <f t="shared" ref="J16:J30" si="3">K16+N16</f>
        <v>10574217</v>
      </c>
      <c r="K16" s="24">
        <f t="shared" si="2"/>
        <v>74217</v>
      </c>
      <c r="L16" s="24">
        <f t="shared" si="2"/>
        <v>0</v>
      </c>
      <c r="M16" s="24">
        <f t="shared" si="2"/>
        <v>0</v>
      </c>
      <c r="N16" s="24">
        <f t="shared" si="2"/>
        <v>10500000</v>
      </c>
      <c r="O16" s="24">
        <f t="shared" si="2"/>
        <v>10500000</v>
      </c>
      <c r="P16" s="20">
        <f t="shared" ref="P16:P30" si="4">E16+J16</f>
        <v>33015345</v>
      </c>
    </row>
    <row r="17" spans="1:16" ht="90" hidden="1">
      <c r="A17" s="18" t="s">
        <v>23</v>
      </c>
      <c r="B17" s="25" t="s">
        <v>24</v>
      </c>
      <c r="C17" s="25" t="s">
        <v>25</v>
      </c>
      <c r="D17" s="26" t="s">
        <v>26</v>
      </c>
      <c r="E17" s="20">
        <f t="shared" si="1"/>
        <v>22441128</v>
      </c>
      <c r="F17" s="27">
        <v>22441128</v>
      </c>
      <c r="G17" s="27">
        <v>12706920</v>
      </c>
      <c r="H17" s="27">
        <v>1460707</v>
      </c>
      <c r="I17" s="27"/>
      <c r="J17" s="20">
        <f t="shared" si="3"/>
        <v>10574217</v>
      </c>
      <c r="K17" s="27">
        <f>98470-24253</f>
        <v>74217</v>
      </c>
      <c r="L17" s="27"/>
      <c r="M17" s="27"/>
      <c r="N17" s="27">
        <f>O17</f>
        <v>10500000</v>
      </c>
      <c r="O17" s="27">
        <v>10500000</v>
      </c>
      <c r="P17" s="20">
        <f t="shared" si="4"/>
        <v>33015345</v>
      </c>
    </row>
    <row r="18" spans="1:16" hidden="1">
      <c r="A18" s="22" t="s">
        <v>27</v>
      </c>
      <c r="B18" s="28" t="s">
        <v>28</v>
      </c>
      <c r="C18" s="28"/>
      <c r="D18" s="29" t="s">
        <v>29</v>
      </c>
      <c r="E18" s="20">
        <f t="shared" si="1"/>
        <v>8726760</v>
      </c>
      <c r="F18" s="30">
        <f t="shared" ref="F18:O18" si="5">F19</f>
        <v>8726760</v>
      </c>
      <c r="G18" s="30">
        <f t="shared" si="5"/>
        <v>0</v>
      </c>
      <c r="H18" s="30">
        <f t="shared" si="5"/>
        <v>0</v>
      </c>
      <c r="I18" s="30">
        <f t="shared" si="5"/>
        <v>0</v>
      </c>
      <c r="J18" s="20">
        <f t="shared" si="3"/>
        <v>5814455</v>
      </c>
      <c r="K18" s="30">
        <f t="shared" si="5"/>
        <v>0</v>
      </c>
      <c r="L18" s="30">
        <f t="shared" si="5"/>
        <v>0</v>
      </c>
      <c r="M18" s="30">
        <f t="shared" si="5"/>
        <v>0</v>
      </c>
      <c r="N18" s="30">
        <f t="shared" si="5"/>
        <v>5814455</v>
      </c>
      <c r="O18" s="30">
        <f t="shared" si="5"/>
        <v>5814455</v>
      </c>
      <c r="P18" s="20">
        <f t="shared" si="4"/>
        <v>14541215</v>
      </c>
    </row>
    <row r="19" spans="1:16" ht="26.25" hidden="1">
      <c r="A19" s="22" t="s">
        <v>30</v>
      </c>
      <c r="B19" s="28" t="s">
        <v>31</v>
      </c>
      <c r="C19" s="28"/>
      <c r="D19" s="29" t="s">
        <v>32</v>
      </c>
      <c r="E19" s="20">
        <f t="shared" si="1"/>
        <v>8726760</v>
      </c>
      <c r="F19" s="30">
        <f t="shared" ref="F19:O19" si="6">F20+F21</f>
        <v>8726760</v>
      </c>
      <c r="G19" s="30">
        <f t="shared" si="6"/>
        <v>0</v>
      </c>
      <c r="H19" s="30">
        <f t="shared" si="6"/>
        <v>0</v>
      </c>
      <c r="I19" s="30">
        <f t="shared" si="6"/>
        <v>0</v>
      </c>
      <c r="J19" s="20">
        <f t="shared" si="3"/>
        <v>5814455</v>
      </c>
      <c r="K19" s="30">
        <f t="shared" si="6"/>
        <v>0</v>
      </c>
      <c r="L19" s="30">
        <f t="shared" si="6"/>
        <v>0</v>
      </c>
      <c r="M19" s="30">
        <f t="shared" si="6"/>
        <v>0</v>
      </c>
      <c r="N19" s="30">
        <f t="shared" si="6"/>
        <v>5814455</v>
      </c>
      <c r="O19" s="30">
        <f t="shared" si="6"/>
        <v>5814455</v>
      </c>
      <c r="P19" s="20">
        <f t="shared" si="4"/>
        <v>14541215</v>
      </c>
    </row>
    <row r="20" spans="1:16" ht="45" hidden="1">
      <c r="A20" s="25" t="s">
        <v>33</v>
      </c>
      <c r="B20" s="25" t="s">
        <v>34</v>
      </c>
      <c r="C20" s="25" t="s">
        <v>35</v>
      </c>
      <c r="D20" s="26" t="s">
        <v>36</v>
      </c>
      <c r="E20" s="20">
        <f t="shared" si="1"/>
        <v>7826760</v>
      </c>
      <c r="F20" s="27">
        <v>7826760</v>
      </c>
      <c r="G20" s="27"/>
      <c r="H20" s="27"/>
      <c r="I20" s="27"/>
      <c r="J20" s="20">
        <f t="shared" si="3"/>
        <v>5814455</v>
      </c>
      <c r="K20" s="27"/>
      <c r="L20" s="27"/>
      <c r="M20" s="27"/>
      <c r="N20" s="27">
        <f>O20</f>
        <v>5814455</v>
      </c>
      <c r="O20" s="27">
        <f>3437510+2376945</f>
        <v>5814455</v>
      </c>
      <c r="P20" s="20">
        <f>E20+J20</f>
        <v>13641215</v>
      </c>
    </row>
    <row r="21" spans="1:16" ht="30" hidden="1">
      <c r="A21" s="18" t="s">
        <v>37</v>
      </c>
      <c r="B21" s="25" t="s">
        <v>38</v>
      </c>
      <c r="C21" s="25" t="s">
        <v>35</v>
      </c>
      <c r="D21" s="31" t="s">
        <v>39</v>
      </c>
      <c r="E21" s="20">
        <f t="shared" si="1"/>
        <v>900000</v>
      </c>
      <c r="F21" s="27">
        <v>900000</v>
      </c>
      <c r="G21" s="27"/>
      <c r="H21" s="27"/>
      <c r="I21" s="27"/>
      <c r="J21" s="20">
        <f t="shared" si="3"/>
        <v>0</v>
      </c>
      <c r="K21" s="27"/>
      <c r="L21" s="27"/>
      <c r="M21" s="27"/>
      <c r="N21" s="27"/>
      <c r="O21" s="27"/>
      <c r="P21" s="20">
        <f t="shared" si="4"/>
        <v>900000</v>
      </c>
    </row>
    <row r="22" spans="1:16" hidden="1">
      <c r="A22" s="28" t="s">
        <v>40</v>
      </c>
      <c r="B22" s="28" t="s">
        <v>41</v>
      </c>
      <c r="C22" s="28"/>
      <c r="D22" s="29" t="s">
        <v>42</v>
      </c>
      <c r="E22" s="20">
        <f t="shared" si="1"/>
        <v>0</v>
      </c>
      <c r="F22" s="27">
        <f>F23+F24</f>
        <v>0</v>
      </c>
      <c r="G22" s="27">
        <f>G23+G24</f>
        <v>0</v>
      </c>
      <c r="H22" s="27">
        <f>H23+H24</f>
        <v>0</v>
      </c>
      <c r="I22" s="27">
        <f>I23+I24</f>
        <v>0</v>
      </c>
      <c r="J22" s="20">
        <f t="shared" si="3"/>
        <v>0</v>
      </c>
      <c r="K22" s="27">
        <f>K23+K24</f>
        <v>0</v>
      </c>
      <c r="L22" s="27">
        <f>L23+L24</f>
        <v>0</v>
      </c>
      <c r="M22" s="27">
        <f>M23+M24</f>
        <v>0</v>
      </c>
      <c r="N22" s="27">
        <f>N23+N24</f>
        <v>0</v>
      </c>
      <c r="O22" s="27">
        <f>O23+O24</f>
        <v>0</v>
      </c>
      <c r="P22" s="20">
        <f t="shared" si="4"/>
        <v>0</v>
      </c>
    </row>
    <row r="23" spans="1:16" ht="45" hidden="1">
      <c r="A23" s="18" t="s">
        <v>43</v>
      </c>
      <c r="B23" s="25" t="s">
        <v>44</v>
      </c>
      <c r="C23" s="25" t="s">
        <v>45</v>
      </c>
      <c r="D23" s="26" t="s">
        <v>46</v>
      </c>
      <c r="E23" s="20">
        <f t="shared" si="1"/>
        <v>0</v>
      </c>
      <c r="F23" s="27"/>
      <c r="G23" s="27"/>
      <c r="H23" s="27"/>
      <c r="I23" s="27"/>
      <c r="J23" s="20">
        <f t="shared" si="3"/>
        <v>0</v>
      </c>
      <c r="K23" s="27"/>
      <c r="L23" s="27"/>
      <c r="M23" s="27"/>
      <c r="N23" s="27">
        <f>O23</f>
        <v>0</v>
      </c>
      <c r="O23" s="27"/>
      <c r="P23" s="20">
        <f t="shared" si="4"/>
        <v>0</v>
      </c>
    </row>
    <row r="24" spans="1:16" ht="230.25" hidden="1">
      <c r="A24" s="18" t="s">
        <v>47</v>
      </c>
      <c r="B24" s="25" t="s">
        <v>48</v>
      </c>
      <c r="C24" s="25" t="s">
        <v>49</v>
      </c>
      <c r="D24" s="32" t="s">
        <v>50</v>
      </c>
      <c r="E24" s="20">
        <f t="shared" si="1"/>
        <v>0</v>
      </c>
      <c r="F24" s="27"/>
      <c r="G24" s="27"/>
      <c r="H24" s="27"/>
      <c r="I24" s="27"/>
      <c r="J24" s="20">
        <f>K24+N24</f>
        <v>0</v>
      </c>
      <c r="K24" s="27"/>
      <c r="L24" s="27"/>
      <c r="M24" s="27"/>
      <c r="N24" s="27"/>
      <c r="O24" s="27"/>
      <c r="P24" s="20">
        <f t="shared" si="4"/>
        <v>0</v>
      </c>
    </row>
    <row r="25" spans="1:16" ht="26.25" hidden="1">
      <c r="A25" s="28" t="s">
        <v>51</v>
      </c>
      <c r="B25" s="28" t="s">
        <v>52</v>
      </c>
      <c r="C25" s="28"/>
      <c r="D25" s="33" t="s">
        <v>53</v>
      </c>
      <c r="E25" s="20">
        <f t="shared" si="1"/>
        <v>0</v>
      </c>
      <c r="F25" s="30">
        <f>F26</f>
        <v>0</v>
      </c>
      <c r="G25" s="30">
        <f>G26</f>
        <v>0</v>
      </c>
      <c r="H25" s="30">
        <f>H26</f>
        <v>0</v>
      </c>
      <c r="I25" s="30">
        <f>I26</f>
        <v>0</v>
      </c>
      <c r="J25" s="20">
        <f t="shared" si="3"/>
        <v>0</v>
      </c>
      <c r="K25" s="30">
        <f>K26</f>
        <v>0</v>
      </c>
      <c r="L25" s="30">
        <f>L26</f>
        <v>0</v>
      </c>
      <c r="M25" s="30">
        <f>M26</f>
        <v>0</v>
      </c>
      <c r="N25" s="30">
        <f>N26</f>
        <v>0</v>
      </c>
      <c r="O25" s="30">
        <f>O26</f>
        <v>0</v>
      </c>
      <c r="P25" s="20">
        <f t="shared" si="4"/>
        <v>0</v>
      </c>
    </row>
    <row r="26" spans="1:16" ht="45" hidden="1">
      <c r="A26" s="25" t="s">
        <v>54</v>
      </c>
      <c r="B26" s="25" t="s">
        <v>55</v>
      </c>
      <c r="C26" s="25" t="s">
        <v>45</v>
      </c>
      <c r="D26" s="31" t="s">
        <v>56</v>
      </c>
      <c r="E26" s="20">
        <f t="shared" si="1"/>
        <v>0</v>
      </c>
      <c r="F26" s="27"/>
      <c r="G26" s="27"/>
      <c r="H26" s="27"/>
      <c r="I26" s="27"/>
      <c r="J26" s="20">
        <f t="shared" si="3"/>
        <v>0</v>
      </c>
      <c r="K26" s="27"/>
      <c r="L26" s="27"/>
      <c r="M26" s="27"/>
      <c r="N26" s="27"/>
      <c r="O26" s="27"/>
      <c r="P26" s="20">
        <f t="shared" si="4"/>
        <v>0</v>
      </c>
    </row>
    <row r="27" spans="1:16" ht="26.25" hidden="1">
      <c r="A27" s="22" t="s">
        <v>57</v>
      </c>
      <c r="B27" s="28" t="s">
        <v>58</v>
      </c>
      <c r="C27" s="28"/>
      <c r="D27" s="33" t="s">
        <v>59</v>
      </c>
      <c r="E27" s="20">
        <f t="shared" si="1"/>
        <v>14326403</v>
      </c>
      <c r="F27" s="30">
        <f>F30+F28</f>
        <v>14326403</v>
      </c>
      <c r="G27" s="30">
        <f>G30+G28</f>
        <v>3180372</v>
      </c>
      <c r="H27" s="30">
        <f>H30+H28</f>
        <v>112933</v>
      </c>
      <c r="I27" s="30">
        <f>I30+I28</f>
        <v>0</v>
      </c>
      <c r="J27" s="20">
        <f t="shared" si="3"/>
        <v>19471766</v>
      </c>
      <c r="K27" s="30">
        <f>K30+K28</f>
        <v>0</v>
      </c>
      <c r="L27" s="30">
        <f>L30+L28</f>
        <v>0</v>
      </c>
      <c r="M27" s="30">
        <f>M30+M28</f>
        <v>0</v>
      </c>
      <c r="N27" s="30">
        <f>N30+N28</f>
        <v>19471766</v>
      </c>
      <c r="O27" s="30">
        <f>O30+O28</f>
        <v>19471766</v>
      </c>
      <c r="P27" s="20">
        <f t="shared" si="4"/>
        <v>33798169</v>
      </c>
    </row>
    <row r="28" spans="1:16" ht="26.25" hidden="1">
      <c r="A28" s="22"/>
      <c r="B28" s="28"/>
      <c r="C28" s="28"/>
      <c r="D28" s="33" t="s">
        <v>60</v>
      </c>
      <c r="E28" s="20">
        <f t="shared" si="1"/>
        <v>0</v>
      </c>
      <c r="F28" s="30">
        <f>F29</f>
        <v>0</v>
      </c>
      <c r="G28" s="30">
        <f>G29</f>
        <v>0</v>
      </c>
      <c r="H28" s="30">
        <f>H29</f>
        <v>0</v>
      </c>
      <c r="I28" s="30">
        <f>I29</f>
        <v>0</v>
      </c>
      <c r="J28" s="20">
        <f t="shared" si="3"/>
        <v>0</v>
      </c>
      <c r="K28" s="30">
        <f>K29</f>
        <v>0</v>
      </c>
      <c r="L28" s="30">
        <f>L29</f>
        <v>0</v>
      </c>
      <c r="M28" s="30">
        <f>M29</f>
        <v>0</v>
      </c>
      <c r="N28" s="30">
        <f>N29</f>
        <v>0</v>
      </c>
      <c r="O28" s="30">
        <f>O29</f>
        <v>0</v>
      </c>
      <c r="P28" s="20">
        <f t="shared" si="4"/>
        <v>0</v>
      </c>
    </row>
    <row r="29" spans="1:16" ht="30" hidden="1">
      <c r="A29" s="18" t="s">
        <v>61</v>
      </c>
      <c r="B29" s="25" t="s">
        <v>62</v>
      </c>
      <c r="C29" s="25" t="s">
        <v>63</v>
      </c>
      <c r="D29" s="31" t="s">
        <v>64</v>
      </c>
      <c r="E29" s="20">
        <f>F29+I29</f>
        <v>0</v>
      </c>
      <c r="F29" s="27"/>
      <c r="G29" s="27"/>
      <c r="H29" s="27"/>
      <c r="I29" s="27"/>
      <c r="J29" s="20">
        <f>K29+N29</f>
        <v>0</v>
      </c>
      <c r="K29" s="27"/>
      <c r="L29" s="27"/>
      <c r="M29" s="27"/>
      <c r="N29" s="27"/>
      <c r="O29" s="27"/>
      <c r="P29" s="20">
        <f>E29+J29</f>
        <v>0</v>
      </c>
    </row>
    <row r="30" spans="1:16" hidden="1">
      <c r="A30" s="34" t="s">
        <v>65</v>
      </c>
      <c r="B30" s="35" t="s">
        <v>66</v>
      </c>
      <c r="C30" s="35"/>
      <c r="D30" s="36" t="s">
        <v>67</v>
      </c>
      <c r="E30" s="20">
        <f>F30+I30</f>
        <v>14326403</v>
      </c>
      <c r="F30" s="37">
        <f>SUM(F31:F43)-F37-F38-F40-F41</f>
        <v>14326403</v>
      </c>
      <c r="G30" s="37">
        <f>SUM(G31:G43)</f>
        <v>3180372</v>
      </c>
      <c r="H30" s="37">
        <f>SUM(H31:H43)</f>
        <v>112933</v>
      </c>
      <c r="I30" s="37">
        <f>SUM(I31:I43)</f>
        <v>0</v>
      </c>
      <c r="J30" s="20">
        <f t="shared" si="3"/>
        <v>19471766</v>
      </c>
      <c r="K30" s="37">
        <f>SUM(K31:K43)</f>
        <v>0</v>
      </c>
      <c r="L30" s="37">
        <f>SUM(L31:L43)</f>
        <v>0</v>
      </c>
      <c r="M30" s="37">
        <f>SUM(M31:M43)</f>
        <v>0</v>
      </c>
      <c r="N30" s="37">
        <f>SUM(N31:N43)</f>
        <v>19471766</v>
      </c>
      <c r="O30" s="37">
        <f>SUM(O31:O43)</f>
        <v>19471766</v>
      </c>
      <c r="P30" s="20">
        <f t="shared" si="4"/>
        <v>33798169</v>
      </c>
    </row>
    <row r="31" spans="1:16" ht="90" hidden="1">
      <c r="A31" s="18" t="s">
        <v>68</v>
      </c>
      <c r="B31" s="25" t="s">
        <v>69</v>
      </c>
      <c r="C31" s="25" t="s">
        <v>70</v>
      </c>
      <c r="D31" s="31" t="s">
        <v>71</v>
      </c>
      <c r="E31" s="20">
        <f>F31+I31</f>
        <v>5453660</v>
      </c>
      <c r="F31" s="27">
        <f>5271980+181717-37</f>
        <v>5453660</v>
      </c>
      <c r="G31" s="27">
        <f>3031424+148948</f>
        <v>3180372</v>
      </c>
      <c r="H31" s="27">
        <v>112933</v>
      </c>
      <c r="I31" s="27"/>
      <c r="J31" s="20">
        <f>K31+N31</f>
        <v>0</v>
      </c>
      <c r="K31" s="27"/>
      <c r="L31" s="27"/>
      <c r="M31" s="27"/>
      <c r="N31" s="27"/>
      <c r="O31" s="27"/>
      <c r="P31" s="20">
        <f>E31+J31</f>
        <v>5453660</v>
      </c>
    </row>
    <row r="32" spans="1:16" s="41" customFormat="1" ht="60" hidden="1">
      <c r="A32" s="18" t="s">
        <v>72</v>
      </c>
      <c r="B32" s="18" t="s">
        <v>73</v>
      </c>
      <c r="C32" s="25" t="s">
        <v>70</v>
      </c>
      <c r="D32" s="39" t="s">
        <v>74</v>
      </c>
      <c r="E32" s="20">
        <f t="shared" ref="E32:E45" si="7">F32+I32</f>
        <v>0</v>
      </c>
      <c r="F32" s="40"/>
      <c r="G32" s="40"/>
      <c r="H32" s="40"/>
      <c r="I32" s="40"/>
      <c r="J32" s="20">
        <f t="shared" ref="J32:J46" si="8">K32+N32</f>
        <v>0</v>
      </c>
      <c r="K32" s="27"/>
      <c r="L32" s="27"/>
      <c r="M32" s="27"/>
      <c r="N32" s="27"/>
      <c r="O32" s="27"/>
      <c r="P32" s="20">
        <f t="shared" ref="P32:P46" si="9">E32+J32</f>
        <v>0</v>
      </c>
    </row>
    <row r="33" spans="1:16" ht="75" hidden="1">
      <c r="A33" s="18" t="s">
        <v>75</v>
      </c>
      <c r="B33" s="25" t="s">
        <v>76</v>
      </c>
      <c r="C33" s="25" t="s">
        <v>70</v>
      </c>
      <c r="D33" s="31" t="s">
        <v>77</v>
      </c>
      <c r="E33" s="20">
        <f t="shared" si="7"/>
        <v>0</v>
      </c>
      <c r="F33" s="27"/>
      <c r="G33" s="27"/>
      <c r="H33" s="27"/>
      <c r="I33" s="27"/>
      <c r="J33" s="20">
        <f t="shared" si="8"/>
        <v>0</v>
      </c>
      <c r="K33" s="27"/>
      <c r="L33" s="27"/>
      <c r="M33" s="27"/>
      <c r="N33" s="27"/>
      <c r="O33" s="27"/>
      <c r="P33" s="20">
        <f t="shared" si="9"/>
        <v>0</v>
      </c>
    </row>
    <row r="34" spans="1:16" ht="75" hidden="1">
      <c r="A34" s="18" t="s">
        <v>78</v>
      </c>
      <c r="B34" s="25" t="s">
        <v>79</v>
      </c>
      <c r="C34" s="25" t="s">
        <v>70</v>
      </c>
      <c r="D34" s="31" t="s">
        <v>80</v>
      </c>
      <c r="E34" s="20">
        <f t="shared" si="7"/>
        <v>0</v>
      </c>
      <c r="F34" s="27"/>
      <c r="G34" s="27"/>
      <c r="H34" s="27"/>
      <c r="I34" s="27"/>
      <c r="J34" s="20">
        <f t="shared" si="8"/>
        <v>0</v>
      </c>
      <c r="K34" s="27"/>
      <c r="L34" s="27"/>
      <c r="M34" s="27"/>
      <c r="N34" s="27"/>
      <c r="O34" s="27"/>
      <c r="P34" s="20">
        <f t="shared" si="9"/>
        <v>0</v>
      </c>
    </row>
    <row r="35" spans="1:16" ht="90" hidden="1">
      <c r="A35" s="18" t="s">
        <v>81</v>
      </c>
      <c r="B35" s="25" t="s">
        <v>82</v>
      </c>
      <c r="C35" s="25" t="s">
        <v>70</v>
      </c>
      <c r="D35" s="31" t="s">
        <v>83</v>
      </c>
      <c r="E35" s="20">
        <f t="shared" si="7"/>
        <v>0</v>
      </c>
      <c r="F35" s="27"/>
      <c r="G35" s="27"/>
      <c r="H35" s="27"/>
      <c r="I35" s="27"/>
      <c r="J35" s="20">
        <f t="shared" si="8"/>
        <v>0</v>
      </c>
      <c r="K35" s="27"/>
      <c r="L35" s="27"/>
      <c r="M35" s="27"/>
      <c r="N35" s="27"/>
      <c r="O35" s="27"/>
      <c r="P35" s="20">
        <f t="shared" si="9"/>
        <v>0</v>
      </c>
    </row>
    <row r="36" spans="1:16" ht="90" hidden="1">
      <c r="A36" s="18" t="s">
        <v>84</v>
      </c>
      <c r="B36" s="25" t="s">
        <v>85</v>
      </c>
      <c r="C36" s="25" t="s">
        <v>70</v>
      </c>
      <c r="D36" s="31" t="s">
        <v>86</v>
      </c>
      <c r="E36" s="20">
        <f t="shared" si="7"/>
        <v>494855</v>
      </c>
      <c r="F36" s="27">
        <f>F37+F38</f>
        <v>494855</v>
      </c>
      <c r="G36" s="27"/>
      <c r="H36" s="27"/>
      <c r="I36" s="27"/>
      <c r="J36" s="20">
        <f t="shared" si="8"/>
        <v>0</v>
      </c>
      <c r="K36" s="27"/>
      <c r="L36" s="27"/>
      <c r="M36" s="27"/>
      <c r="N36" s="27"/>
      <c r="O36" s="27"/>
      <c r="P36" s="20">
        <f>E36+J36</f>
        <v>494855</v>
      </c>
    </row>
    <row r="37" spans="1:16" ht="64.5" hidden="1">
      <c r="A37" s="18"/>
      <c r="B37" s="25"/>
      <c r="C37" s="25"/>
      <c r="D37" s="42" t="s">
        <v>87</v>
      </c>
      <c r="E37" s="20">
        <f t="shared" si="7"/>
        <v>324855</v>
      </c>
      <c r="F37" s="27">
        <v>324855</v>
      </c>
      <c r="G37" s="27"/>
      <c r="H37" s="27"/>
      <c r="I37" s="27"/>
      <c r="J37" s="20"/>
      <c r="K37" s="27"/>
      <c r="L37" s="27"/>
      <c r="M37" s="27"/>
      <c r="N37" s="27"/>
      <c r="O37" s="27"/>
      <c r="P37" s="20"/>
    </row>
    <row r="38" spans="1:16" hidden="1">
      <c r="A38" s="18"/>
      <c r="B38" s="25"/>
      <c r="C38" s="25"/>
      <c r="D38" s="42" t="s">
        <v>88</v>
      </c>
      <c r="E38" s="20">
        <f t="shared" si="7"/>
        <v>170000</v>
      </c>
      <c r="F38" s="27">
        <v>170000</v>
      </c>
      <c r="G38" s="27"/>
      <c r="H38" s="27"/>
      <c r="I38" s="27"/>
      <c r="J38" s="20"/>
      <c r="K38" s="27"/>
      <c r="L38" s="27"/>
      <c r="M38" s="27"/>
      <c r="N38" s="27"/>
      <c r="O38" s="27"/>
      <c r="P38" s="20"/>
    </row>
    <row r="39" spans="1:16" ht="165" hidden="1">
      <c r="A39" s="18" t="s">
        <v>89</v>
      </c>
      <c r="B39" s="25" t="s">
        <v>90</v>
      </c>
      <c r="C39" s="25" t="s">
        <v>70</v>
      </c>
      <c r="D39" s="31" t="s">
        <v>91</v>
      </c>
      <c r="E39" s="20">
        <f>F39+I39</f>
        <v>582771</v>
      </c>
      <c r="F39" s="43">
        <f>F40+F41</f>
        <v>582771</v>
      </c>
      <c r="G39" s="43"/>
      <c r="H39" s="43"/>
      <c r="I39" s="43"/>
      <c r="J39" s="20">
        <f t="shared" si="8"/>
        <v>0</v>
      </c>
      <c r="K39" s="43"/>
      <c r="L39" s="43"/>
      <c r="M39" s="43"/>
      <c r="N39" s="43"/>
      <c r="O39" s="43"/>
      <c r="P39" s="20">
        <f t="shared" si="9"/>
        <v>582771</v>
      </c>
    </row>
    <row r="40" spans="1:16" hidden="1">
      <c r="A40" s="18"/>
      <c r="B40" s="25"/>
      <c r="C40" s="25"/>
      <c r="D40" s="42" t="s">
        <v>92</v>
      </c>
      <c r="E40" s="20">
        <f>F40+I40</f>
        <v>382771</v>
      </c>
      <c r="F40" s="43">
        <v>382771</v>
      </c>
      <c r="G40" s="43"/>
      <c r="H40" s="43"/>
      <c r="I40" s="43"/>
      <c r="J40" s="20"/>
      <c r="K40" s="43"/>
      <c r="L40" s="43"/>
      <c r="M40" s="43"/>
      <c r="N40" s="43"/>
      <c r="O40" s="43"/>
      <c r="P40" s="20"/>
    </row>
    <row r="41" spans="1:16" ht="39" hidden="1">
      <c r="A41" s="18"/>
      <c r="B41" s="25"/>
      <c r="C41" s="25"/>
      <c r="D41" s="42" t="s">
        <v>93</v>
      </c>
      <c r="E41" s="20">
        <f>F41+I41</f>
        <v>200000</v>
      </c>
      <c r="F41" s="43">
        <v>200000</v>
      </c>
      <c r="G41" s="43"/>
      <c r="H41" s="43"/>
      <c r="I41" s="43"/>
      <c r="J41" s="20"/>
      <c r="K41" s="43"/>
      <c r="L41" s="43"/>
      <c r="M41" s="43"/>
      <c r="N41" s="43"/>
      <c r="O41" s="43"/>
      <c r="P41" s="20"/>
    </row>
    <row r="42" spans="1:16" ht="45" hidden="1">
      <c r="A42" s="18" t="s">
        <v>94</v>
      </c>
      <c r="B42" s="25" t="s">
        <v>95</v>
      </c>
      <c r="C42" s="25" t="s">
        <v>70</v>
      </c>
      <c r="D42" s="31" t="s">
        <v>96</v>
      </c>
      <c r="E42" s="20">
        <f t="shared" si="7"/>
        <v>0</v>
      </c>
      <c r="F42" s="43"/>
      <c r="G42" s="43"/>
      <c r="H42" s="43"/>
      <c r="I42" s="43"/>
      <c r="J42" s="20">
        <f t="shared" si="8"/>
        <v>0</v>
      </c>
      <c r="K42" s="43"/>
      <c r="L42" s="43"/>
      <c r="M42" s="43"/>
      <c r="N42" s="43"/>
      <c r="O42" s="43"/>
      <c r="P42" s="20">
        <f t="shared" si="9"/>
        <v>0</v>
      </c>
    </row>
    <row r="43" spans="1:16" s="48" customFormat="1" hidden="1">
      <c r="A43" s="44" t="s">
        <v>97</v>
      </c>
      <c r="B43" s="44"/>
      <c r="C43" s="45" t="s">
        <v>70</v>
      </c>
      <c r="D43" s="46" t="s">
        <v>98</v>
      </c>
      <c r="E43" s="47">
        <f t="shared" si="7"/>
        <v>7795117</v>
      </c>
      <c r="F43" s="47">
        <f>F44+F45</f>
        <v>7795117</v>
      </c>
      <c r="G43" s="47">
        <f t="shared" ref="G43:O43" si="10">G44+G45</f>
        <v>0</v>
      </c>
      <c r="H43" s="47">
        <f t="shared" si="10"/>
        <v>0</v>
      </c>
      <c r="I43" s="47">
        <f t="shared" si="10"/>
        <v>0</v>
      </c>
      <c r="J43" s="47">
        <f t="shared" si="10"/>
        <v>19471766</v>
      </c>
      <c r="K43" s="47">
        <f t="shared" si="10"/>
        <v>0</v>
      </c>
      <c r="L43" s="47">
        <f t="shared" si="10"/>
        <v>0</v>
      </c>
      <c r="M43" s="47">
        <f t="shared" si="10"/>
        <v>0</v>
      </c>
      <c r="N43" s="47">
        <f t="shared" si="10"/>
        <v>19471766</v>
      </c>
      <c r="O43" s="47">
        <f t="shared" si="10"/>
        <v>19471766</v>
      </c>
      <c r="P43" s="47">
        <f t="shared" si="9"/>
        <v>27266883</v>
      </c>
    </row>
    <row r="44" spans="1:16" s="48" customFormat="1" hidden="1">
      <c r="A44" s="44"/>
      <c r="B44" s="44"/>
      <c r="C44" s="45"/>
      <c r="D44" s="49" t="s">
        <v>99</v>
      </c>
      <c r="E44" s="47">
        <f t="shared" si="7"/>
        <v>4055469</v>
      </c>
      <c r="F44" s="47">
        <v>4055469</v>
      </c>
      <c r="G44" s="47"/>
      <c r="H44" s="47"/>
      <c r="I44" s="47"/>
      <c r="J44" s="47">
        <f t="shared" si="8"/>
        <v>19471766</v>
      </c>
      <c r="K44" s="47"/>
      <c r="L44" s="47"/>
      <c r="M44" s="47"/>
      <c r="N44" s="47">
        <f>O44</f>
        <v>19471766</v>
      </c>
      <c r="O44" s="47">
        <v>19471766</v>
      </c>
      <c r="P44" s="47">
        <f t="shared" si="9"/>
        <v>23527235</v>
      </c>
    </row>
    <row r="45" spans="1:16" s="48" customFormat="1" hidden="1">
      <c r="A45" s="44"/>
      <c r="B45" s="44"/>
      <c r="C45" s="45"/>
      <c r="D45" s="49" t="s">
        <v>100</v>
      </c>
      <c r="E45" s="47">
        <f t="shared" si="7"/>
        <v>3739648</v>
      </c>
      <c r="F45" s="47">
        <v>3739648</v>
      </c>
      <c r="G45" s="47"/>
      <c r="H45" s="47"/>
      <c r="I45" s="47"/>
      <c r="J45" s="47"/>
      <c r="K45" s="47"/>
      <c r="L45" s="47"/>
      <c r="M45" s="47"/>
      <c r="N45" s="47"/>
      <c r="O45" s="47"/>
      <c r="P45" s="47"/>
    </row>
    <row r="46" spans="1:16" hidden="1">
      <c r="A46" s="22" t="s">
        <v>101</v>
      </c>
      <c r="B46" s="28" t="s">
        <v>102</v>
      </c>
      <c r="C46" s="28"/>
      <c r="D46" s="33" t="s">
        <v>103</v>
      </c>
      <c r="E46" s="20">
        <f>F46+I46</f>
        <v>0</v>
      </c>
      <c r="F46" s="30">
        <f>F47</f>
        <v>0</v>
      </c>
      <c r="G46" s="30"/>
      <c r="H46" s="30"/>
      <c r="I46" s="30"/>
      <c r="J46" s="20">
        <f t="shared" si="8"/>
        <v>83150</v>
      </c>
      <c r="K46" s="30">
        <f>K47</f>
        <v>83150</v>
      </c>
      <c r="L46" s="30"/>
      <c r="M46" s="30"/>
      <c r="N46" s="30"/>
      <c r="O46" s="30"/>
      <c r="P46" s="20">
        <f t="shared" si="9"/>
        <v>83150</v>
      </c>
    </row>
    <row r="47" spans="1:16" ht="77.25" hidden="1">
      <c r="A47" s="34" t="s">
        <v>104</v>
      </c>
      <c r="B47" s="35" t="s">
        <v>105</v>
      </c>
      <c r="C47" s="35"/>
      <c r="D47" s="36" t="s">
        <v>106</v>
      </c>
      <c r="E47" s="20">
        <f>F47+I47</f>
        <v>0</v>
      </c>
      <c r="F47" s="37">
        <f>F48</f>
        <v>0</v>
      </c>
      <c r="G47" s="37">
        <f>G48</f>
        <v>0</v>
      </c>
      <c r="H47" s="37">
        <f>H48</f>
        <v>0</v>
      </c>
      <c r="I47" s="37">
        <f>I48</f>
        <v>0</v>
      </c>
      <c r="J47" s="20">
        <f>K47+N47</f>
        <v>83150</v>
      </c>
      <c r="K47" s="37">
        <f>K48</f>
        <v>83150</v>
      </c>
      <c r="L47" s="37">
        <f>L48</f>
        <v>0</v>
      </c>
      <c r="M47" s="37">
        <f>M48</f>
        <v>0</v>
      </c>
      <c r="N47" s="37">
        <f>N48</f>
        <v>0</v>
      </c>
      <c r="O47" s="37">
        <f>O48</f>
        <v>0</v>
      </c>
      <c r="P47" s="20">
        <f>E47+J47</f>
        <v>83150</v>
      </c>
    </row>
    <row r="48" spans="1:16" ht="30" hidden="1">
      <c r="A48" s="18" t="s">
        <v>107</v>
      </c>
      <c r="B48" s="25" t="s">
        <v>108</v>
      </c>
      <c r="C48" s="25" t="s">
        <v>70</v>
      </c>
      <c r="D48" s="31" t="s">
        <v>109</v>
      </c>
      <c r="E48" s="20">
        <f>F48+I48</f>
        <v>0</v>
      </c>
      <c r="F48" s="27"/>
      <c r="G48" s="27"/>
      <c r="H48" s="27"/>
      <c r="I48" s="27"/>
      <c r="J48" s="20">
        <f>K48+N48</f>
        <v>83150</v>
      </c>
      <c r="K48" s="27">
        <v>83150</v>
      </c>
      <c r="L48" s="27"/>
      <c r="M48" s="27"/>
      <c r="N48" s="27"/>
      <c r="O48" s="27"/>
      <c r="P48" s="20">
        <f>E48+J48</f>
        <v>83150</v>
      </c>
    </row>
    <row r="49" spans="1:21" s="17" customFormat="1" ht="30" hidden="1">
      <c r="A49" s="14" t="s">
        <v>110</v>
      </c>
      <c r="B49" s="14" t="s">
        <v>111</v>
      </c>
      <c r="C49" s="14"/>
      <c r="D49" s="15" t="s">
        <v>112</v>
      </c>
      <c r="E49" s="16">
        <f t="shared" ref="E49:O49" si="11">E50</f>
        <v>17256148</v>
      </c>
      <c r="F49" s="16">
        <f t="shared" si="11"/>
        <v>17256148</v>
      </c>
      <c r="G49" s="16">
        <f t="shared" si="11"/>
        <v>4831525</v>
      </c>
      <c r="H49" s="16">
        <f t="shared" si="11"/>
        <v>374895</v>
      </c>
      <c r="I49" s="16">
        <f t="shared" si="11"/>
        <v>0</v>
      </c>
      <c r="J49" s="16">
        <f t="shared" si="11"/>
        <v>67546702</v>
      </c>
      <c r="K49" s="16">
        <f t="shared" si="11"/>
        <v>35000</v>
      </c>
      <c r="L49" s="16">
        <f t="shared" si="11"/>
        <v>0</v>
      </c>
      <c r="M49" s="16">
        <f t="shared" si="11"/>
        <v>0</v>
      </c>
      <c r="N49" s="16">
        <f t="shared" si="11"/>
        <v>67511702</v>
      </c>
      <c r="O49" s="16">
        <f t="shared" si="11"/>
        <v>66339291</v>
      </c>
      <c r="P49" s="50">
        <f>E49+J49</f>
        <v>84802850</v>
      </c>
      <c r="Q49" s="51">
        <f>O49+E49-O52-E52-P78</f>
        <v>66339291</v>
      </c>
      <c r="R49" s="17">
        <v>1860429034</v>
      </c>
    </row>
    <row r="50" spans="1:21" ht="30" hidden="1">
      <c r="A50" s="25" t="s">
        <v>113</v>
      </c>
      <c r="B50" s="12"/>
      <c r="C50" s="12"/>
      <c r="D50" s="26" t="s">
        <v>112</v>
      </c>
      <c r="E50" s="27">
        <f>F50+I50</f>
        <v>17256148</v>
      </c>
      <c r="F50" s="27">
        <f>F51+F53+F78+F85+F91+F93+F98+F95</f>
        <v>17256148</v>
      </c>
      <c r="G50" s="27">
        <f>G51+G53+G78+G85+G91+G93+G98+G95</f>
        <v>4831525</v>
      </c>
      <c r="H50" s="27">
        <f>H51+H53+H78+H85+H91+H93+H98+H95</f>
        <v>374895</v>
      </c>
      <c r="I50" s="27">
        <f>I51+I53+I78+I85+I91+I93+I98+I95</f>
        <v>0</v>
      </c>
      <c r="J50" s="27">
        <f>K50+N50</f>
        <v>67546702</v>
      </c>
      <c r="K50" s="27">
        <f>K51+K53+K78+K85+K91+K93+K98+K95</f>
        <v>35000</v>
      </c>
      <c r="L50" s="27">
        <f>L51+L53+L78+L85+L91+L93+L98+L95</f>
        <v>0</v>
      </c>
      <c r="M50" s="27">
        <f>M51+M53+M78+M85+M91+M93+M98+M95</f>
        <v>0</v>
      </c>
      <c r="N50" s="27">
        <f>N51+N53+N78+N85+N91+N93+N98+N95</f>
        <v>67511702</v>
      </c>
      <c r="O50" s="27">
        <f>O51+O53+O78+O85+O91+O93+O98+O95</f>
        <v>66339291</v>
      </c>
      <c r="P50" s="27">
        <f>E50+J50</f>
        <v>84802850</v>
      </c>
      <c r="R50" s="52">
        <f>Q49-R49</f>
        <v>-1794089743</v>
      </c>
    </row>
    <row r="51" spans="1:21" hidden="1">
      <c r="A51" s="28" t="s">
        <v>114</v>
      </c>
      <c r="B51" s="28" t="s">
        <v>21</v>
      </c>
      <c r="C51" s="28"/>
      <c r="D51" s="29" t="s">
        <v>22</v>
      </c>
      <c r="E51" s="27">
        <f t="shared" ref="E51:E115" si="12">F51+I51</f>
        <v>6446676</v>
      </c>
      <c r="F51" s="30">
        <f>F52</f>
        <v>6446676</v>
      </c>
      <c r="G51" s="30">
        <f>G52</f>
        <v>4779779</v>
      </c>
      <c r="H51" s="30">
        <f>H52</f>
        <v>374895</v>
      </c>
      <c r="I51" s="30">
        <f>I52</f>
        <v>0</v>
      </c>
      <c r="J51" s="27">
        <f t="shared" ref="J51:J115" si="13">K51+N51</f>
        <v>0</v>
      </c>
      <c r="K51" s="30">
        <f>K52</f>
        <v>0</v>
      </c>
      <c r="L51" s="30">
        <f>L52</f>
        <v>0</v>
      </c>
      <c r="M51" s="30">
        <f>M52</f>
        <v>0</v>
      </c>
      <c r="N51" s="30">
        <f>N52</f>
        <v>0</v>
      </c>
      <c r="O51" s="30">
        <f>O52</f>
        <v>0</v>
      </c>
      <c r="P51" s="27">
        <f t="shared" ref="P51:P102" si="14">E51+J51</f>
        <v>6446676</v>
      </c>
    </row>
    <row r="52" spans="1:21" ht="30" hidden="1">
      <c r="A52" s="25" t="s">
        <v>115</v>
      </c>
      <c r="B52" s="25" t="s">
        <v>116</v>
      </c>
      <c r="C52" s="25" t="s">
        <v>25</v>
      </c>
      <c r="D52" s="26" t="s">
        <v>117</v>
      </c>
      <c r="E52" s="27">
        <f t="shared" si="12"/>
        <v>6446676</v>
      </c>
      <c r="F52" s="27">
        <v>6446676</v>
      </c>
      <c r="G52" s="27">
        <v>4779779</v>
      </c>
      <c r="H52" s="27">
        <v>374895</v>
      </c>
      <c r="I52" s="27"/>
      <c r="J52" s="27">
        <f t="shared" si="13"/>
        <v>0</v>
      </c>
      <c r="K52" s="27"/>
      <c r="L52" s="27"/>
      <c r="M52" s="27"/>
      <c r="N52" s="27"/>
      <c r="O52" s="27"/>
      <c r="P52" s="27">
        <f t="shared" si="14"/>
        <v>6446676</v>
      </c>
    </row>
    <row r="53" spans="1:21" s="168" customFormat="1">
      <c r="A53" s="115" t="s">
        <v>118</v>
      </c>
      <c r="B53" s="115" t="s">
        <v>119</v>
      </c>
      <c r="C53" s="115"/>
      <c r="D53" s="148" t="s">
        <v>120</v>
      </c>
      <c r="E53" s="167">
        <f>F53+I53</f>
        <v>0</v>
      </c>
      <c r="F53" s="43">
        <f>F54</f>
        <v>0</v>
      </c>
      <c r="G53" s="43">
        <f>G54</f>
        <v>0</v>
      </c>
      <c r="H53" s="43"/>
      <c r="I53" s="43">
        <f>I55+I57+I61+I64+I67+I68+I72+I73+I74+I75+I76+I77</f>
        <v>0</v>
      </c>
      <c r="J53" s="27">
        <f>J57+J60</f>
        <v>-6014703</v>
      </c>
      <c r="K53" s="43"/>
      <c r="L53" s="43"/>
      <c r="M53" s="43"/>
      <c r="N53" s="27">
        <f>N57+N60</f>
        <v>-6014703</v>
      </c>
      <c r="O53" s="27">
        <f t="shared" ref="O53:P53" si="15">O57+O60</f>
        <v>-6014703</v>
      </c>
      <c r="P53" s="27">
        <f t="shared" si="15"/>
        <v>-6014703</v>
      </c>
      <c r="R53" s="169"/>
      <c r="S53" s="169"/>
      <c r="U53" s="169"/>
    </row>
    <row r="54" spans="1:21" s="168" customFormat="1">
      <c r="A54" s="115"/>
      <c r="B54" s="115"/>
      <c r="C54" s="115"/>
      <c r="D54" s="170" t="s">
        <v>1054</v>
      </c>
      <c r="E54" s="167"/>
      <c r="F54" s="43"/>
      <c r="G54" s="43"/>
      <c r="H54" s="43"/>
      <c r="I54" s="43"/>
      <c r="J54" s="27"/>
      <c r="K54" s="43"/>
      <c r="L54" s="43"/>
      <c r="M54" s="43"/>
      <c r="N54" s="43"/>
      <c r="O54" s="43"/>
      <c r="P54" s="167"/>
      <c r="R54" s="169"/>
      <c r="S54" s="169"/>
      <c r="U54" s="169"/>
    </row>
    <row r="55" spans="1:21" hidden="1">
      <c r="A55" s="25" t="s">
        <v>121</v>
      </c>
      <c r="B55" s="25" t="s">
        <v>122</v>
      </c>
      <c r="C55" s="25" t="s">
        <v>123</v>
      </c>
      <c r="D55" s="26" t="s">
        <v>124</v>
      </c>
      <c r="E55" s="27">
        <f t="shared" si="12"/>
        <v>474028861</v>
      </c>
      <c r="F55" s="27">
        <f>464748811+((480050))+9800000-5000000+4000000</f>
        <v>474028861</v>
      </c>
      <c r="G55" s="27">
        <f>279125568</f>
        <v>279125568</v>
      </c>
      <c r="H55" s="27">
        <v>72614697</v>
      </c>
      <c r="I55" s="27"/>
      <c r="J55" s="27">
        <f t="shared" si="13"/>
        <v>66106131</v>
      </c>
      <c r="K55" s="27">
        <v>40024089</v>
      </c>
      <c r="L55" s="27">
        <v>161747</v>
      </c>
      <c r="M55" s="27">
        <v>9976</v>
      </c>
      <c r="N55" s="43">
        <f t="shared" ref="N55:N59" si="16">O55</f>
        <v>26082042</v>
      </c>
      <c r="O55" s="27">
        <f>25552292+269300+((260450))</f>
        <v>26082042</v>
      </c>
      <c r="P55" s="27">
        <f t="shared" si="14"/>
        <v>540134992</v>
      </c>
    </row>
    <row r="56" spans="1:21" s="56" customFormat="1" ht="81" hidden="1" customHeight="1">
      <c r="A56" s="53"/>
      <c r="B56" s="53"/>
      <c r="C56" s="53"/>
      <c r="D56" s="54" t="s">
        <v>125</v>
      </c>
      <c r="E56" s="55">
        <f t="shared" si="12"/>
        <v>0</v>
      </c>
      <c r="F56" s="55"/>
      <c r="G56" s="55"/>
      <c r="H56" s="55"/>
      <c r="I56" s="55"/>
      <c r="J56" s="27">
        <f t="shared" si="13"/>
        <v>0</v>
      </c>
      <c r="K56" s="55"/>
      <c r="L56" s="55"/>
      <c r="M56" s="55"/>
      <c r="N56" s="43">
        <f t="shared" si="16"/>
        <v>0</v>
      </c>
      <c r="O56" s="55"/>
      <c r="P56" s="55">
        <f t="shared" si="14"/>
        <v>0</v>
      </c>
    </row>
    <row r="57" spans="1:21" ht="117" customHeight="1">
      <c r="A57" s="25" t="s">
        <v>126</v>
      </c>
      <c r="B57" s="25" t="s">
        <v>127</v>
      </c>
      <c r="C57" s="25" t="s">
        <v>128</v>
      </c>
      <c r="D57" s="26" t="s">
        <v>129</v>
      </c>
      <c r="E57" s="27">
        <f t="shared" si="12"/>
        <v>0</v>
      </c>
      <c r="F57" s="27"/>
      <c r="G57" s="27"/>
      <c r="H57" s="27"/>
      <c r="I57" s="27"/>
      <c r="J57" s="27">
        <f>J58+J59</f>
        <v>-2811672</v>
      </c>
      <c r="K57" s="27"/>
      <c r="L57" s="27"/>
      <c r="M57" s="27"/>
      <c r="N57" s="27">
        <f t="shared" ref="N57:P57" si="17">N58+N59</f>
        <v>-2811672</v>
      </c>
      <c r="O57" s="27">
        <f t="shared" si="17"/>
        <v>-2811672</v>
      </c>
      <c r="P57" s="27">
        <f t="shared" si="17"/>
        <v>-2811672</v>
      </c>
    </row>
    <row r="58" spans="1:21" s="56" customFormat="1" ht="24">
      <c r="A58" s="53"/>
      <c r="B58" s="53"/>
      <c r="C58" s="53"/>
      <c r="D58" s="54" t="s">
        <v>130</v>
      </c>
      <c r="E58" s="55">
        <f t="shared" si="12"/>
        <v>0</v>
      </c>
      <c r="F58" s="55"/>
      <c r="G58" s="55"/>
      <c r="H58" s="55"/>
      <c r="I58" s="55"/>
      <c r="J58" s="55">
        <f t="shared" si="13"/>
        <v>423000</v>
      </c>
      <c r="K58" s="55"/>
      <c r="L58" s="55"/>
      <c r="M58" s="55"/>
      <c r="N58" s="43">
        <f t="shared" si="16"/>
        <v>423000</v>
      </c>
      <c r="O58" s="55">
        <v>423000</v>
      </c>
      <c r="P58" s="55">
        <f t="shared" si="14"/>
        <v>423000</v>
      </c>
    </row>
    <row r="59" spans="1:21" s="56" customFormat="1" ht="74.25" customHeight="1">
      <c r="A59" s="53"/>
      <c r="B59" s="53"/>
      <c r="C59" s="53"/>
      <c r="D59" s="54" t="s">
        <v>1060</v>
      </c>
      <c r="E59" s="55">
        <f t="shared" si="12"/>
        <v>0</v>
      </c>
      <c r="F59" s="55"/>
      <c r="G59" s="55"/>
      <c r="H59" s="55"/>
      <c r="I59" s="55"/>
      <c r="J59" s="55">
        <f>K59+N59</f>
        <v>-3234672</v>
      </c>
      <c r="K59" s="55"/>
      <c r="L59" s="55"/>
      <c r="M59" s="55"/>
      <c r="N59" s="43">
        <f t="shared" si="16"/>
        <v>-3234672</v>
      </c>
      <c r="O59" s="55">
        <v>-3234672</v>
      </c>
      <c r="P59" s="55">
        <f t="shared" si="14"/>
        <v>-3234672</v>
      </c>
    </row>
    <row r="60" spans="1:21" ht="73.5" customHeight="1">
      <c r="A60" s="25" t="s">
        <v>192</v>
      </c>
      <c r="B60" s="25" t="s">
        <v>193</v>
      </c>
      <c r="C60" s="25" t="s">
        <v>128</v>
      </c>
      <c r="D60" s="26" t="s">
        <v>1062</v>
      </c>
      <c r="E60" s="27">
        <f t="shared" si="12"/>
        <v>0</v>
      </c>
      <c r="F60" s="27"/>
      <c r="G60" s="27"/>
      <c r="H60" s="27"/>
      <c r="I60" s="27"/>
      <c r="J60" s="27">
        <f>J61</f>
        <v>-3203031</v>
      </c>
      <c r="K60" s="27"/>
      <c r="L60" s="27"/>
      <c r="M60" s="27"/>
      <c r="N60" s="27">
        <f t="shared" ref="K60:P60" si="18">N61</f>
        <v>-3203031</v>
      </c>
      <c r="O60" s="27">
        <f t="shared" si="18"/>
        <v>-3203031</v>
      </c>
      <c r="P60" s="27">
        <f t="shared" si="18"/>
        <v>-3203031</v>
      </c>
    </row>
    <row r="61" spans="1:21" ht="75.75" customHeight="1">
      <c r="A61" s="25"/>
      <c r="B61" s="25"/>
      <c r="C61" s="25"/>
      <c r="D61" s="54" t="s">
        <v>1060</v>
      </c>
      <c r="E61" s="27">
        <f t="shared" si="12"/>
        <v>0</v>
      </c>
      <c r="F61" s="27"/>
      <c r="G61" s="27"/>
      <c r="H61" s="27"/>
      <c r="I61" s="27"/>
      <c r="J61" s="27">
        <f t="shared" si="13"/>
        <v>-3203031</v>
      </c>
      <c r="K61" s="27"/>
      <c r="L61" s="27"/>
      <c r="M61" s="27"/>
      <c r="N61" s="27">
        <f>O61</f>
        <v>-3203031</v>
      </c>
      <c r="O61" s="27">
        <v>-3203031</v>
      </c>
      <c r="P61" s="27">
        <f t="shared" si="14"/>
        <v>-3203031</v>
      </c>
    </row>
    <row r="62" spans="1:21" s="56" customFormat="1" ht="35.25" hidden="1" customHeight="1">
      <c r="A62" s="57"/>
      <c r="B62" s="57"/>
      <c r="C62" s="57"/>
      <c r="D62" s="54" t="s">
        <v>133</v>
      </c>
      <c r="E62" s="55">
        <f t="shared" si="12"/>
        <v>10709119</v>
      </c>
      <c r="F62" s="55">
        <f>10292424+416695</f>
        <v>10709119</v>
      </c>
      <c r="G62" s="55">
        <f>8436413+341553</f>
        <v>8777966</v>
      </c>
      <c r="H62" s="55"/>
      <c r="I62" s="55"/>
      <c r="J62" s="55">
        <f t="shared" si="13"/>
        <v>0</v>
      </c>
      <c r="K62" s="55"/>
      <c r="L62" s="55"/>
      <c r="M62" s="55"/>
      <c r="N62" s="55"/>
      <c r="O62" s="55"/>
      <c r="P62" s="55">
        <f t="shared" si="14"/>
        <v>10709119</v>
      </c>
    </row>
    <row r="63" spans="1:21" s="56" customFormat="1" ht="64.5" hidden="1" customHeight="1">
      <c r="A63" s="53"/>
      <c r="B63" s="53"/>
      <c r="C63" s="53"/>
      <c r="D63" s="54" t="s">
        <v>131</v>
      </c>
      <c r="E63" s="55">
        <f t="shared" si="12"/>
        <v>0</v>
      </c>
      <c r="F63" s="55"/>
      <c r="G63" s="55"/>
      <c r="H63" s="55"/>
      <c r="I63" s="55"/>
      <c r="J63" s="55">
        <f t="shared" si="13"/>
        <v>0</v>
      </c>
      <c r="K63" s="55"/>
      <c r="L63" s="55"/>
      <c r="M63" s="55"/>
      <c r="N63" s="55"/>
      <c r="O63" s="55"/>
      <c r="P63" s="55">
        <f t="shared" si="14"/>
        <v>0</v>
      </c>
    </row>
    <row r="64" spans="1:21" s="61" customFormat="1" ht="114" hidden="1" customHeight="1">
      <c r="A64" s="58" t="s">
        <v>134</v>
      </c>
      <c r="B64" s="58" t="s">
        <v>135</v>
      </c>
      <c r="C64" s="58" t="s">
        <v>136</v>
      </c>
      <c r="D64" s="59" t="s">
        <v>137</v>
      </c>
      <c r="E64" s="27">
        <f t="shared" si="12"/>
        <v>13436522</v>
      </c>
      <c r="F64" s="60">
        <f>12818738+617784</f>
        <v>13436522</v>
      </c>
      <c r="G64" s="60">
        <v>10111056</v>
      </c>
      <c r="H64" s="60">
        <v>1101034</v>
      </c>
      <c r="I64" s="60"/>
      <c r="J64" s="27">
        <f t="shared" si="13"/>
        <v>0</v>
      </c>
      <c r="K64" s="60"/>
      <c r="L64" s="60"/>
      <c r="M64" s="60"/>
      <c r="N64" s="60"/>
      <c r="O64" s="60"/>
      <c r="P64" s="27">
        <f t="shared" si="14"/>
        <v>13436522</v>
      </c>
    </row>
    <row r="65" spans="1:16" s="63" customFormat="1" ht="26.25" hidden="1" customHeight="1">
      <c r="A65" s="53"/>
      <c r="B65" s="53"/>
      <c r="C65" s="53"/>
      <c r="D65" s="54" t="s">
        <v>130</v>
      </c>
      <c r="E65" s="55">
        <f t="shared" si="12"/>
        <v>12335488</v>
      </c>
      <c r="F65" s="62">
        <f>11717704+617784</f>
        <v>12335488</v>
      </c>
      <c r="G65" s="62">
        <f>9604675+506381</f>
        <v>10111056</v>
      </c>
      <c r="H65" s="62"/>
      <c r="I65" s="62"/>
      <c r="J65" s="55">
        <f t="shared" si="13"/>
        <v>0</v>
      </c>
      <c r="K65" s="62"/>
      <c r="L65" s="62"/>
      <c r="M65" s="62"/>
      <c r="N65" s="62"/>
      <c r="O65" s="62"/>
      <c r="P65" s="55">
        <f t="shared" si="14"/>
        <v>12335488</v>
      </c>
    </row>
    <row r="66" spans="1:16" s="56" customFormat="1" ht="63.75" hidden="1" customHeight="1">
      <c r="A66" s="53"/>
      <c r="B66" s="53"/>
      <c r="C66" s="53"/>
      <c r="D66" s="54" t="s">
        <v>131</v>
      </c>
      <c r="E66" s="55">
        <f t="shared" si="12"/>
        <v>0</v>
      </c>
      <c r="F66" s="55"/>
      <c r="G66" s="55"/>
      <c r="H66" s="55"/>
      <c r="I66" s="55"/>
      <c r="J66" s="55">
        <f t="shared" si="13"/>
        <v>0</v>
      </c>
      <c r="K66" s="55"/>
      <c r="L66" s="55"/>
      <c r="M66" s="55"/>
      <c r="N66" s="55"/>
      <c r="O66" s="55"/>
      <c r="P66" s="55">
        <f t="shared" si="14"/>
        <v>0</v>
      </c>
    </row>
    <row r="67" spans="1:16" ht="73.5" hidden="1" customHeight="1">
      <c r="A67" s="25" t="s">
        <v>138</v>
      </c>
      <c r="B67" s="25" t="s">
        <v>139</v>
      </c>
      <c r="C67" s="25" t="s">
        <v>140</v>
      </c>
      <c r="D67" s="26" t="s">
        <v>141</v>
      </c>
      <c r="E67" s="27">
        <f t="shared" si="12"/>
        <v>52526681</v>
      </c>
      <c r="F67" s="27">
        <v>52526681</v>
      </c>
      <c r="G67" s="27">
        <v>35714087</v>
      </c>
      <c r="H67" s="27">
        <v>8219517</v>
      </c>
      <c r="I67" s="27"/>
      <c r="J67" s="27">
        <f t="shared" si="13"/>
        <v>1057262</v>
      </c>
      <c r="K67" s="27">
        <v>313304</v>
      </c>
      <c r="L67" s="27">
        <v>72397</v>
      </c>
      <c r="M67" s="27">
        <v>6630</v>
      </c>
      <c r="N67" s="27">
        <f>O67+17000</f>
        <v>743958</v>
      </c>
      <c r="O67" s="27">
        <v>726958</v>
      </c>
      <c r="P67" s="27">
        <f t="shared" si="14"/>
        <v>53583943</v>
      </c>
    </row>
    <row r="68" spans="1:16" ht="52.5" hidden="1" customHeight="1">
      <c r="A68" s="25" t="s">
        <v>142</v>
      </c>
      <c r="B68" s="25" t="s">
        <v>143</v>
      </c>
      <c r="C68" s="25" t="s">
        <v>144</v>
      </c>
      <c r="D68" s="26" t="s">
        <v>145</v>
      </c>
      <c r="E68" s="27">
        <f t="shared" si="12"/>
        <v>179681272</v>
      </c>
      <c r="F68" s="27">
        <v>179681272</v>
      </c>
      <c r="G68" s="27">
        <v>97354258</v>
      </c>
      <c r="H68" s="27">
        <v>16972260</v>
      </c>
      <c r="I68" s="27"/>
      <c r="J68" s="27">
        <f t="shared" si="13"/>
        <v>12067300</v>
      </c>
      <c r="K68" s="27">
        <v>11410290</v>
      </c>
      <c r="L68" s="27">
        <v>3749822</v>
      </c>
      <c r="M68" s="27">
        <v>3556335</v>
      </c>
      <c r="N68" s="27">
        <f>O68+657010</f>
        <v>657010</v>
      </c>
      <c r="O68" s="27"/>
      <c r="P68" s="27">
        <f t="shared" si="14"/>
        <v>191748572</v>
      </c>
    </row>
    <row r="69" spans="1:16" s="56" customFormat="1" ht="27.75" hidden="1" customHeight="1">
      <c r="A69" s="53"/>
      <c r="B69" s="53"/>
      <c r="C69" s="53"/>
      <c r="D69" s="64" t="s">
        <v>146</v>
      </c>
      <c r="E69" s="55">
        <f t="shared" si="12"/>
        <v>16383145</v>
      </c>
      <c r="F69" s="55">
        <f>16590108-206963</f>
        <v>16383145</v>
      </c>
      <c r="G69" s="55">
        <f>13598449-169642</f>
        <v>13428807</v>
      </c>
      <c r="H69" s="55"/>
      <c r="I69" s="55"/>
      <c r="J69" s="55">
        <f t="shared" si="13"/>
        <v>0</v>
      </c>
      <c r="K69" s="55"/>
      <c r="L69" s="55"/>
      <c r="M69" s="55"/>
      <c r="N69" s="55"/>
      <c r="O69" s="55"/>
      <c r="P69" s="55">
        <f t="shared" si="14"/>
        <v>16383145</v>
      </c>
    </row>
    <row r="70" spans="1:16" s="56" customFormat="1" ht="66" hidden="1" customHeight="1">
      <c r="A70" s="53"/>
      <c r="B70" s="53"/>
      <c r="C70" s="53"/>
      <c r="D70" s="64" t="s">
        <v>131</v>
      </c>
      <c r="E70" s="55">
        <f t="shared" si="12"/>
        <v>0</v>
      </c>
      <c r="F70" s="55"/>
      <c r="G70" s="55"/>
      <c r="H70" s="55"/>
      <c r="I70" s="55"/>
      <c r="J70" s="55">
        <f t="shared" si="13"/>
        <v>0</v>
      </c>
      <c r="K70" s="55"/>
      <c r="L70" s="55"/>
      <c r="M70" s="55"/>
      <c r="N70" s="55"/>
      <c r="O70" s="55"/>
      <c r="P70" s="55">
        <f t="shared" si="14"/>
        <v>0</v>
      </c>
    </row>
    <row r="71" spans="1:16" s="56" customFormat="1" ht="67.5" hidden="1" customHeight="1">
      <c r="A71" s="53"/>
      <c r="B71" s="53"/>
      <c r="C71" s="53"/>
      <c r="D71" s="64" t="s">
        <v>147</v>
      </c>
      <c r="E71" s="55">
        <f t="shared" si="12"/>
        <v>0</v>
      </c>
      <c r="F71" s="55"/>
      <c r="G71" s="55"/>
      <c r="H71" s="55"/>
      <c r="I71" s="55"/>
      <c r="J71" s="55">
        <f t="shared" si="13"/>
        <v>0</v>
      </c>
      <c r="K71" s="55"/>
      <c r="L71" s="55"/>
      <c r="M71" s="55"/>
      <c r="N71" s="55"/>
      <c r="O71" s="55"/>
      <c r="P71" s="55">
        <f t="shared" si="14"/>
        <v>0</v>
      </c>
    </row>
    <row r="72" spans="1:16" ht="57.75" hidden="1" customHeight="1">
      <c r="A72" s="25" t="s">
        <v>148</v>
      </c>
      <c r="B72" s="25" t="s">
        <v>149</v>
      </c>
      <c r="C72" s="25" t="s">
        <v>150</v>
      </c>
      <c r="D72" s="26" t="s">
        <v>151</v>
      </c>
      <c r="E72" s="27">
        <f t="shared" si="12"/>
        <v>6125022</v>
      </c>
      <c r="F72" s="27">
        <v>6125022</v>
      </c>
      <c r="G72" s="27">
        <v>4668324</v>
      </c>
      <c r="H72" s="27">
        <v>206094</v>
      </c>
      <c r="I72" s="27"/>
      <c r="J72" s="27">
        <f t="shared" si="13"/>
        <v>0</v>
      </c>
      <c r="K72" s="27"/>
      <c r="L72" s="27"/>
      <c r="M72" s="27"/>
      <c r="N72" s="27"/>
      <c r="O72" s="27"/>
      <c r="P72" s="27">
        <f t="shared" si="14"/>
        <v>6125022</v>
      </c>
    </row>
    <row r="73" spans="1:16" ht="79.5" hidden="1" customHeight="1">
      <c r="A73" s="25" t="s">
        <v>152</v>
      </c>
      <c r="B73" s="25" t="s">
        <v>153</v>
      </c>
      <c r="C73" s="25" t="s">
        <v>150</v>
      </c>
      <c r="D73" s="31" t="s">
        <v>154</v>
      </c>
      <c r="E73" s="27">
        <f t="shared" si="12"/>
        <v>3058544</v>
      </c>
      <c r="F73" s="27">
        <v>3058544</v>
      </c>
      <c r="G73" s="27">
        <v>2018924</v>
      </c>
      <c r="H73" s="27">
        <v>45647</v>
      </c>
      <c r="I73" s="27"/>
      <c r="J73" s="27">
        <f t="shared" si="13"/>
        <v>0</v>
      </c>
      <c r="K73" s="27"/>
      <c r="L73" s="27"/>
      <c r="M73" s="27"/>
      <c r="N73" s="27"/>
      <c r="O73" s="27"/>
      <c r="P73" s="27">
        <f t="shared" si="14"/>
        <v>3058544</v>
      </c>
    </row>
    <row r="74" spans="1:16" ht="39" hidden="1" customHeight="1">
      <c r="A74" s="25" t="s">
        <v>155</v>
      </c>
      <c r="B74" s="25" t="s">
        <v>156</v>
      </c>
      <c r="C74" s="25" t="s">
        <v>150</v>
      </c>
      <c r="D74" s="31" t="s">
        <v>157</v>
      </c>
      <c r="E74" s="27">
        <f t="shared" si="12"/>
        <v>19464654</v>
      </c>
      <c r="F74" s="27">
        <v>19464654</v>
      </c>
      <c r="G74" s="27">
        <v>14123431</v>
      </c>
      <c r="H74" s="27">
        <v>1030592</v>
      </c>
      <c r="I74" s="27"/>
      <c r="J74" s="27">
        <f t="shared" si="13"/>
        <v>1545874</v>
      </c>
      <c r="K74" s="27">
        <v>37874</v>
      </c>
      <c r="L74" s="27"/>
      <c r="M74" s="27"/>
      <c r="N74" s="27">
        <f>O74</f>
        <v>1508000</v>
      </c>
      <c r="O74" s="27">
        <v>1508000</v>
      </c>
      <c r="P74" s="27">
        <f t="shared" si="14"/>
        <v>21010528</v>
      </c>
    </row>
    <row r="75" spans="1:16" ht="64.5" hidden="1" customHeight="1">
      <c r="A75" s="25" t="s">
        <v>158</v>
      </c>
      <c r="B75" s="25" t="s">
        <v>159</v>
      </c>
      <c r="C75" s="25" t="s">
        <v>150</v>
      </c>
      <c r="D75" s="31" t="s">
        <v>160</v>
      </c>
      <c r="E75" s="27">
        <f t="shared" si="12"/>
        <v>7392150</v>
      </c>
      <c r="F75" s="27">
        <v>7392150</v>
      </c>
      <c r="G75" s="27">
        <v>4878552</v>
      </c>
      <c r="H75" s="27">
        <v>684988</v>
      </c>
      <c r="I75" s="27"/>
      <c r="J75" s="27">
        <f t="shared" si="13"/>
        <v>653761</v>
      </c>
      <c r="K75" s="27">
        <v>601261</v>
      </c>
      <c r="L75" s="27"/>
      <c r="M75" s="27"/>
      <c r="N75" s="27">
        <f>O75+52500</f>
        <v>52500</v>
      </c>
      <c r="O75" s="27"/>
      <c r="P75" s="27">
        <f t="shared" si="14"/>
        <v>8045911</v>
      </c>
    </row>
    <row r="76" spans="1:16" ht="38.25" hidden="1" customHeight="1">
      <c r="A76" s="25" t="s">
        <v>161</v>
      </c>
      <c r="B76" s="25" t="s">
        <v>162</v>
      </c>
      <c r="C76" s="25" t="s">
        <v>150</v>
      </c>
      <c r="D76" s="31" t="s">
        <v>163</v>
      </c>
      <c r="E76" s="27">
        <f t="shared" si="12"/>
        <v>7180530</v>
      </c>
      <c r="F76" s="27">
        <v>7180530</v>
      </c>
      <c r="G76" s="27">
        <v>5256200</v>
      </c>
      <c r="H76" s="27">
        <v>723674</v>
      </c>
      <c r="I76" s="27"/>
      <c r="J76" s="27">
        <f t="shared" si="13"/>
        <v>0</v>
      </c>
      <c r="K76" s="27"/>
      <c r="L76" s="27"/>
      <c r="M76" s="27"/>
      <c r="N76" s="27"/>
      <c r="O76" s="27"/>
      <c r="P76" s="27">
        <f t="shared" si="14"/>
        <v>7180530</v>
      </c>
    </row>
    <row r="77" spans="1:16" ht="75" hidden="1">
      <c r="A77" s="25" t="s">
        <v>164</v>
      </c>
      <c r="B77" s="25" t="s">
        <v>165</v>
      </c>
      <c r="C77" s="25" t="s">
        <v>150</v>
      </c>
      <c r="D77" s="31" t="s">
        <v>166</v>
      </c>
      <c r="E77" s="27">
        <f t="shared" si="12"/>
        <v>114030</v>
      </c>
      <c r="F77" s="27">
        <v>114030</v>
      </c>
      <c r="G77" s="27"/>
      <c r="H77" s="27"/>
      <c r="I77" s="27"/>
      <c r="J77" s="27">
        <f t="shared" si="13"/>
        <v>0</v>
      </c>
      <c r="K77" s="27"/>
      <c r="L77" s="27"/>
      <c r="M77" s="27"/>
      <c r="N77" s="27"/>
      <c r="O77" s="27"/>
      <c r="P77" s="27">
        <f t="shared" si="14"/>
        <v>114030</v>
      </c>
    </row>
    <row r="78" spans="1:16" ht="26.25" hidden="1">
      <c r="A78" s="28" t="s">
        <v>167</v>
      </c>
      <c r="B78" s="28" t="s">
        <v>168</v>
      </c>
      <c r="C78" s="28"/>
      <c r="D78" s="33" t="s">
        <v>169</v>
      </c>
      <c r="E78" s="27">
        <f t="shared" si="12"/>
        <v>10809472</v>
      </c>
      <c r="F78" s="30">
        <f>F79+F82+F83+F84</f>
        <v>10809472</v>
      </c>
      <c r="G78" s="30">
        <f>G79+G82+G83+G84</f>
        <v>51746</v>
      </c>
      <c r="H78" s="30">
        <f>H79+H82+H83+H84</f>
        <v>0</v>
      </c>
      <c r="I78" s="30">
        <f>I79+I82+I83+I84</f>
        <v>0</v>
      </c>
      <c r="J78" s="27">
        <f t="shared" si="13"/>
        <v>0</v>
      </c>
      <c r="K78" s="30">
        <f>K79+K82+K83+K84</f>
        <v>0</v>
      </c>
      <c r="L78" s="30">
        <f>L79+L82+L83+L84</f>
        <v>0</v>
      </c>
      <c r="M78" s="30">
        <f>M79+M82+M83+M84</f>
        <v>0</v>
      </c>
      <c r="N78" s="30">
        <f>N79+N82+N83+N84</f>
        <v>0</v>
      </c>
      <c r="O78" s="30">
        <f>O79+O82+O83+O84</f>
        <v>0</v>
      </c>
      <c r="P78" s="27">
        <f t="shared" si="14"/>
        <v>10809472</v>
      </c>
    </row>
    <row r="79" spans="1:16" ht="45" hidden="1">
      <c r="A79" s="25" t="s">
        <v>170</v>
      </c>
      <c r="B79" s="25" t="s">
        <v>171</v>
      </c>
      <c r="C79" s="25"/>
      <c r="D79" s="31" t="s">
        <v>172</v>
      </c>
      <c r="E79" s="27">
        <f t="shared" si="12"/>
        <v>0</v>
      </c>
      <c r="F79" s="27">
        <f>F80+F81</f>
        <v>0</v>
      </c>
      <c r="G79" s="27">
        <f>G80+G81</f>
        <v>0</v>
      </c>
      <c r="H79" s="27">
        <f>H80+H81</f>
        <v>0</v>
      </c>
      <c r="I79" s="27">
        <f>I80+I81</f>
        <v>0</v>
      </c>
      <c r="J79" s="27">
        <f t="shared" si="13"/>
        <v>0</v>
      </c>
      <c r="K79" s="27">
        <f>K80+K81</f>
        <v>0</v>
      </c>
      <c r="L79" s="27">
        <f>L80+L81</f>
        <v>0</v>
      </c>
      <c r="M79" s="27">
        <f>M80+M81</f>
        <v>0</v>
      </c>
      <c r="N79" s="27">
        <f>N80+N81</f>
        <v>0</v>
      </c>
      <c r="O79" s="27">
        <f>O80+O81</f>
        <v>0</v>
      </c>
      <c r="P79" s="27">
        <f t="shared" si="14"/>
        <v>0</v>
      </c>
    </row>
    <row r="80" spans="1:16" ht="30" hidden="1">
      <c r="A80" s="25" t="s">
        <v>173</v>
      </c>
      <c r="B80" s="25" t="s">
        <v>174</v>
      </c>
      <c r="C80" s="25" t="s">
        <v>175</v>
      </c>
      <c r="D80" s="31" t="s">
        <v>176</v>
      </c>
      <c r="E80" s="27">
        <f t="shared" si="12"/>
        <v>0</v>
      </c>
      <c r="F80" s="27"/>
      <c r="G80" s="27"/>
      <c r="H80" s="27"/>
      <c r="I80" s="27"/>
      <c r="J80" s="27">
        <f t="shared" si="13"/>
        <v>0</v>
      </c>
      <c r="K80" s="27"/>
      <c r="L80" s="27"/>
      <c r="M80" s="27"/>
      <c r="N80" s="27"/>
      <c r="O80" s="27"/>
      <c r="P80" s="27">
        <f t="shared" si="14"/>
        <v>0</v>
      </c>
    </row>
    <row r="81" spans="1:16" ht="45" hidden="1">
      <c r="A81" s="25" t="s">
        <v>177</v>
      </c>
      <c r="B81" s="25" t="s">
        <v>178</v>
      </c>
      <c r="C81" s="25" t="s">
        <v>175</v>
      </c>
      <c r="D81" s="31" t="s">
        <v>179</v>
      </c>
      <c r="E81" s="27">
        <f t="shared" si="12"/>
        <v>0</v>
      </c>
      <c r="F81" s="27"/>
      <c r="G81" s="27"/>
      <c r="H81" s="27"/>
      <c r="I81" s="27"/>
      <c r="J81" s="27">
        <f t="shared" si="13"/>
        <v>0</v>
      </c>
      <c r="K81" s="27"/>
      <c r="L81" s="27"/>
      <c r="M81" s="27"/>
      <c r="N81" s="27"/>
      <c r="O81" s="27"/>
      <c r="P81" s="27">
        <f t="shared" si="14"/>
        <v>0</v>
      </c>
    </row>
    <row r="82" spans="1:16" ht="30" hidden="1">
      <c r="A82" s="25" t="s">
        <v>180</v>
      </c>
      <c r="B82" s="25" t="s">
        <v>181</v>
      </c>
      <c r="C82" s="25" t="s">
        <v>175</v>
      </c>
      <c r="D82" s="31" t="s">
        <v>182</v>
      </c>
      <c r="E82" s="27">
        <f t="shared" si="12"/>
        <v>0</v>
      </c>
      <c r="F82" s="27"/>
      <c r="G82" s="27"/>
      <c r="H82" s="27"/>
      <c r="I82" s="27"/>
      <c r="J82" s="27">
        <f t="shared" si="13"/>
        <v>0</v>
      </c>
      <c r="K82" s="27"/>
      <c r="L82" s="27"/>
      <c r="M82" s="27"/>
      <c r="N82" s="27"/>
      <c r="O82" s="27"/>
      <c r="P82" s="27">
        <f t="shared" si="14"/>
        <v>0</v>
      </c>
    </row>
    <row r="83" spans="1:16" ht="135" hidden="1">
      <c r="A83" s="25" t="s">
        <v>183</v>
      </c>
      <c r="B83" s="25" t="s">
        <v>184</v>
      </c>
      <c r="C83" s="25" t="s">
        <v>175</v>
      </c>
      <c r="D83" s="31" t="s">
        <v>185</v>
      </c>
      <c r="E83" s="27">
        <f t="shared" si="12"/>
        <v>10746342</v>
      </c>
      <c r="F83" s="27">
        <v>10746342</v>
      </c>
      <c r="G83" s="27"/>
      <c r="H83" s="27"/>
      <c r="I83" s="27"/>
      <c r="J83" s="27">
        <f t="shared" si="13"/>
        <v>0</v>
      </c>
      <c r="K83" s="27"/>
      <c r="L83" s="27"/>
      <c r="M83" s="27"/>
      <c r="N83" s="27"/>
      <c r="O83" s="27"/>
      <c r="P83" s="27">
        <f t="shared" si="14"/>
        <v>10746342</v>
      </c>
    </row>
    <row r="84" spans="1:16" ht="30" hidden="1">
      <c r="A84" s="25" t="s">
        <v>186</v>
      </c>
      <c r="B84" s="25" t="s">
        <v>187</v>
      </c>
      <c r="C84" s="25" t="s">
        <v>188</v>
      </c>
      <c r="D84" s="31" t="s">
        <v>189</v>
      </c>
      <c r="E84" s="27">
        <f>F84+I84</f>
        <v>63130</v>
      </c>
      <c r="F84" s="27">
        <v>63130</v>
      </c>
      <c r="G84" s="27">
        <v>51746</v>
      </c>
      <c r="H84" s="27"/>
      <c r="I84" s="27"/>
      <c r="J84" s="27">
        <f t="shared" si="13"/>
        <v>0</v>
      </c>
      <c r="K84" s="27"/>
      <c r="L84" s="27"/>
      <c r="M84" s="27"/>
      <c r="N84" s="27"/>
      <c r="O84" s="27"/>
      <c r="P84" s="27">
        <f>E84+J84</f>
        <v>63130</v>
      </c>
    </row>
    <row r="85" spans="1:16" hidden="1">
      <c r="A85" s="28" t="s">
        <v>190</v>
      </c>
      <c r="B85" s="28"/>
      <c r="C85" s="28"/>
      <c r="D85" s="33" t="s">
        <v>42</v>
      </c>
      <c r="E85" s="27">
        <f t="shared" si="12"/>
        <v>0</v>
      </c>
      <c r="F85" s="30">
        <f>F86+F88+F89+F90</f>
        <v>0</v>
      </c>
      <c r="G85" s="30">
        <f>G86+G88+G89+G90</f>
        <v>0</v>
      </c>
      <c r="H85" s="30">
        <f>H86+H88+H89+H90</f>
        <v>0</v>
      </c>
      <c r="I85" s="30">
        <f>I86+I88+I89+I90</f>
        <v>0</v>
      </c>
      <c r="J85" s="27">
        <f t="shared" si="13"/>
        <v>72353994</v>
      </c>
      <c r="K85" s="30">
        <f>K86+K88+K89+K90</f>
        <v>0</v>
      </c>
      <c r="L85" s="30">
        <f>L86+L88+L89+L90</f>
        <v>0</v>
      </c>
      <c r="M85" s="30">
        <f>M86+M88+M89+M90</f>
        <v>0</v>
      </c>
      <c r="N85" s="30">
        <f>N86+N88+N89+N90</f>
        <v>72353994</v>
      </c>
      <c r="O85" s="30">
        <f>O86+O88+O89+O90</f>
        <v>72353994</v>
      </c>
      <c r="P85" s="27">
        <f t="shared" si="14"/>
        <v>72353994</v>
      </c>
    </row>
    <row r="86" spans="1:16" s="17" customFormat="1" ht="45" hidden="1">
      <c r="A86" s="25" t="s">
        <v>191</v>
      </c>
      <c r="B86" s="25" t="s">
        <v>44</v>
      </c>
      <c r="C86" s="25" t="s">
        <v>45</v>
      </c>
      <c r="D86" s="31" t="s">
        <v>46</v>
      </c>
      <c r="E86" s="27">
        <f t="shared" si="12"/>
        <v>0</v>
      </c>
      <c r="F86" s="27"/>
      <c r="G86" s="27"/>
      <c r="H86" s="27"/>
      <c r="I86" s="27"/>
      <c r="J86" s="27">
        <f t="shared" si="13"/>
        <v>14976064</v>
      </c>
      <c r="K86" s="27"/>
      <c r="L86" s="27"/>
      <c r="M86" s="27"/>
      <c r="N86" s="27">
        <f>O86</f>
        <v>14976064</v>
      </c>
      <c r="O86" s="27">
        <f>15866982-890918</f>
        <v>14976064</v>
      </c>
      <c r="P86" s="27">
        <f t="shared" si="14"/>
        <v>14976064</v>
      </c>
    </row>
    <row r="87" spans="1:16" s="66" customFormat="1" ht="72" hidden="1">
      <c r="A87" s="53"/>
      <c r="B87" s="53"/>
      <c r="C87" s="53"/>
      <c r="D87" s="65" t="s">
        <v>125</v>
      </c>
      <c r="E87" s="55">
        <f t="shared" si="12"/>
        <v>0</v>
      </c>
      <c r="F87" s="55"/>
      <c r="G87" s="55"/>
      <c r="H87" s="55"/>
      <c r="I87" s="55"/>
      <c r="J87" s="55">
        <f t="shared" si="13"/>
        <v>0</v>
      </c>
      <c r="K87" s="55"/>
      <c r="L87" s="55"/>
      <c r="M87" s="55"/>
      <c r="N87" s="55"/>
      <c r="O87" s="55"/>
      <c r="P87" s="55">
        <f t="shared" si="14"/>
        <v>0</v>
      </c>
    </row>
    <row r="88" spans="1:16" s="17" customFormat="1" ht="90" hidden="1">
      <c r="A88" s="25" t="s">
        <v>192</v>
      </c>
      <c r="B88" s="25" t="s">
        <v>193</v>
      </c>
      <c r="C88" s="25" t="s">
        <v>128</v>
      </c>
      <c r="D88" s="31" t="s">
        <v>194</v>
      </c>
      <c r="E88" s="27">
        <f t="shared" si="12"/>
        <v>0</v>
      </c>
      <c r="F88" s="27"/>
      <c r="G88" s="27"/>
      <c r="H88" s="27"/>
      <c r="I88" s="27"/>
      <c r="J88" s="27">
        <f t="shared" si="13"/>
        <v>55030465</v>
      </c>
      <c r="K88" s="27"/>
      <c r="L88" s="27"/>
      <c r="M88" s="27"/>
      <c r="N88" s="27">
        <f>O88</f>
        <v>55030465</v>
      </c>
      <c r="O88" s="27">
        <f>56415567+787900-2173002</f>
        <v>55030465</v>
      </c>
      <c r="P88" s="27">
        <f t="shared" si="14"/>
        <v>55030465</v>
      </c>
    </row>
    <row r="89" spans="1:16" s="17" customFormat="1" ht="90" hidden="1">
      <c r="A89" s="25" t="s">
        <v>195</v>
      </c>
      <c r="B89" s="25" t="s">
        <v>196</v>
      </c>
      <c r="C89" s="25" t="s">
        <v>136</v>
      </c>
      <c r="D89" s="31" t="s">
        <v>197</v>
      </c>
      <c r="E89" s="27">
        <f t="shared" si="12"/>
        <v>0</v>
      </c>
      <c r="F89" s="27"/>
      <c r="G89" s="27"/>
      <c r="H89" s="27"/>
      <c r="I89" s="27"/>
      <c r="J89" s="27">
        <f t="shared" si="13"/>
        <v>0</v>
      </c>
      <c r="K89" s="27"/>
      <c r="L89" s="27"/>
      <c r="M89" s="27"/>
      <c r="N89" s="27">
        <f>O89</f>
        <v>0</v>
      </c>
      <c r="O89" s="27"/>
      <c r="P89" s="27">
        <f t="shared" si="14"/>
        <v>0</v>
      </c>
    </row>
    <row r="90" spans="1:16" s="17" customFormat="1" ht="90" hidden="1">
      <c r="A90" s="25" t="s">
        <v>198</v>
      </c>
      <c r="B90" s="25" t="s">
        <v>199</v>
      </c>
      <c r="C90" s="25" t="s">
        <v>140</v>
      </c>
      <c r="D90" s="31" t="s">
        <v>200</v>
      </c>
      <c r="E90" s="27">
        <f t="shared" si="12"/>
        <v>0</v>
      </c>
      <c r="F90" s="27"/>
      <c r="G90" s="27"/>
      <c r="H90" s="27"/>
      <c r="I90" s="27"/>
      <c r="J90" s="27">
        <f t="shared" si="13"/>
        <v>2347465</v>
      </c>
      <c r="K90" s="27"/>
      <c r="L90" s="27"/>
      <c r="M90" s="27"/>
      <c r="N90" s="27">
        <f>O90</f>
        <v>2347465</v>
      </c>
      <c r="O90" s="27">
        <f>980000+1367465</f>
        <v>2347465</v>
      </c>
      <c r="P90" s="27">
        <f t="shared" si="14"/>
        <v>2347465</v>
      </c>
    </row>
    <row r="91" spans="1:16" s="17" customFormat="1" ht="26.25" hidden="1">
      <c r="A91" s="34" t="s">
        <v>201</v>
      </c>
      <c r="B91" s="34" t="s">
        <v>202</v>
      </c>
      <c r="C91" s="34"/>
      <c r="D91" s="67" t="s">
        <v>203</v>
      </c>
      <c r="E91" s="27">
        <f t="shared" si="12"/>
        <v>0</v>
      </c>
      <c r="F91" s="37">
        <f>F92</f>
        <v>0</v>
      </c>
      <c r="G91" s="37">
        <f>G92</f>
        <v>0</v>
      </c>
      <c r="H91" s="37">
        <f>H92</f>
        <v>0</v>
      </c>
      <c r="I91" s="37">
        <f>I92</f>
        <v>0</v>
      </c>
      <c r="J91" s="27">
        <f t="shared" si="13"/>
        <v>0</v>
      </c>
      <c r="K91" s="37">
        <f>K92</f>
        <v>0</v>
      </c>
      <c r="L91" s="37">
        <f>L92</f>
        <v>0</v>
      </c>
      <c r="M91" s="37">
        <f>M92</f>
        <v>0</v>
      </c>
      <c r="N91" s="37">
        <f>N92</f>
        <v>0</v>
      </c>
      <c r="O91" s="37">
        <f>O92</f>
        <v>0</v>
      </c>
      <c r="P91" s="27">
        <f t="shared" si="14"/>
        <v>0</v>
      </c>
    </row>
    <row r="92" spans="1:16" s="17" customFormat="1" hidden="1">
      <c r="A92" s="18" t="s">
        <v>204</v>
      </c>
      <c r="B92" s="18" t="s">
        <v>205</v>
      </c>
      <c r="C92" s="18" t="s">
        <v>206</v>
      </c>
      <c r="D92" s="39" t="s">
        <v>207</v>
      </c>
      <c r="E92" s="27">
        <f t="shared" si="12"/>
        <v>0</v>
      </c>
      <c r="F92" s="27"/>
      <c r="G92" s="27"/>
      <c r="H92" s="27"/>
      <c r="I92" s="27"/>
      <c r="J92" s="27">
        <f t="shared" si="13"/>
        <v>0</v>
      </c>
      <c r="K92" s="27"/>
      <c r="L92" s="27"/>
      <c r="M92" s="27"/>
      <c r="N92" s="27"/>
      <c r="O92" s="27"/>
      <c r="P92" s="27">
        <f t="shared" si="14"/>
        <v>0</v>
      </c>
    </row>
    <row r="93" spans="1:16" s="17" customFormat="1" hidden="1">
      <c r="A93" s="68" t="s">
        <v>208</v>
      </c>
      <c r="B93" s="68" t="s">
        <v>209</v>
      </c>
      <c r="C93" s="68"/>
      <c r="D93" s="69" t="s">
        <v>210</v>
      </c>
      <c r="E93" s="27">
        <f t="shared" si="12"/>
        <v>0</v>
      </c>
      <c r="F93" s="70">
        <f>F94</f>
        <v>0</v>
      </c>
      <c r="G93" s="70">
        <f>G94</f>
        <v>0</v>
      </c>
      <c r="H93" s="70">
        <f>H94</f>
        <v>0</v>
      </c>
      <c r="I93" s="70">
        <f>I94</f>
        <v>0</v>
      </c>
      <c r="J93" s="27">
        <f t="shared" si="13"/>
        <v>0</v>
      </c>
      <c r="K93" s="70">
        <f>K94</f>
        <v>0</v>
      </c>
      <c r="L93" s="70">
        <f>L94</f>
        <v>0</v>
      </c>
      <c r="M93" s="70">
        <f>M94</f>
        <v>0</v>
      </c>
      <c r="N93" s="70">
        <f>N94</f>
        <v>0</v>
      </c>
      <c r="O93" s="70">
        <f>O94</f>
        <v>0</v>
      </c>
      <c r="P93" s="27">
        <f t="shared" si="14"/>
        <v>0</v>
      </c>
    </row>
    <row r="94" spans="1:16" s="17" customFormat="1" ht="30" hidden="1">
      <c r="A94" s="18" t="s">
        <v>211</v>
      </c>
      <c r="B94" s="18" t="s">
        <v>212</v>
      </c>
      <c r="C94" s="18" t="s">
        <v>213</v>
      </c>
      <c r="D94" s="39" t="s">
        <v>214</v>
      </c>
      <c r="E94" s="27">
        <f t="shared" si="12"/>
        <v>0</v>
      </c>
      <c r="F94" s="27"/>
      <c r="G94" s="27"/>
      <c r="H94" s="27"/>
      <c r="I94" s="27"/>
      <c r="J94" s="27">
        <f t="shared" si="13"/>
        <v>0</v>
      </c>
      <c r="K94" s="27"/>
      <c r="L94" s="27"/>
      <c r="M94" s="27"/>
      <c r="N94" s="27"/>
      <c r="O94" s="27"/>
      <c r="P94" s="27">
        <f t="shared" si="14"/>
        <v>0</v>
      </c>
    </row>
    <row r="95" spans="1:16" ht="26.25" hidden="1">
      <c r="A95" s="28" t="s">
        <v>215</v>
      </c>
      <c r="B95" s="28" t="s">
        <v>58</v>
      </c>
      <c r="C95" s="28"/>
      <c r="D95" s="33" t="s">
        <v>59</v>
      </c>
      <c r="E95" s="27">
        <f t="shared" si="12"/>
        <v>0</v>
      </c>
      <c r="F95" s="30">
        <f>F96</f>
        <v>0</v>
      </c>
      <c r="G95" s="30">
        <f t="shared" ref="G95:I96" si="19">G96</f>
        <v>0</v>
      </c>
      <c r="H95" s="30">
        <f t="shared" si="19"/>
        <v>0</v>
      </c>
      <c r="I95" s="30">
        <f t="shared" si="19"/>
        <v>0</v>
      </c>
      <c r="J95" s="27">
        <f t="shared" si="13"/>
        <v>0</v>
      </c>
      <c r="K95" s="30">
        <f t="shared" ref="K95:O96" si="20">K96</f>
        <v>0</v>
      </c>
      <c r="L95" s="30">
        <f t="shared" si="20"/>
        <v>0</v>
      </c>
      <c r="M95" s="30">
        <f t="shared" si="20"/>
        <v>0</v>
      </c>
      <c r="N95" s="30">
        <f t="shared" si="20"/>
        <v>0</v>
      </c>
      <c r="O95" s="30">
        <f t="shared" si="20"/>
        <v>0</v>
      </c>
      <c r="P95" s="27">
        <f t="shared" si="14"/>
        <v>0</v>
      </c>
    </row>
    <row r="96" spans="1:16" ht="64.5" hidden="1">
      <c r="A96" s="25" t="s">
        <v>216</v>
      </c>
      <c r="B96" s="28" t="s">
        <v>217</v>
      </c>
      <c r="C96" s="28"/>
      <c r="D96" s="33" t="s">
        <v>218</v>
      </c>
      <c r="E96" s="27"/>
      <c r="F96" s="30">
        <f>F97</f>
        <v>0</v>
      </c>
      <c r="G96" s="30">
        <f t="shared" si="19"/>
        <v>0</v>
      </c>
      <c r="H96" s="30">
        <f t="shared" si="19"/>
        <v>0</v>
      </c>
      <c r="I96" s="30">
        <f t="shared" si="19"/>
        <v>0</v>
      </c>
      <c r="J96" s="27">
        <f t="shared" si="13"/>
        <v>0</v>
      </c>
      <c r="K96" s="30">
        <f t="shared" si="20"/>
        <v>0</v>
      </c>
      <c r="L96" s="30">
        <f t="shared" si="20"/>
        <v>0</v>
      </c>
      <c r="M96" s="30">
        <f t="shared" si="20"/>
        <v>0</v>
      </c>
      <c r="N96" s="30">
        <f t="shared" si="20"/>
        <v>0</v>
      </c>
      <c r="O96" s="30">
        <f t="shared" si="20"/>
        <v>0</v>
      </c>
      <c r="P96" s="27"/>
    </row>
    <row r="97" spans="1:16" ht="90" hidden="1">
      <c r="A97" s="25" t="s">
        <v>219</v>
      </c>
      <c r="B97" s="25" t="s">
        <v>220</v>
      </c>
      <c r="C97" s="25" t="s">
        <v>49</v>
      </c>
      <c r="D97" s="32" t="s">
        <v>221</v>
      </c>
      <c r="E97" s="27">
        <f t="shared" si="12"/>
        <v>0</v>
      </c>
      <c r="F97" s="27"/>
      <c r="G97" s="27"/>
      <c r="H97" s="27"/>
      <c r="I97" s="27"/>
      <c r="J97" s="27">
        <f t="shared" si="13"/>
        <v>0</v>
      </c>
      <c r="K97" s="27"/>
      <c r="L97" s="27"/>
      <c r="M97" s="27"/>
      <c r="N97" s="27"/>
      <c r="O97" s="27"/>
      <c r="P97" s="27">
        <f t="shared" si="14"/>
        <v>0</v>
      </c>
    </row>
    <row r="98" spans="1:16" s="17" customFormat="1" hidden="1">
      <c r="A98" s="28" t="s">
        <v>222</v>
      </c>
      <c r="B98" s="22" t="s">
        <v>102</v>
      </c>
      <c r="C98" s="22"/>
      <c r="D98" s="71" t="s">
        <v>103</v>
      </c>
      <c r="E98" s="27">
        <f t="shared" si="12"/>
        <v>0</v>
      </c>
      <c r="F98" s="30">
        <f>F99+F100</f>
        <v>0</v>
      </c>
      <c r="G98" s="30">
        <f>G99+G100</f>
        <v>0</v>
      </c>
      <c r="H98" s="30">
        <f>H99+H100</f>
        <v>0</v>
      </c>
      <c r="I98" s="30">
        <f>I99+I100</f>
        <v>0</v>
      </c>
      <c r="J98" s="27">
        <f t="shared" si="13"/>
        <v>1207411</v>
      </c>
      <c r="K98" s="30">
        <f>K99+K100</f>
        <v>35000</v>
      </c>
      <c r="L98" s="30">
        <f>L99+L100</f>
        <v>0</v>
      </c>
      <c r="M98" s="30">
        <f>M99+M100</f>
        <v>0</v>
      </c>
      <c r="N98" s="30">
        <f>N99+N100</f>
        <v>1172411</v>
      </c>
      <c r="O98" s="30">
        <f>O99+O100</f>
        <v>0</v>
      </c>
      <c r="P98" s="27">
        <f>E98+J98</f>
        <v>1207411</v>
      </c>
    </row>
    <row r="99" spans="1:16" ht="45" hidden="1">
      <c r="A99" s="25" t="s">
        <v>223</v>
      </c>
      <c r="B99" s="25" t="s">
        <v>224</v>
      </c>
      <c r="C99" s="25" t="s">
        <v>225</v>
      </c>
      <c r="D99" s="31" t="s">
        <v>226</v>
      </c>
      <c r="E99" s="27">
        <f t="shared" si="12"/>
        <v>0</v>
      </c>
      <c r="F99" s="27"/>
      <c r="G99" s="27"/>
      <c r="H99" s="27"/>
      <c r="I99" s="27"/>
      <c r="J99" s="27">
        <f t="shared" si="13"/>
        <v>1207411</v>
      </c>
      <c r="K99" s="27">
        <v>35000</v>
      </c>
      <c r="L99" s="27"/>
      <c r="M99" s="27"/>
      <c r="N99" s="27">
        <f>1165411+7000</f>
        <v>1172411</v>
      </c>
      <c r="O99" s="27"/>
      <c r="P99" s="27">
        <f>E99+J99</f>
        <v>1207411</v>
      </c>
    </row>
    <row r="100" spans="1:16" ht="77.25" hidden="1">
      <c r="A100" s="34" t="s">
        <v>227</v>
      </c>
      <c r="B100" s="35" t="s">
        <v>105</v>
      </c>
      <c r="C100" s="35"/>
      <c r="D100" s="36" t="s">
        <v>106</v>
      </c>
      <c r="E100" s="27">
        <f t="shared" si="12"/>
        <v>0</v>
      </c>
      <c r="F100" s="27">
        <f>F101</f>
        <v>0</v>
      </c>
      <c r="G100" s="27">
        <f>G101</f>
        <v>0</v>
      </c>
      <c r="H100" s="27">
        <f>H101</f>
        <v>0</v>
      </c>
      <c r="I100" s="27">
        <f>I101</f>
        <v>0</v>
      </c>
      <c r="J100" s="27">
        <f t="shared" si="13"/>
        <v>0</v>
      </c>
      <c r="K100" s="27">
        <f>K101</f>
        <v>0</v>
      </c>
      <c r="L100" s="27">
        <f>L101</f>
        <v>0</v>
      </c>
      <c r="M100" s="27">
        <f>M101</f>
        <v>0</v>
      </c>
      <c r="N100" s="27">
        <f>N101</f>
        <v>0</v>
      </c>
      <c r="O100" s="27">
        <f>O101</f>
        <v>0</v>
      </c>
      <c r="P100" s="27">
        <f>E100+J100</f>
        <v>0</v>
      </c>
    </row>
    <row r="101" spans="1:16" ht="30" hidden="1">
      <c r="A101" s="25" t="s">
        <v>228</v>
      </c>
      <c r="B101" s="25" t="s">
        <v>108</v>
      </c>
      <c r="C101" s="25" t="s">
        <v>70</v>
      </c>
      <c r="D101" s="31" t="s">
        <v>109</v>
      </c>
      <c r="E101" s="27">
        <f t="shared" si="12"/>
        <v>0</v>
      </c>
      <c r="F101" s="27"/>
      <c r="G101" s="27"/>
      <c r="H101" s="27"/>
      <c r="I101" s="27"/>
      <c r="J101" s="27">
        <f t="shared" si="13"/>
        <v>0</v>
      </c>
      <c r="K101" s="27"/>
      <c r="L101" s="27"/>
      <c r="M101" s="27"/>
      <c r="N101" s="27"/>
      <c r="O101" s="27"/>
      <c r="P101" s="27">
        <f>E101+J101</f>
        <v>0</v>
      </c>
    </row>
    <row r="102" spans="1:16" ht="45" hidden="1">
      <c r="A102" s="14" t="s">
        <v>229</v>
      </c>
      <c r="B102" s="14" t="s">
        <v>230</v>
      </c>
      <c r="C102" s="14"/>
      <c r="D102" s="15" t="s">
        <v>231</v>
      </c>
      <c r="E102" s="16">
        <f t="shared" si="12"/>
        <v>67275044</v>
      </c>
      <c r="F102" s="16">
        <f>F103</f>
        <v>67275044</v>
      </c>
      <c r="G102" s="16">
        <f>G103</f>
        <v>33075449</v>
      </c>
      <c r="H102" s="16">
        <f>H103</f>
        <v>3906068</v>
      </c>
      <c r="I102" s="16">
        <f>I103</f>
        <v>0</v>
      </c>
      <c r="J102" s="16">
        <f t="shared" si="13"/>
        <v>6086970</v>
      </c>
      <c r="K102" s="16">
        <f>K103</f>
        <v>982626</v>
      </c>
      <c r="L102" s="16">
        <f>L103</f>
        <v>267946</v>
      </c>
      <c r="M102" s="16">
        <f>M103</f>
        <v>135279</v>
      </c>
      <c r="N102" s="16">
        <f>N103</f>
        <v>5104344</v>
      </c>
      <c r="O102" s="16">
        <f>O103</f>
        <v>5104344</v>
      </c>
      <c r="P102" s="16">
        <f t="shared" si="14"/>
        <v>73362014</v>
      </c>
    </row>
    <row r="103" spans="1:16" ht="45" hidden="1">
      <c r="A103" s="18" t="s">
        <v>232</v>
      </c>
      <c r="B103" s="38"/>
      <c r="C103" s="38"/>
      <c r="D103" s="26" t="s">
        <v>231</v>
      </c>
      <c r="E103" s="20">
        <f t="shared" si="12"/>
        <v>67275044</v>
      </c>
      <c r="F103" s="20">
        <f>F104+F106+F110+F120+F122</f>
        <v>67275044</v>
      </c>
      <c r="G103" s="20">
        <f>G104+G106+G110+G120+G122</f>
        <v>33075449</v>
      </c>
      <c r="H103" s="20">
        <f>H104+H106+H110+H120+H122</f>
        <v>3906068</v>
      </c>
      <c r="I103" s="20">
        <f>I104+I106+I110+I120+I122</f>
        <v>0</v>
      </c>
      <c r="J103" s="20">
        <f t="shared" si="13"/>
        <v>6086970</v>
      </c>
      <c r="K103" s="20">
        <f>K104+K106+K110+K120+K122</f>
        <v>982626</v>
      </c>
      <c r="L103" s="20">
        <f>L104+L106+L110+L120+L122</f>
        <v>267946</v>
      </c>
      <c r="M103" s="20">
        <f>M104+M106+M110+M120+M122</f>
        <v>135279</v>
      </c>
      <c r="N103" s="20">
        <f>N104+N106+N110+N120+N122</f>
        <v>5104344</v>
      </c>
      <c r="O103" s="20">
        <f>O104+O106+O110+O120+O122</f>
        <v>5104344</v>
      </c>
      <c r="P103" s="20">
        <f>E103+J103</f>
        <v>73362014</v>
      </c>
    </row>
    <row r="104" spans="1:16" hidden="1">
      <c r="A104" s="28" t="s">
        <v>233</v>
      </c>
      <c r="B104" s="22" t="s">
        <v>21</v>
      </c>
      <c r="C104" s="22"/>
      <c r="D104" s="23" t="s">
        <v>22</v>
      </c>
      <c r="E104" s="20">
        <f t="shared" si="12"/>
        <v>2429531</v>
      </c>
      <c r="F104" s="24">
        <f>F105</f>
        <v>2429531</v>
      </c>
      <c r="G104" s="24">
        <f>G105</f>
        <v>1803531</v>
      </c>
      <c r="H104" s="24">
        <f>H105</f>
        <v>68229</v>
      </c>
      <c r="I104" s="24">
        <f>I105</f>
        <v>0</v>
      </c>
      <c r="J104" s="20">
        <f t="shared" si="13"/>
        <v>0</v>
      </c>
      <c r="K104" s="24">
        <f>K105</f>
        <v>0</v>
      </c>
      <c r="L104" s="24">
        <f>L105</f>
        <v>0</v>
      </c>
      <c r="M104" s="24">
        <f>M105</f>
        <v>0</v>
      </c>
      <c r="N104" s="24">
        <f>N105</f>
        <v>0</v>
      </c>
      <c r="O104" s="24">
        <f>O105</f>
        <v>0</v>
      </c>
      <c r="P104" s="20">
        <f t="shared" ref="P104:P123" si="21">E104+J104</f>
        <v>2429531</v>
      </c>
    </row>
    <row r="105" spans="1:16" ht="30" hidden="1">
      <c r="A105" s="25" t="s">
        <v>234</v>
      </c>
      <c r="B105" s="25" t="s">
        <v>116</v>
      </c>
      <c r="C105" s="25" t="s">
        <v>25</v>
      </c>
      <c r="D105" s="26" t="s">
        <v>235</v>
      </c>
      <c r="E105" s="20">
        <f t="shared" si="12"/>
        <v>2429531</v>
      </c>
      <c r="F105" s="27">
        <v>2429531</v>
      </c>
      <c r="G105" s="27">
        <v>1803531</v>
      </c>
      <c r="H105" s="27">
        <v>68229</v>
      </c>
      <c r="I105" s="27"/>
      <c r="J105" s="20">
        <f t="shared" si="13"/>
        <v>0</v>
      </c>
      <c r="K105" s="27"/>
      <c r="L105" s="27"/>
      <c r="M105" s="27"/>
      <c r="N105" s="27"/>
      <c r="O105" s="27"/>
      <c r="P105" s="20">
        <f t="shared" si="21"/>
        <v>2429531</v>
      </c>
    </row>
    <row r="106" spans="1:16" ht="26.25" hidden="1">
      <c r="A106" s="28" t="s">
        <v>236</v>
      </c>
      <c r="B106" s="28" t="s">
        <v>168</v>
      </c>
      <c r="C106" s="28"/>
      <c r="D106" s="33" t="s">
        <v>169</v>
      </c>
      <c r="E106" s="20">
        <f>F106+I106</f>
        <v>3716232</v>
      </c>
      <c r="F106" s="27">
        <f>F107+F108</f>
        <v>3716232</v>
      </c>
      <c r="G106" s="27">
        <f t="shared" ref="G106:O106" si="22">G107+G108</f>
        <v>0</v>
      </c>
      <c r="H106" s="27">
        <f t="shared" si="22"/>
        <v>0</v>
      </c>
      <c r="I106" s="27">
        <f t="shared" si="22"/>
        <v>0</v>
      </c>
      <c r="J106" s="27">
        <f t="shared" si="22"/>
        <v>0</v>
      </c>
      <c r="K106" s="27">
        <f t="shared" si="22"/>
        <v>0</v>
      </c>
      <c r="L106" s="27">
        <f t="shared" si="22"/>
        <v>0</v>
      </c>
      <c r="M106" s="27">
        <f t="shared" si="22"/>
        <v>0</v>
      </c>
      <c r="N106" s="27">
        <f t="shared" si="22"/>
        <v>0</v>
      </c>
      <c r="O106" s="27">
        <f t="shared" si="22"/>
        <v>0</v>
      </c>
      <c r="P106" s="20">
        <f>E106+J106</f>
        <v>3716232</v>
      </c>
    </row>
    <row r="107" spans="1:16" ht="30" hidden="1">
      <c r="A107" s="25" t="s">
        <v>237</v>
      </c>
      <c r="B107" s="25" t="s">
        <v>181</v>
      </c>
      <c r="C107" s="25" t="s">
        <v>175</v>
      </c>
      <c r="D107" s="31" t="s">
        <v>182</v>
      </c>
      <c r="E107" s="20">
        <f t="shared" si="12"/>
        <v>1690555</v>
      </c>
      <c r="F107" s="27">
        <v>1690555</v>
      </c>
      <c r="G107" s="27"/>
      <c r="H107" s="27"/>
      <c r="I107" s="27"/>
      <c r="J107" s="20">
        <f t="shared" si="13"/>
        <v>0</v>
      </c>
      <c r="K107" s="27"/>
      <c r="L107" s="27"/>
      <c r="M107" s="27"/>
      <c r="N107" s="27"/>
      <c r="O107" s="27"/>
      <c r="P107" s="20">
        <f t="shared" si="21"/>
        <v>1690555</v>
      </c>
    </row>
    <row r="108" spans="1:16" ht="30" hidden="1">
      <c r="A108" s="25" t="s">
        <v>238</v>
      </c>
      <c r="B108" s="25" t="s">
        <v>239</v>
      </c>
      <c r="C108" s="25"/>
      <c r="D108" s="31" t="s">
        <v>240</v>
      </c>
      <c r="E108" s="20">
        <f t="shared" si="12"/>
        <v>2025677</v>
      </c>
      <c r="F108" s="27">
        <f t="shared" ref="F108:O108" si="23">F109</f>
        <v>2025677</v>
      </c>
      <c r="G108" s="27">
        <f t="shared" si="23"/>
        <v>0</v>
      </c>
      <c r="H108" s="27">
        <f t="shared" si="23"/>
        <v>0</v>
      </c>
      <c r="I108" s="27">
        <f t="shared" si="23"/>
        <v>0</v>
      </c>
      <c r="J108" s="27">
        <f t="shared" si="23"/>
        <v>0</v>
      </c>
      <c r="K108" s="27">
        <f t="shared" si="23"/>
        <v>0</v>
      </c>
      <c r="L108" s="27">
        <f t="shared" si="23"/>
        <v>0</v>
      </c>
      <c r="M108" s="27">
        <f t="shared" si="23"/>
        <v>0</v>
      </c>
      <c r="N108" s="27">
        <f t="shared" si="23"/>
        <v>0</v>
      </c>
      <c r="O108" s="27">
        <f t="shared" si="23"/>
        <v>0</v>
      </c>
      <c r="P108" s="20">
        <f t="shared" si="21"/>
        <v>2025677</v>
      </c>
    </row>
    <row r="109" spans="1:16" ht="39" hidden="1">
      <c r="A109" s="25" t="s">
        <v>241</v>
      </c>
      <c r="B109" s="25" t="s">
        <v>242</v>
      </c>
      <c r="C109" s="25"/>
      <c r="D109" s="72" t="s">
        <v>243</v>
      </c>
      <c r="E109" s="20">
        <f t="shared" si="12"/>
        <v>2025677</v>
      </c>
      <c r="F109" s="27">
        <v>2025677</v>
      </c>
      <c r="G109" s="27"/>
      <c r="H109" s="27"/>
      <c r="I109" s="27"/>
      <c r="J109" s="20"/>
      <c r="K109" s="27"/>
      <c r="L109" s="27"/>
      <c r="M109" s="27"/>
      <c r="N109" s="27"/>
      <c r="O109" s="27"/>
      <c r="P109" s="20">
        <f t="shared" si="21"/>
        <v>2025677</v>
      </c>
    </row>
    <row r="110" spans="1:16" hidden="1">
      <c r="A110" s="28" t="s">
        <v>244</v>
      </c>
      <c r="B110" s="25" t="s">
        <v>245</v>
      </c>
      <c r="C110" s="25"/>
      <c r="D110" s="33" t="s">
        <v>246</v>
      </c>
      <c r="E110" s="20">
        <f t="shared" si="12"/>
        <v>60979281</v>
      </c>
      <c r="F110" s="27">
        <f>F111+F114+F117+F118</f>
        <v>60979281</v>
      </c>
      <c r="G110" s="27">
        <f>G111+G114+G117+G118</f>
        <v>31271918</v>
      </c>
      <c r="H110" s="27">
        <f>H111+H114+H117+H118</f>
        <v>3837839</v>
      </c>
      <c r="I110" s="27">
        <f>I111+I114+I117+I118</f>
        <v>0</v>
      </c>
      <c r="J110" s="20">
        <f t="shared" si="13"/>
        <v>4136446</v>
      </c>
      <c r="K110" s="27">
        <f>K111+K114+K117+K118</f>
        <v>982626</v>
      </c>
      <c r="L110" s="27">
        <f>L111+L114+L117+L118</f>
        <v>267946</v>
      </c>
      <c r="M110" s="27">
        <f>M111+M114+M117+M118</f>
        <v>135279</v>
      </c>
      <c r="N110" s="27">
        <f>N111+N114+N117+N118</f>
        <v>3153820</v>
      </c>
      <c r="O110" s="27">
        <f>O111+O114+O117+O118</f>
        <v>3153820</v>
      </c>
      <c r="P110" s="20">
        <f t="shared" si="21"/>
        <v>65115727</v>
      </c>
    </row>
    <row r="111" spans="1:16" ht="26.25" hidden="1">
      <c r="A111" s="28" t="s">
        <v>247</v>
      </c>
      <c r="B111" s="28" t="s">
        <v>248</v>
      </c>
      <c r="C111" s="28"/>
      <c r="D111" s="33" t="s">
        <v>249</v>
      </c>
      <c r="E111" s="20">
        <f t="shared" si="12"/>
        <v>1011825</v>
      </c>
      <c r="F111" s="30">
        <f>F112+F113</f>
        <v>1011825</v>
      </c>
      <c r="G111" s="30">
        <f>G112+G113</f>
        <v>0</v>
      </c>
      <c r="H111" s="30">
        <f>H112+H113</f>
        <v>0</v>
      </c>
      <c r="I111" s="30">
        <f>I112+I113</f>
        <v>0</v>
      </c>
      <c r="J111" s="20">
        <f t="shared" si="13"/>
        <v>0</v>
      </c>
      <c r="K111" s="30">
        <f>K112+K113</f>
        <v>0</v>
      </c>
      <c r="L111" s="30">
        <f>L112+L113</f>
        <v>0</v>
      </c>
      <c r="M111" s="30">
        <f>M112+M113</f>
        <v>0</v>
      </c>
      <c r="N111" s="30">
        <f>N112+N113</f>
        <v>0</v>
      </c>
      <c r="O111" s="30">
        <f>O112+O113</f>
        <v>0</v>
      </c>
      <c r="P111" s="20">
        <f t="shared" si="21"/>
        <v>1011825</v>
      </c>
    </row>
    <row r="112" spans="1:16" ht="60" hidden="1">
      <c r="A112" s="25" t="s">
        <v>250</v>
      </c>
      <c r="B112" s="25" t="s">
        <v>251</v>
      </c>
      <c r="C112" s="25" t="s">
        <v>252</v>
      </c>
      <c r="D112" s="31" t="s">
        <v>253</v>
      </c>
      <c r="E112" s="20">
        <f t="shared" si="12"/>
        <v>772475</v>
      </c>
      <c r="F112" s="27">
        <f>633667+138808</f>
        <v>772475</v>
      </c>
      <c r="G112" s="27"/>
      <c r="H112" s="27"/>
      <c r="I112" s="27"/>
      <c r="J112" s="20">
        <f t="shared" si="13"/>
        <v>0</v>
      </c>
      <c r="K112" s="27"/>
      <c r="L112" s="27"/>
      <c r="M112" s="27"/>
      <c r="N112" s="27"/>
      <c r="O112" s="27"/>
      <c r="P112" s="20">
        <f t="shared" si="21"/>
        <v>772475</v>
      </c>
    </row>
    <row r="113" spans="1:16" ht="60" hidden="1">
      <c r="A113" s="25" t="s">
        <v>254</v>
      </c>
      <c r="B113" s="25" t="s">
        <v>255</v>
      </c>
      <c r="C113" s="25" t="s">
        <v>252</v>
      </c>
      <c r="D113" s="31" t="s">
        <v>256</v>
      </c>
      <c r="E113" s="20">
        <f t="shared" si="12"/>
        <v>239350</v>
      </c>
      <c r="F113" s="27">
        <f>207319+32031</f>
        <v>239350</v>
      </c>
      <c r="G113" s="27"/>
      <c r="H113" s="27"/>
      <c r="I113" s="27"/>
      <c r="J113" s="20">
        <f t="shared" si="13"/>
        <v>0</v>
      </c>
      <c r="K113" s="27"/>
      <c r="L113" s="27"/>
      <c r="M113" s="27"/>
      <c r="N113" s="27"/>
      <c r="O113" s="27"/>
      <c r="P113" s="20">
        <f t="shared" si="21"/>
        <v>239350</v>
      </c>
    </row>
    <row r="114" spans="1:16" ht="26.25" hidden="1">
      <c r="A114" s="28" t="s">
        <v>257</v>
      </c>
      <c r="B114" s="28" t="s">
        <v>258</v>
      </c>
      <c r="C114" s="28"/>
      <c r="D114" s="33" t="s">
        <v>259</v>
      </c>
      <c r="E114" s="20">
        <f t="shared" si="12"/>
        <v>58109842</v>
      </c>
      <c r="F114" s="30">
        <f>F115+F116</f>
        <v>58109842</v>
      </c>
      <c r="G114" s="30">
        <f>G115+G116</f>
        <v>30007834</v>
      </c>
      <c r="H114" s="30">
        <f>H115+H116</f>
        <v>3695714</v>
      </c>
      <c r="I114" s="30">
        <f t="shared" ref="I114:O114" si="24">I115+I116</f>
        <v>0</v>
      </c>
      <c r="J114" s="30">
        <f t="shared" si="24"/>
        <v>4042346</v>
      </c>
      <c r="K114" s="30">
        <f t="shared" si="24"/>
        <v>888526</v>
      </c>
      <c r="L114" s="30">
        <f t="shared" si="24"/>
        <v>228919</v>
      </c>
      <c r="M114" s="30">
        <f t="shared" si="24"/>
        <v>121082</v>
      </c>
      <c r="N114" s="30">
        <f t="shared" si="24"/>
        <v>3153820</v>
      </c>
      <c r="O114" s="30">
        <f t="shared" si="24"/>
        <v>3153820</v>
      </c>
      <c r="P114" s="20">
        <f t="shared" si="21"/>
        <v>62152188</v>
      </c>
    </row>
    <row r="115" spans="1:16" ht="60" hidden="1">
      <c r="A115" s="25" t="s">
        <v>260</v>
      </c>
      <c r="B115" s="25" t="s">
        <v>261</v>
      </c>
      <c r="C115" s="25" t="s">
        <v>252</v>
      </c>
      <c r="D115" s="31" t="s">
        <v>262</v>
      </c>
      <c r="E115" s="20">
        <f t="shared" si="12"/>
        <v>43884985</v>
      </c>
      <c r="F115" s="27">
        <f>42165593+1719392</f>
        <v>43884985</v>
      </c>
      <c r="G115" s="27">
        <v>27818348</v>
      </c>
      <c r="H115" s="27">
        <v>3072213</v>
      </c>
      <c r="I115" s="27"/>
      <c r="J115" s="20">
        <f t="shared" si="13"/>
        <v>3532692</v>
      </c>
      <c r="K115" s="27">
        <v>776526</v>
      </c>
      <c r="L115" s="27">
        <v>207915</v>
      </c>
      <c r="M115" s="27">
        <v>108732</v>
      </c>
      <c r="N115" s="27">
        <f>O115</f>
        <v>2756166</v>
      </c>
      <c r="O115" s="27">
        <f>1500000-217736+1473902</f>
        <v>2756166</v>
      </c>
      <c r="P115" s="20">
        <f t="shared" si="21"/>
        <v>47417677</v>
      </c>
    </row>
    <row r="116" spans="1:16" ht="45" hidden="1">
      <c r="A116" s="25" t="s">
        <v>263</v>
      </c>
      <c r="B116" s="25" t="s">
        <v>264</v>
      </c>
      <c r="C116" s="25" t="s">
        <v>252</v>
      </c>
      <c r="D116" s="31" t="s">
        <v>265</v>
      </c>
      <c r="E116" s="20">
        <f t="shared" ref="E116:E123" si="25">F116+I116</f>
        <v>14224857</v>
      </c>
      <c r="F116" s="27">
        <f>13780201+206443+238213</f>
        <v>14224857</v>
      </c>
      <c r="G116" s="27">
        <v>2189486</v>
      </c>
      <c r="H116" s="27">
        <v>623501</v>
      </c>
      <c r="I116" s="27"/>
      <c r="J116" s="20">
        <f t="shared" ref="J116:J123" si="26">K116+N116</f>
        <v>509654</v>
      </c>
      <c r="K116" s="27">
        <v>112000</v>
      </c>
      <c r="L116" s="27">
        <v>21004</v>
      </c>
      <c r="M116" s="27">
        <v>12350</v>
      </c>
      <c r="N116" s="27">
        <f>O116</f>
        <v>397654</v>
      </c>
      <c r="O116" s="27">
        <v>397654</v>
      </c>
      <c r="P116" s="20">
        <f t="shared" si="21"/>
        <v>14734511</v>
      </c>
    </row>
    <row r="117" spans="1:16" ht="60" hidden="1">
      <c r="A117" s="25" t="s">
        <v>266</v>
      </c>
      <c r="B117" s="25" t="s">
        <v>267</v>
      </c>
      <c r="C117" s="25" t="s">
        <v>252</v>
      </c>
      <c r="D117" s="26" t="s">
        <v>268</v>
      </c>
      <c r="E117" s="20">
        <f>F117+I117</f>
        <v>1073665</v>
      </c>
      <c r="F117" s="27">
        <v>1073665</v>
      </c>
      <c r="G117" s="27">
        <v>740959</v>
      </c>
      <c r="H117" s="27"/>
      <c r="I117" s="27"/>
      <c r="J117" s="20">
        <f>K117+N117</f>
        <v>0</v>
      </c>
      <c r="K117" s="27"/>
      <c r="L117" s="27"/>
      <c r="M117" s="27"/>
      <c r="N117" s="27"/>
      <c r="O117" s="27"/>
      <c r="P117" s="20">
        <f>E117+J117</f>
        <v>1073665</v>
      </c>
    </row>
    <row r="118" spans="1:16" hidden="1">
      <c r="A118" s="35" t="s">
        <v>269</v>
      </c>
      <c r="B118" s="35" t="s">
        <v>270</v>
      </c>
      <c r="C118" s="35"/>
      <c r="D118" s="36" t="s">
        <v>67</v>
      </c>
      <c r="E118" s="20">
        <f t="shared" si="25"/>
        <v>783949</v>
      </c>
      <c r="F118" s="37">
        <f>F119</f>
        <v>783949</v>
      </c>
      <c r="G118" s="37">
        <f>G119</f>
        <v>523125</v>
      </c>
      <c r="H118" s="37">
        <f>H119</f>
        <v>142125</v>
      </c>
      <c r="I118" s="37">
        <f>I119</f>
        <v>0</v>
      </c>
      <c r="J118" s="20">
        <f t="shared" si="26"/>
        <v>94100</v>
      </c>
      <c r="K118" s="37">
        <f>K119</f>
        <v>94100</v>
      </c>
      <c r="L118" s="37">
        <f>L119</f>
        <v>39027</v>
      </c>
      <c r="M118" s="37">
        <f>M119</f>
        <v>14197</v>
      </c>
      <c r="N118" s="37">
        <f>N119</f>
        <v>0</v>
      </c>
      <c r="O118" s="37">
        <f>O119</f>
        <v>0</v>
      </c>
      <c r="P118" s="20">
        <f t="shared" si="21"/>
        <v>878049</v>
      </c>
    </row>
    <row r="119" spans="1:16" ht="105" hidden="1">
      <c r="A119" s="25" t="s">
        <v>271</v>
      </c>
      <c r="B119" s="25" t="s">
        <v>272</v>
      </c>
      <c r="C119" s="25" t="s">
        <v>252</v>
      </c>
      <c r="D119" s="31" t="s">
        <v>273</v>
      </c>
      <c r="E119" s="20">
        <f t="shared" si="25"/>
        <v>783949</v>
      </c>
      <c r="F119" s="27">
        <v>783949</v>
      </c>
      <c r="G119" s="27">
        <v>523125</v>
      </c>
      <c r="H119" s="27">
        <v>142125</v>
      </c>
      <c r="I119" s="27"/>
      <c r="J119" s="20">
        <f t="shared" si="26"/>
        <v>94100</v>
      </c>
      <c r="K119" s="27">
        <v>94100</v>
      </c>
      <c r="L119" s="27">
        <v>39027</v>
      </c>
      <c r="M119" s="27">
        <v>14197</v>
      </c>
      <c r="N119" s="27"/>
      <c r="O119" s="27"/>
      <c r="P119" s="20">
        <f t="shared" si="21"/>
        <v>878049</v>
      </c>
    </row>
    <row r="120" spans="1:16" hidden="1">
      <c r="A120" s="28" t="s">
        <v>274</v>
      </c>
      <c r="B120" s="28" t="s">
        <v>41</v>
      </c>
      <c r="C120" s="28"/>
      <c r="D120" s="33" t="s">
        <v>42</v>
      </c>
      <c r="E120" s="20">
        <f t="shared" si="25"/>
        <v>0</v>
      </c>
      <c r="F120" s="27">
        <f>F121</f>
        <v>0</v>
      </c>
      <c r="G120" s="27">
        <f>G121</f>
        <v>0</v>
      </c>
      <c r="H120" s="27">
        <f>H121</f>
        <v>0</v>
      </c>
      <c r="I120" s="27">
        <f>I121</f>
        <v>0</v>
      </c>
      <c r="J120" s="20">
        <f t="shared" si="26"/>
        <v>1950524</v>
      </c>
      <c r="K120" s="27">
        <f>K121</f>
        <v>0</v>
      </c>
      <c r="L120" s="27">
        <f>L121</f>
        <v>0</v>
      </c>
      <c r="M120" s="27">
        <f>M121</f>
        <v>0</v>
      </c>
      <c r="N120" s="27">
        <f>N121</f>
        <v>1950524</v>
      </c>
      <c r="O120" s="27">
        <f>O121</f>
        <v>1950524</v>
      </c>
      <c r="P120" s="20">
        <f t="shared" si="21"/>
        <v>1950524</v>
      </c>
    </row>
    <row r="121" spans="1:16" ht="45" hidden="1">
      <c r="A121" s="25" t="s">
        <v>275</v>
      </c>
      <c r="B121" s="25" t="s">
        <v>44</v>
      </c>
      <c r="C121" s="25" t="s">
        <v>45</v>
      </c>
      <c r="D121" s="31" t="s">
        <v>46</v>
      </c>
      <c r="E121" s="20">
        <f t="shared" si="25"/>
        <v>0</v>
      </c>
      <c r="F121" s="27"/>
      <c r="G121" s="27"/>
      <c r="H121" s="27"/>
      <c r="I121" s="27"/>
      <c r="J121" s="20">
        <f t="shared" si="26"/>
        <v>1950524</v>
      </c>
      <c r="K121" s="27"/>
      <c r="L121" s="27"/>
      <c r="M121" s="27"/>
      <c r="N121" s="27">
        <f>O121</f>
        <v>1950524</v>
      </c>
      <c r="O121" s="27">
        <v>1950524</v>
      </c>
      <c r="P121" s="20">
        <f t="shared" si="21"/>
        <v>1950524</v>
      </c>
    </row>
    <row r="122" spans="1:16" ht="26.25" hidden="1">
      <c r="A122" s="28" t="s">
        <v>276</v>
      </c>
      <c r="B122" s="28" t="s">
        <v>58</v>
      </c>
      <c r="C122" s="28"/>
      <c r="D122" s="33" t="s">
        <v>59</v>
      </c>
      <c r="E122" s="20">
        <f t="shared" si="25"/>
        <v>150000</v>
      </c>
      <c r="F122" s="27">
        <f>F123</f>
        <v>150000</v>
      </c>
      <c r="G122" s="27">
        <f>G123</f>
        <v>0</v>
      </c>
      <c r="H122" s="27">
        <f>H123</f>
        <v>0</v>
      </c>
      <c r="I122" s="27">
        <f>I123</f>
        <v>0</v>
      </c>
      <c r="J122" s="20">
        <f t="shared" si="26"/>
        <v>0</v>
      </c>
      <c r="K122" s="27">
        <f>K123</f>
        <v>0</v>
      </c>
      <c r="L122" s="27">
        <f>L123</f>
        <v>0</v>
      </c>
      <c r="M122" s="27">
        <f>M123</f>
        <v>0</v>
      </c>
      <c r="N122" s="27">
        <f>N123</f>
        <v>0</v>
      </c>
      <c r="O122" s="27">
        <f>O123</f>
        <v>0</v>
      </c>
      <c r="P122" s="20">
        <f t="shared" si="21"/>
        <v>150000</v>
      </c>
    </row>
    <row r="123" spans="1:16" ht="90" hidden="1">
      <c r="A123" s="25" t="s">
        <v>277</v>
      </c>
      <c r="B123" s="25" t="s">
        <v>220</v>
      </c>
      <c r="C123" s="25" t="s">
        <v>49</v>
      </c>
      <c r="D123" s="32" t="s">
        <v>221</v>
      </c>
      <c r="E123" s="20">
        <f t="shared" si="25"/>
        <v>150000</v>
      </c>
      <c r="F123" s="27">
        <f>150000</f>
        <v>150000</v>
      </c>
      <c r="G123" s="27"/>
      <c r="H123" s="27"/>
      <c r="I123" s="27"/>
      <c r="J123" s="20">
        <f t="shared" si="26"/>
        <v>0</v>
      </c>
      <c r="K123" s="27"/>
      <c r="L123" s="27"/>
      <c r="M123" s="27"/>
      <c r="N123" s="27"/>
      <c r="O123" s="27"/>
      <c r="P123" s="20">
        <f t="shared" si="21"/>
        <v>150000</v>
      </c>
    </row>
    <row r="124" spans="1:16" ht="45" hidden="1">
      <c r="A124" s="14" t="s">
        <v>278</v>
      </c>
      <c r="B124" s="14" t="s">
        <v>279</v>
      </c>
      <c r="C124" s="14"/>
      <c r="D124" s="15" t="s">
        <v>280</v>
      </c>
      <c r="E124" s="16">
        <f>F124+I124</f>
        <v>6426048</v>
      </c>
      <c r="F124" s="16">
        <f>F125</f>
        <v>6426048</v>
      </c>
      <c r="G124" s="16">
        <f>G125</f>
        <v>1803481</v>
      </c>
      <c r="H124" s="16">
        <f>H125</f>
        <v>184877</v>
      </c>
      <c r="I124" s="16">
        <f>I125</f>
        <v>0</v>
      </c>
      <c r="J124" s="16">
        <f>K124+N124</f>
        <v>32684399</v>
      </c>
      <c r="K124" s="16">
        <f>K125</f>
        <v>0</v>
      </c>
      <c r="L124" s="16">
        <f>L125</f>
        <v>0</v>
      </c>
      <c r="M124" s="16">
        <f>M125</f>
        <v>0</v>
      </c>
      <c r="N124" s="16">
        <f>N125</f>
        <v>32684399</v>
      </c>
      <c r="O124" s="16">
        <f>O125</f>
        <v>32684399</v>
      </c>
      <c r="P124" s="16">
        <f>E124+J124</f>
        <v>39110447</v>
      </c>
    </row>
    <row r="125" spans="1:16" ht="45" hidden="1">
      <c r="A125" s="18" t="s">
        <v>281</v>
      </c>
      <c r="B125" s="38"/>
      <c r="C125" s="38"/>
      <c r="D125" s="19" t="s">
        <v>280</v>
      </c>
      <c r="E125" s="20">
        <f>F125+I125</f>
        <v>6426048</v>
      </c>
      <c r="F125" s="20">
        <f>F126+F128+F157</f>
        <v>6426048</v>
      </c>
      <c r="G125" s="20">
        <f>G126+G128+G157</f>
        <v>1803481</v>
      </c>
      <c r="H125" s="20">
        <f>H126+H128+H157</f>
        <v>184877</v>
      </c>
      <c r="I125" s="20">
        <f>I126+I128+I157</f>
        <v>0</v>
      </c>
      <c r="J125" s="20">
        <f>K125+N125</f>
        <v>32684399</v>
      </c>
      <c r="K125" s="20">
        <f>K126+K128+K157</f>
        <v>0</v>
      </c>
      <c r="L125" s="20">
        <f>L126+L128+L157</f>
        <v>0</v>
      </c>
      <c r="M125" s="20">
        <f>M126+M128+M157</f>
        <v>0</v>
      </c>
      <c r="N125" s="20">
        <f>N126+N128+N157</f>
        <v>32684399</v>
      </c>
      <c r="O125" s="20">
        <f>O126+O128+O157</f>
        <v>32684399</v>
      </c>
      <c r="P125" s="20">
        <f>E125+J125</f>
        <v>39110447</v>
      </c>
    </row>
    <row r="126" spans="1:16" hidden="1">
      <c r="A126" s="28" t="s">
        <v>282</v>
      </c>
      <c r="B126" s="22" t="s">
        <v>21</v>
      </c>
      <c r="C126" s="22"/>
      <c r="D126" s="23" t="s">
        <v>22</v>
      </c>
      <c r="E126" s="20">
        <f t="shared" ref="E126:E159" si="27">F126+I126</f>
        <v>2569498</v>
      </c>
      <c r="F126" s="24">
        <f>F127</f>
        <v>2569498</v>
      </c>
      <c r="G126" s="24">
        <f>G127</f>
        <v>1803481</v>
      </c>
      <c r="H126" s="24">
        <f>H127</f>
        <v>184877</v>
      </c>
      <c r="I126" s="24">
        <f>I127</f>
        <v>0</v>
      </c>
      <c r="J126" s="20">
        <f t="shared" ref="J126:J159" si="28">K126+N126</f>
        <v>2427324</v>
      </c>
      <c r="K126" s="24">
        <f>K127</f>
        <v>0</v>
      </c>
      <c r="L126" s="24">
        <f>L127</f>
        <v>0</v>
      </c>
      <c r="M126" s="24">
        <f>M127</f>
        <v>0</v>
      </c>
      <c r="N126" s="24">
        <f>N127</f>
        <v>2427324</v>
      </c>
      <c r="O126" s="24">
        <f>O127</f>
        <v>2427324</v>
      </c>
      <c r="P126" s="20">
        <f t="shared" ref="P126:P159" si="29">E126+J126</f>
        <v>4996822</v>
      </c>
    </row>
    <row r="127" spans="1:16" ht="30" hidden="1">
      <c r="A127" s="25" t="s">
        <v>283</v>
      </c>
      <c r="B127" s="25" t="s">
        <v>116</v>
      </c>
      <c r="C127" s="25" t="s">
        <v>25</v>
      </c>
      <c r="D127" s="26" t="s">
        <v>284</v>
      </c>
      <c r="E127" s="20">
        <f t="shared" si="27"/>
        <v>2569498</v>
      </c>
      <c r="F127" s="27">
        <v>2569498</v>
      </c>
      <c r="G127" s="27">
        <v>1803481</v>
      </c>
      <c r="H127" s="27">
        <v>184877</v>
      </c>
      <c r="I127" s="27"/>
      <c r="J127" s="20">
        <f t="shared" si="28"/>
        <v>2427324</v>
      </c>
      <c r="K127" s="27"/>
      <c r="L127" s="27"/>
      <c r="M127" s="27"/>
      <c r="N127" s="27">
        <f>O127</f>
        <v>2427324</v>
      </c>
      <c r="O127" s="27">
        <f>2595187-167863</f>
        <v>2427324</v>
      </c>
      <c r="P127" s="20">
        <f t="shared" si="29"/>
        <v>4996822</v>
      </c>
    </row>
    <row r="128" spans="1:16">
      <c r="A128" s="28" t="s">
        <v>285</v>
      </c>
      <c r="B128" s="28" t="s">
        <v>286</v>
      </c>
      <c r="C128" s="28"/>
      <c r="D128" s="29" t="s">
        <v>287</v>
      </c>
      <c r="E128" s="20">
        <f t="shared" si="27"/>
        <v>3856550</v>
      </c>
      <c r="F128" s="30">
        <f>F145</f>
        <v>3856550</v>
      </c>
      <c r="G128" s="30">
        <f t="shared" ref="G128:P128" si="30">G145</f>
        <v>0</v>
      </c>
      <c r="H128" s="30">
        <f t="shared" si="30"/>
        <v>0</v>
      </c>
      <c r="I128" s="30">
        <f t="shared" si="30"/>
        <v>0</v>
      </c>
      <c r="J128" s="30">
        <f t="shared" si="30"/>
        <v>0</v>
      </c>
      <c r="K128" s="30">
        <f t="shared" si="30"/>
        <v>0</v>
      </c>
      <c r="L128" s="30">
        <f t="shared" si="30"/>
        <v>0</v>
      </c>
      <c r="M128" s="30">
        <f t="shared" si="30"/>
        <v>0</v>
      </c>
      <c r="N128" s="30">
        <f t="shared" si="30"/>
        <v>0</v>
      </c>
      <c r="O128" s="30">
        <f t="shared" si="30"/>
        <v>0</v>
      </c>
      <c r="P128" s="30">
        <f t="shared" si="30"/>
        <v>3856550</v>
      </c>
    </row>
    <row r="129" spans="1:16" ht="45" hidden="1">
      <c r="A129" s="25" t="s">
        <v>288</v>
      </c>
      <c r="B129" s="25" t="s">
        <v>289</v>
      </c>
      <c r="C129" s="25" t="s">
        <v>290</v>
      </c>
      <c r="D129" s="31" t="s">
        <v>291</v>
      </c>
      <c r="E129" s="20">
        <f t="shared" si="27"/>
        <v>639757358</v>
      </c>
      <c r="F129" s="27">
        <f>642608030-2850672</f>
        <v>639757358</v>
      </c>
      <c r="G129" s="27">
        <v>429105960</v>
      </c>
      <c r="H129" s="27">
        <f>59980431-2850672</f>
        <v>57129759</v>
      </c>
      <c r="I129" s="27"/>
      <c r="J129" s="20">
        <f t="shared" si="28"/>
        <v>88019853</v>
      </c>
      <c r="K129" s="27">
        <v>15359005</v>
      </c>
      <c r="L129" s="27">
        <v>3426593</v>
      </c>
      <c r="M129" s="27">
        <v>1284990</v>
      </c>
      <c r="N129" s="27">
        <f>O129+473299</f>
        <v>72660848</v>
      </c>
      <c r="O129" s="27">
        <f>15900061+2390840+29716623-1051235+12915470-7684210+20000000</f>
        <v>72187549</v>
      </c>
      <c r="P129" s="20">
        <f t="shared" si="29"/>
        <v>727777211</v>
      </c>
    </row>
    <row r="130" spans="1:16" s="56" customFormat="1" ht="24" hidden="1">
      <c r="A130" s="53"/>
      <c r="B130" s="53"/>
      <c r="C130" s="53"/>
      <c r="D130" s="65" t="s">
        <v>292</v>
      </c>
      <c r="E130" s="62">
        <f t="shared" si="27"/>
        <v>391345356</v>
      </c>
      <c r="F130" s="55">
        <v>391345356</v>
      </c>
      <c r="G130" s="55">
        <v>322502010</v>
      </c>
      <c r="H130" s="55"/>
      <c r="I130" s="55"/>
      <c r="J130" s="62">
        <f t="shared" si="28"/>
        <v>0</v>
      </c>
      <c r="K130" s="55"/>
      <c r="L130" s="55"/>
      <c r="M130" s="55"/>
      <c r="N130" s="55"/>
      <c r="O130" s="55"/>
      <c r="P130" s="62">
        <f t="shared" si="29"/>
        <v>391345356</v>
      </c>
    </row>
    <row r="131" spans="1:16" s="56" customFormat="1" ht="60" hidden="1">
      <c r="A131" s="53"/>
      <c r="B131" s="53"/>
      <c r="C131" s="53"/>
      <c r="D131" s="54" t="s">
        <v>293</v>
      </c>
      <c r="E131" s="55">
        <f t="shared" si="27"/>
        <v>0</v>
      </c>
      <c r="F131" s="55"/>
      <c r="G131" s="55"/>
      <c r="H131" s="55"/>
      <c r="I131" s="55"/>
      <c r="J131" s="55">
        <f t="shared" si="28"/>
        <v>0</v>
      </c>
      <c r="K131" s="55"/>
      <c r="L131" s="55"/>
      <c r="M131" s="55"/>
      <c r="N131" s="55">
        <f>O131</f>
        <v>0</v>
      </c>
      <c r="O131" s="55"/>
      <c r="P131" s="55">
        <f t="shared" si="29"/>
        <v>0</v>
      </c>
    </row>
    <row r="132" spans="1:16" ht="60" hidden="1">
      <c r="A132" s="25" t="s">
        <v>294</v>
      </c>
      <c r="B132" s="25" t="s">
        <v>295</v>
      </c>
      <c r="C132" s="25" t="s">
        <v>296</v>
      </c>
      <c r="D132" s="31" t="s">
        <v>297</v>
      </c>
      <c r="E132" s="20">
        <f t="shared" si="27"/>
        <v>85433790</v>
      </c>
      <c r="F132" s="27">
        <v>85433790</v>
      </c>
      <c r="G132" s="27">
        <v>57059429</v>
      </c>
      <c r="H132" s="27">
        <v>10446981</v>
      </c>
      <c r="I132" s="27"/>
      <c r="J132" s="20">
        <f t="shared" si="28"/>
        <v>17627250</v>
      </c>
      <c r="K132" s="27">
        <v>278098</v>
      </c>
      <c r="L132" s="27"/>
      <c r="M132" s="27"/>
      <c r="N132" s="27">
        <f>O132</f>
        <v>17349152</v>
      </c>
      <c r="O132" s="27">
        <f>453210+16895942+2315790-2315790</f>
        <v>17349152</v>
      </c>
      <c r="P132" s="20">
        <f t="shared" si="29"/>
        <v>103061040</v>
      </c>
    </row>
    <row r="133" spans="1:16" s="56" customFormat="1" ht="24" hidden="1">
      <c r="A133" s="53"/>
      <c r="B133" s="53"/>
      <c r="C133" s="53"/>
      <c r="D133" s="65" t="s">
        <v>298</v>
      </c>
      <c r="E133" s="62">
        <f t="shared" si="27"/>
        <v>69555444</v>
      </c>
      <c r="F133" s="55">
        <v>69555444</v>
      </c>
      <c r="G133" s="55">
        <v>57059429</v>
      </c>
      <c r="H133" s="55"/>
      <c r="I133" s="55"/>
      <c r="J133" s="62">
        <f t="shared" si="28"/>
        <v>0</v>
      </c>
      <c r="K133" s="55"/>
      <c r="L133" s="55"/>
      <c r="M133" s="55"/>
      <c r="N133" s="55"/>
      <c r="O133" s="55"/>
      <c r="P133" s="62">
        <f t="shared" si="29"/>
        <v>69555444</v>
      </c>
    </row>
    <row r="134" spans="1:16" s="56" customFormat="1" ht="60" hidden="1">
      <c r="A134" s="53"/>
      <c r="B134" s="53"/>
      <c r="C134" s="53"/>
      <c r="D134" s="54" t="s">
        <v>293</v>
      </c>
      <c r="E134" s="55">
        <f>F134+I134</f>
        <v>0</v>
      </c>
      <c r="F134" s="55"/>
      <c r="G134" s="55"/>
      <c r="H134" s="55"/>
      <c r="I134" s="55"/>
      <c r="J134" s="55">
        <f>K134+N134</f>
        <v>0</v>
      </c>
      <c r="K134" s="55"/>
      <c r="L134" s="55"/>
      <c r="M134" s="55"/>
      <c r="N134" s="55"/>
      <c r="O134" s="55"/>
      <c r="P134" s="55">
        <f>E134+J134</f>
        <v>0</v>
      </c>
    </row>
    <row r="135" spans="1:16" s="56" customFormat="1" ht="72" hidden="1">
      <c r="A135" s="53"/>
      <c r="B135" s="53"/>
      <c r="C135" s="53"/>
      <c r="D135" s="65" t="s">
        <v>125</v>
      </c>
      <c r="E135" s="62">
        <f t="shared" si="27"/>
        <v>0</v>
      </c>
      <c r="F135" s="55"/>
      <c r="G135" s="55"/>
      <c r="H135" s="55"/>
      <c r="I135" s="55"/>
      <c r="J135" s="62">
        <f t="shared" si="28"/>
        <v>0</v>
      </c>
      <c r="K135" s="55"/>
      <c r="L135" s="55"/>
      <c r="M135" s="55"/>
      <c r="N135" s="55"/>
      <c r="O135" s="55"/>
      <c r="P135" s="62">
        <f t="shared" si="29"/>
        <v>0</v>
      </c>
    </row>
    <row r="136" spans="1:16" ht="30" hidden="1">
      <c r="A136" s="25" t="s">
        <v>299</v>
      </c>
      <c r="B136" s="25" t="s">
        <v>300</v>
      </c>
      <c r="C136" s="25" t="s">
        <v>301</v>
      </c>
      <c r="D136" s="31" t="s">
        <v>302</v>
      </c>
      <c r="E136" s="20">
        <f t="shared" si="27"/>
        <v>6984822</v>
      </c>
      <c r="F136" s="27">
        <v>6984822</v>
      </c>
      <c r="G136" s="27">
        <v>4878341</v>
      </c>
      <c r="H136" s="27">
        <v>237494</v>
      </c>
      <c r="I136" s="27"/>
      <c r="J136" s="20">
        <f t="shared" si="28"/>
        <v>0</v>
      </c>
      <c r="K136" s="27"/>
      <c r="L136" s="27"/>
      <c r="M136" s="27"/>
      <c r="N136" s="27"/>
      <c r="O136" s="27"/>
      <c r="P136" s="20">
        <f t="shared" si="29"/>
        <v>6984822</v>
      </c>
    </row>
    <row r="137" spans="1:16" s="56" customFormat="1" ht="24" hidden="1">
      <c r="A137" s="53"/>
      <c r="B137" s="53"/>
      <c r="C137" s="53"/>
      <c r="D137" s="65" t="s">
        <v>298</v>
      </c>
      <c r="E137" s="62">
        <f t="shared" si="27"/>
        <v>5951576</v>
      </c>
      <c r="F137" s="55">
        <v>5951576</v>
      </c>
      <c r="G137" s="55">
        <v>4878341</v>
      </c>
      <c r="H137" s="55"/>
      <c r="I137" s="55"/>
      <c r="J137" s="62">
        <f t="shared" si="28"/>
        <v>0</v>
      </c>
      <c r="K137" s="55"/>
      <c r="L137" s="55"/>
      <c r="M137" s="55"/>
      <c r="N137" s="55"/>
      <c r="O137" s="55"/>
      <c r="P137" s="62">
        <f t="shared" si="29"/>
        <v>5951576</v>
      </c>
    </row>
    <row r="138" spans="1:16" s="56" customFormat="1" ht="60" hidden="1">
      <c r="A138" s="53"/>
      <c r="B138" s="53"/>
      <c r="C138" s="53"/>
      <c r="D138" s="54" t="s">
        <v>293</v>
      </c>
      <c r="E138" s="55">
        <f t="shared" si="27"/>
        <v>0</v>
      </c>
      <c r="F138" s="55"/>
      <c r="G138" s="55"/>
      <c r="H138" s="55"/>
      <c r="I138" s="55"/>
      <c r="J138" s="55">
        <f t="shared" si="28"/>
        <v>0</v>
      </c>
      <c r="K138" s="55"/>
      <c r="L138" s="55"/>
      <c r="M138" s="55"/>
      <c r="N138" s="55"/>
      <c r="O138" s="55"/>
      <c r="P138" s="55">
        <f t="shared" si="29"/>
        <v>0</v>
      </c>
    </row>
    <row r="139" spans="1:16" ht="30" hidden="1">
      <c r="A139" s="25" t="s">
        <v>303</v>
      </c>
      <c r="B139" s="25" t="s">
        <v>304</v>
      </c>
      <c r="C139" s="25" t="s">
        <v>305</v>
      </c>
      <c r="D139" s="19" t="s">
        <v>306</v>
      </c>
      <c r="E139" s="20">
        <f t="shared" si="27"/>
        <v>33605688</v>
      </c>
      <c r="F139" s="27">
        <v>33605688</v>
      </c>
      <c r="G139" s="27">
        <v>22890378</v>
      </c>
      <c r="H139" s="27">
        <v>2077791</v>
      </c>
      <c r="I139" s="27"/>
      <c r="J139" s="20">
        <f t="shared" si="28"/>
        <v>18649912</v>
      </c>
      <c r="K139" s="27">
        <v>14777005</v>
      </c>
      <c r="L139" s="27">
        <v>8625645</v>
      </c>
      <c r="M139" s="27">
        <v>971955</v>
      </c>
      <c r="N139" s="27">
        <f>O139+651507</f>
        <v>3872907</v>
      </c>
      <c r="O139" s="27">
        <v>3221400</v>
      </c>
      <c r="P139" s="20">
        <f t="shared" si="29"/>
        <v>52255600</v>
      </c>
    </row>
    <row r="140" spans="1:16" s="56" customFormat="1" ht="24" hidden="1">
      <c r="A140" s="53"/>
      <c r="B140" s="53"/>
      <c r="C140" s="53"/>
      <c r="D140" s="65" t="s">
        <v>292</v>
      </c>
      <c r="E140" s="62">
        <f t="shared" si="27"/>
        <v>27926261</v>
      </c>
      <c r="F140" s="55">
        <v>27926261</v>
      </c>
      <c r="G140" s="55">
        <v>22890378</v>
      </c>
      <c r="H140" s="55"/>
      <c r="I140" s="55"/>
      <c r="J140" s="62">
        <f t="shared" si="28"/>
        <v>0</v>
      </c>
      <c r="K140" s="55"/>
      <c r="L140" s="55"/>
      <c r="M140" s="55"/>
      <c r="N140" s="55"/>
      <c r="O140" s="55"/>
      <c r="P140" s="62">
        <f t="shared" si="29"/>
        <v>27926261</v>
      </c>
    </row>
    <row r="141" spans="1:16" s="56" customFormat="1" ht="60" hidden="1">
      <c r="A141" s="53"/>
      <c r="B141" s="53"/>
      <c r="C141" s="53"/>
      <c r="D141" s="54" t="s">
        <v>293</v>
      </c>
      <c r="E141" s="55">
        <f>F141+I141</f>
        <v>0</v>
      </c>
      <c r="F141" s="55"/>
      <c r="G141" s="55"/>
      <c r="H141" s="55"/>
      <c r="I141" s="55"/>
      <c r="J141" s="55">
        <f>K141+N141</f>
        <v>0</v>
      </c>
      <c r="K141" s="55"/>
      <c r="L141" s="55"/>
      <c r="M141" s="55"/>
      <c r="N141" s="55"/>
      <c r="O141" s="55"/>
      <c r="P141" s="55">
        <f>E141+J141</f>
        <v>0</v>
      </c>
    </row>
    <row r="142" spans="1:16" ht="60" hidden="1">
      <c r="A142" s="25" t="s">
        <v>307</v>
      </c>
      <c r="B142" s="25" t="s">
        <v>308</v>
      </c>
      <c r="C142" s="25" t="s">
        <v>309</v>
      </c>
      <c r="D142" s="31" t="s">
        <v>310</v>
      </c>
      <c r="E142" s="20">
        <f t="shared" si="27"/>
        <v>503982</v>
      </c>
      <c r="F142" s="27">
        <v>503982</v>
      </c>
      <c r="G142" s="27">
        <v>388387</v>
      </c>
      <c r="H142" s="27">
        <v>24806</v>
      </c>
      <c r="I142" s="27"/>
      <c r="J142" s="20">
        <f t="shared" si="28"/>
        <v>0</v>
      </c>
      <c r="K142" s="27"/>
      <c r="L142" s="27"/>
      <c r="M142" s="27"/>
      <c r="N142" s="27"/>
      <c r="O142" s="27"/>
      <c r="P142" s="20">
        <f t="shared" si="29"/>
        <v>503982</v>
      </c>
    </row>
    <row r="143" spans="1:16" s="56" customFormat="1" ht="24" hidden="1">
      <c r="A143" s="53"/>
      <c r="B143" s="53"/>
      <c r="C143" s="53"/>
      <c r="D143" s="65" t="s">
        <v>292</v>
      </c>
      <c r="E143" s="62">
        <f t="shared" si="27"/>
        <v>473832</v>
      </c>
      <c r="F143" s="55">
        <v>473832</v>
      </c>
      <c r="G143" s="55">
        <v>388387</v>
      </c>
      <c r="H143" s="55"/>
      <c r="I143" s="55"/>
      <c r="J143" s="62">
        <f t="shared" si="28"/>
        <v>0</v>
      </c>
      <c r="K143" s="55"/>
      <c r="L143" s="55"/>
      <c r="M143" s="55"/>
      <c r="N143" s="55"/>
      <c r="O143" s="55"/>
      <c r="P143" s="62">
        <f t="shared" si="29"/>
        <v>473832</v>
      </c>
    </row>
    <row r="144" spans="1:16" s="56" customFormat="1" ht="60" hidden="1">
      <c r="A144" s="53"/>
      <c r="B144" s="53"/>
      <c r="C144" s="53"/>
      <c r="D144" s="54" t="s">
        <v>293</v>
      </c>
      <c r="E144" s="55">
        <f t="shared" si="27"/>
        <v>0</v>
      </c>
      <c r="F144" s="55"/>
      <c r="G144" s="55"/>
      <c r="H144" s="55"/>
      <c r="I144" s="55"/>
      <c r="J144" s="55">
        <f t="shared" si="28"/>
        <v>0</v>
      </c>
      <c r="K144" s="55"/>
      <c r="L144" s="55"/>
      <c r="M144" s="55"/>
      <c r="N144" s="55"/>
      <c r="O144" s="55"/>
      <c r="P144" s="55">
        <f t="shared" si="29"/>
        <v>0</v>
      </c>
    </row>
    <row r="145" spans="1:16" ht="30">
      <c r="A145" s="25" t="s">
        <v>311</v>
      </c>
      <c r="B145" s="25" t="s">
        <v>312</v>
      </c>
      <c r="C145" s="25" t="s">
        <v>313</v>
      </c>
      <c r="D145" s="31" t="s">
        <v>314</v>
      </c>
      <c r="E145" s="20">
        <f t="shared" si="27"/>
        <v>3856550</v>
      </c>
      <c r="F145" s="27">
        <v>3856550</v>
      </c>
      <c r="G145" s="27"/>
      <c r="H145" s="27"/>
      <c r="I145" s="27"/>
      <c r="J145" s="20">
        <f t="shared" si="28"/>
        <v>0</v>
      </c>
      <c r="K145" s="27"/>
      <c r="L145" s="27"/>
      <c r="M145" s="27"/>
      <c r="N145" s="27">
        <f>O145</f>
        <v>0</v>
      </c>
      <c r="O145" s="27"/>
      <c r="P145" s="20">
        <f t="shared" si="29"/>
        <v>3856550</v>
      </c>
    </row>
    <row r="146" spans="1:16" s="56" customFormat="1" ht="24">
      <c r="A146" s="53"/>
      <c r="B146" s="53"/>
      <c r="C146" s="53"/>
      <c r="D146" s="65" t="s">
        <v>292</v>
      </c>
      <c r="E146" s="62">
        <f t="shared" si="27"/>
        <v>3856550</v>
      </c>
      <c r="F146" s="55">
        <v>3856550</v>
      </c>
      <c r="G146" s="55"/>
      <c r="H146" s="55"/>
      <c r="I146" s="55"/>
      <c r="J146" s="62">
        <f t="shared" si="28"/>
        <v>0</v>
      </c>
      <c r="K146" s="55"/>
      <c r="L146" s="55"/>
      <c r="M146" s="55"/>
      <c r="N146" s="55"/>
      <c r="O146" s="55"/>
      <c r="P146" s="62">
        <f t="shared" si="29"/>
        <v>3856550</v>
      </c>
    </row>
    <row r="147" spans="1:16" s="56" customFormat="1" ht="60" hidden="1">
      <c r="A147" s="53"/>
      <c r="B147" s="53"/>
      <c r="C147" s="53"/>
      <c r="D147" s="54" t="s">
        <v>293</v>
      </c>
      <c r="E147" s="55">
        <f>F147+I147</f>
        <v>0</v>
      </c>
      <c r="F147" s="55"/>
      <c r="G147" s="55"/>
      <c r="H147" s="55"/>
      <c r="I147" s="55"/>
      <c r="J147" s="55">
        <f>K147+N147</f>
        <v>0</v>
      </c>
      <c r="K147" s="55"/>
      <c r="L147" s="55"/>
      <c r="M147" s="55"/>
      <c r="N147" s="55"/>
      <c r="O147" s="55"/>
      <c r="P147" s="55">
        <f>E147+J147</f>
        <v>0</v>
      </c>
    </row>
    <row r="148" spans="1:16" ht="120" hidden="1">
      <c r="A148" s="25" t="s">
        <v>315</v>
      </c>
      <c r="B148" s="25" t="s">
        <v>316</v>
      </c>
      <c r="C148" s="25" t="s">
        <v>317</v>
      </c>
      <c r="D148" s="31" t="s">
        <v>318</v>
      </c>
      <c r="E148" s="20">
        <f>F148+I148</f>
        <v>2930726</v>
      </c>
      <c r="F148" s="27">
        <v>2930726</v>
      </c>
      <c r="G148" s="27">
        <v>1926006</v>
      </c>
      <c r="H148" s="27">
        <v>101114</v>
      </c>
      <c r="I148" s="27"/>
      <c r="J148" s="20">
        <f>K148+N148</f>
        <v>0</v>
      </c>
      <c r="K148" s="27"/>
      <c r="L148" s="27"/>
      <c r="M148" s="27"/>
      <c r="N148" s="27"/>
      <c r="O148" s="27"/>
      <c r="P148" s="20">
        <f>E148+J148</f>
        <v>2930726</v>
      </c>
    </row>
    <row r="149" spans="1:16" ht="51.75" hidden="1">
      <c r="A149" s="25" t="s">
        <v>319</v>
      </c>
      <c r="B149" s="25" t="s">
        <v>320</v>
      </c>
      <c r="C149" s="12"/>
      <c r="D149" s="73" t="s">
        <v>321</v>
      </c>
      <c r="E149" s="20">
        <f>F149+I149</f>
        <v>0</v>
      </c>
      <c r="F149" s="27"/>
      <c r="G149" s="27"/>
      <c r="H149" s="27"/>
      <c r="I149" s="27"/>
      <c r="J149" s="20">
        <f>K149+N149</f>
        <v>0</v>
      </c>
      <c r="K149" s="27"/>
      <c r="L149" s="27"/>
      <c r="M149" s="27"/>
      <c r="N149" s="27"/>
      <c r="O149" s="27"/>
      <c r="P149" s="20">
        <f>E149+J149</f>
        <v>0</v>
      </c>
    </row>
    <row r="150" spans="1:16" ht="39" hidden="1">
      <c r="A150" s="28" t="s">
        <v>319</v>
      </c>
      <c r="B150" s="28" t="s">
        <v>320</v>
      </c>
      <c r="C150" s="28"/>
      <c r="D150" s="33" t="s">
        <v>322</v>
      </c>
      <c r="E150" s="20">
        <f>F150+I150</f>
        <v>8853109</v>
      </c>
      <c r="F150" s="30">
        <f>F151</f>
        <v>8853109</v>
      </c>
      <c r="G150" s="30">
        <f>G151</f>
        <v>0</v>
      </c>
      <c r="H150" s="30">
        <f>H151</f>
        <v>0</v>
      </c>
      <c r="I150" s="30">
        <f>I151</f>
        <v>0</v>
      </c>
      <c r="J150" s="30">
        <f>J151</f>
        <v>0</v>
      </c>
      <c r="K150" s="30"/>
      <c r="L150" s="30">
        <f>L151</f>
        <v>0</v>
      </c>
      <c r="M150" s="30">
        <f>M151</f>
        <v>0</v>
      </c>
      <c r="N150" s="30">
        <f>N151</f>
        <v>0</v>
      </c>
      <c r="O150" s="30">
        <f>O151</f>
        <v>0</v>
      </c>
      <c r="P150" s="20">
        <f>E150+J150</f>
        <v>8853109</v>
      </c>
    </row>
    <row r="151" spans="1:16" ht="75" hidden="1">
      <c r="A151" s="25" t="s">
        <v>323</v>
      </c>
      <c r="B151" s="25" t="s">
        <v>324</v>
      </c>
      <c r="C151" s="25" t="s">
        <v>317</v>
      </c>
      <c r="D151" s="74" t="s">
        <v>325</v>
      </c>
      <c r="E151" s="20">
        <f>F151+I151</f>
        <v>8853109</v>
      </c>
      <c r="F151" s="27">
        <v>8853109</v>
      </c>
      <c r="G151" s="27"/>
      <c r="H151" s="27"/>
      <c r="I151" s="27"/>
      <c r="J151" s="20">
        <f>K151+N151</f>
        <v>0</v>
      </c>
      <c r="K151" s="27"/>
      <c r="L151" s="27"/>
      <c r="M151" s="27"/>
      <c r="N151" s="27"/>
      <c r="O151" s="27"/>
      <c r="P151" s="20">
        <f>E151+J151</f>
        <v>8853109</v>
      </c>
    </row>
    <row r="152" spans="1:16" ht="26.25" hidden="1">
      <c r="A152" s="35" t="s">
        <v>326</v>
      </c>
      <c r="B152" s="35" t="s">
        <v>327</v>
      </c>
      <c r="C152" s="35" t="s">
        <v>317</v>
      </c>
      <c r="D152" s="36" t="s">
        <v>328</v>
      </c>
      <c r="E152" s="20">
        <f t="shared" si="27"/>
        <v>1355715</v>
      </c>
      <c r="F152" s="37">
        <f>F153+F154</f>
        <v>1355715</v>
      </c>
      <c r="G152" s="37">
        <f>G153+G154</f>
        <v>1045852</v>
      </c>
      <c r="H152" s="37">
        <f>H153+H154</f>
        <v>22245</v>
      </c>
      <c r="I152" s="37">
        <f>I153+I154</f>
        <v>0</v>
      </c>
      <c r="J152" s="20">
        <f t="shared" si="28"/>
        <v>0</v>
      </c>
      <c r="K152" s="37">
        <f>K153+K154</f>
        <v>0</v>
      </c>
      <c r="L152" s="37">
        <f>L153+L154</f>
        <v>0</v>
      </c>
      <c r="M152" s="37">
        <f>M153+M154</f>
        <v>0</v>
      </c>
      <c r="N152" s="37">
        <f>N153+N154</f>
        <v>0</v>
      </c>
      <c r="O152" s="37">
        <f>O153+O154</f>
        <v>0</v>
      </c>
      <c r="P152" s="20">
        <f t="shared" si="29"/>
        <v>1355715</v>
      </c>
    </row>
    <row r="153" spans="1:16" ht="150" hidden="1">
      <c r="A153" s="25" t="s">
        <v>329</v>
      </c>
      <c r="B153" s="25" t="s">
        <v>330</v>
      </c>
      <c r="C153" s="25" t="s">
        <v>317</v>
      </c>
      <c r="D153" s="31" t="s">
        <v>331</v>
      </c>
      <c r="E153" s="20">
        <f t="shared" si="27"/>
        <v>0</v>
      </c>
      <c r="F153" s="27"/>
      <c r="G153" s="27"/>
      <c r="H153" s="27"/>
      <c r="I153" s="27"/>
      <c r="J153" s="20">
        <f t="shared" si="28"/>
        <v>0</v>
      </c>
      <c r="K153" s="27"/>
      <c r="L153" s="27"/>
      <c r="M153" s="27"/>
      <c r="N153" s="27"/>
      <c r="O153" s="27"/>
      <c r="P153" s="20">
        <f t="shared" si="29"/>
        <v>0</v>
      </c>
    </row>
    <row r="154" spans="1:16" ht="75" hidden="1">
      <c r="A154" s="25" t="s">
        <v>332</v>
      </c>
      <c r="B154" s="25" t="s">
        <v>333</v>
      </c>
      <c r="C154" s="25" t="s">
        <v>317</v>
      </c>
      <c r="D154" s="31" t="s">
        <v>334</v>
      </c>
      <c r="E154" s="20">
        <f t="shared" si="27"/>
        <v>1355715</v>
      </c>
      <c r="F154" s="27">
        <v>1355715</v>
      </c>
      <c r="G154" s="27">
        <v>1045852</v>
      </c>
      <c r="H154" s="27">
        <v>22245</v>
      </c>
      <c r="I154" s="27"/>
      <c r="J154" s="20">
        <f t="shared" si="28"/>
        <v>0</v>
      </c>
      <c r="K154" s="27"/>
      <c r="L154" s="27"/>
      <c r="M154" s="27"/>
      <c r="N154" s="27"/>
      <c r="O154" s="27"/>
      <c r="P154" s="20">
        <f t="shared" si="29"/>
        <v>1355715</v>
      </c>
    </row>
    <row r="155" spans="1:16" s="56" customFormat="1" ht="24" hidden="1">
      <c r="A155" s="53"/>
      <c r="B155" s="53"/>
      <c r="C155" s="53"/>
      <c r="D155" s="65" t="s">
        <v>292</v>
      </c>
      <c r="E155" s="62">
        <f t="shared" si="27"/>
        <v>1275939</v>
      </c>
      <c r="F155" s="55">
        <v>1275939</v>
      </c>
      <c r="G155" s="55">
        <v>1045852</v>
      </c>
      <c r="H155" s="55"/>
      <c r="I155" s="55"/>
      <c r="J155" s="62">
        <f t="shared" si="28"/>
        <v>0</v>
      </c>
      <c r="K155" s="55"/>
      <c r="L155" s="55"/>
      <c r="M155" s="55"/>
      <c r="N155" s="55"/>
      <c r="O155" s="55"/>
      <c r="P155" s="62">
        <f t="shared" si="29"/>
        <v>1275939</v>
      </c>
    </row>
    <row r="156" spans="1:16" s="56" customFormat="1" ht="60" hidden="1">
      <c r="A156" s="53"/>
      <c r="B156" s="53"/>
      <c r="C156" s="53"/>
      <c r="D156" s="54" t="s">
        <v>293</v>
      </c>
      <c r="E156" s="55">
        <f t="shared" si="27"/>
        <v>0</v>
      </c>
      <c r="F156" s="55"/>
      <c r="G156" s="55"/>
      <c r="H156" s="55"/>
      <c r="I156" s="55"/>
      <c r="J156" s="55">
        <f t="shared" si="28"/>
        <v>0</v>
      </c>
      <c r="K156" s="55"/>
      <c r="L156" s="55"/>
      <c r="M156" s="55"/>
      <c r="N156" s="55"/>
      <c r="O156" s="55"/>
      <c r="P156" s="55">
        <f t="shared" si="29"/>
        <v>0</v>
      </c>
    </row>
    <row r="157" spans="1:16" hidden="1">
      <c r="A157" s="28" t="s">
        <v>335</v>
      </c>
      <c r="B157" s="28" t="s">
        <v>41</v>
      </c>
      <c r="C157" s="28"/>
      <c r="D157" s="33" t="s">
        <v>336</v>
      </c>
      <c r="E157" s="20">
        <f t="shared" si="27"/>
        <v>0</v>
      </c>
      <c r="F157" s="30">
        <f>F158</f>
        <v>0</v>
      </c>
      <c r="G157" s="30">
        <f>G158</f>
        <v>0</v>
      </c>
      <c r="H157" s="30">
        <f>H158</f>
        <v>0</v>
      </c>
      <c r="I157" s="30">
        <f>I158</f>
        <v>0</v>
      </c>
      <c r="J157" s="20">
        <f t="shared" si="28"/>
        <v>30257075</v>
      </c>
      <c r="K157" s="30">
        <f>K158</f>
        <v>0</v>
      </c>
      <c r="L157" s="30">
        <f>L158</f>
        <v>0</v>
      </c>
      <c r="M157" s="30">
        <f>M158</f>
        <v>0</v>
      </c>
      <c r="N157" s="30">
        <f>N158</f>
        <v>30257075</v>
      </c>
      <c r="O157" s="30">
        <f>O158</f>
        <v>30257075</v>
      </c>
      <c r="P157" s="20">
        <f t="shared" si="29"/>
        <v>30257075</v>
      </c>
    </row>
    <row r="158" spans="1:16" s="21" customFormat="1" ht="45" hidden="1">
      <c r="A158" s="25" t="s">
        <v>337</v>
      </c>
      <c r="B158" s="25" t="s">
        <v>44</v>
      </c>
      <c r="C158" s="25" t="s">
        <v>45</v>
      </c>
      <c r="D158" s="31" t="s">
        <v>46</v>
      </c>
      <c r="E158" s="20">
        <f t="shared" si="27"/>
        <v>0</v>
      </c>
      <c r="F158" s="27"/>
      <c r="G158" s="27"/>
      <c r="H158" s="27"/>
      <c r="I158" s="27"/>
      <c r="J158" s="20">
        <f t="shared" si="28"/>
        <v>30257075</v>
      </c>
      <c r="K158" s="27"/>
      <c r="L158" s="27"/>
      <c r="M158" s="27"/>
      <c r="N158" s="27">
        <f>O158</f>
        <v>30257075</v>
      </c>
      <c r="O158" s="27">
        <f>7138160+23118915</f>
        <v>30257075</v>
      </c>
      <c r="P158" s="20">
        <f t="shared" si="29"/>
        <v>30257075</v>
      </c>
    </row>
    <row r="159" spans="1:16" s="63" customFormat="1" ht="72" hidden="1">
      <c r="A159" s="53"/>
      <c r="B159" s="53"/>
      <c r="C159" s="53"/>
      <c r="D159" s="65" t="s">
        <v>125</v>
      </c>
      <c r="E159" s="62">
        <f t="shared" si="27"/>
        <v>0</v>
      </c>
      <c r="F159" s="55"/>
      <c r="G159" s="55"/>
      <c r="H159" s="55"/>
      <c r="I159" s="55"/>
      <c r="J159" s="62">
        <f t="shared" si="28"/>
        <v>0</v>
      </c>
      <c r="K159" s="55"/>
      <c r="L159" s="55"/>
      <c r="M159" s="55"/>
      <c r="N159" s="55"/>
      <c r="O159" s="55"/>
      <c r="P159" s="62">
        <f t="shared" si="29"/>
        <v>0</v>
      </c>
    </row>
    <row r="160" spans="1:16" s="61" customFormat="1" ht="45" hidden="1">
      <c r="A160" s="14" t="s">
        <v>338</v>
      </c>
      <c r="B160" s="14" t="s">
        <v>339</v>
      </c>
      <c r="C160" s="14"/>
      <c r="D160" s="15" t="s">
        <v>340</v>
      </c>
      <c r="E160" s="16">
        <f>F160+I160</f>
        <v>1542770211</v>
      </c>
      <c r="F160" s="16">
        <f>F161</f>
        <v>1542770211</v>
      </c>
      <c r="G160" s="16">
        <f>G161</f>
        <v>77387011</v>
      </c>
      <c r="H160" s="16">
        <f>H161</f>
        <v>4442362</v>
      </c>
      <c r="I160" s="16">
        <f>I161</f>
        <v>0</v>
      </c>
      <c r="J160" s="16">
        <f>K160+N160</f>
        <v>10406000</v>
      </c>
      <c r="K160" s="16">
        <f>K161</f>
        <v>160863</v>
      </c>
      <c r="L160" s="16">
        <f>L161</f>
        <v>103990</v>
      </c>
      <c r="M160" s="16">
        <f>M161</f>
        <v>0</v>
      </c>
      <c r="N160" s="16">
        <f>N161</f>
        <v>10245137</v>
      </c>
      <c r="O160" s="16">
        <f>O161</f>
        <v>10245137</v>
      </c>
      <c r="P160" s="50">
        <f>E160+J160</f>
        <v>1553176211</v>
      </c>
    </row>
    <row r="161" spans="1:16" s="61" customFormat="1" ht="45" hidden="1">
      <c r="A161" s="18" t="s">
        <v>341</v>
      </c>
      <c r="B161" s="38"/>
      <c r="C161" s="38"/>
      <c r="D161" s="19" t="s">
        <v>340</v>
      </c>
      <c r="E161" s="20">
        <f>F161+I161</f>
        <v>1542770211</v>
      </c>
      <c r="F161" s="20">
        <f>F162+F164+F167+F241+F239</f>
        <v>1542770211</v>
      </c>
      <c r="G161" s="20">
        <f>G162+G164+G167+G241+G239</f>
        <v>77387011</v>
      </c>
      <c r="H161" s="20">
        <f>H162+H164+H167+H241+H239</f>
        <v>4442362</v>
      </c>
      <c r="I161" s="20">
        <f>I162+I164+I167+I241+I239</f>
        <v>0</v>
      </c>
      <c r="J161" s="20">
        <f>K161+N161</f>
        <v>10406000</v>
      </c>
      <c r="K161" s="20">
        <f>K162+K164+K167+K241+K239</f>
        <v>160863</v>
      </c>
      <c r="L161" s="20">
        <f>L162+L164+L167+L241+L239</f>
        <v>103990</v>
      </c>
      <c r="M161" s="20">
        <f>M162+M164+M167+M241+M239</f>
        <v>0</v>
      </c>
      <c r="N161" s="20">
        <f>N162+N164+N167+N241+N239</f>
        <v>10245137</v>
      </c>
      <c r="O161" s="20">
        <f>O162+O164+O167+O241+O239</f>
        <v>10245137</v>
      </c>
      <c r="P161" s="20">
        <f>E161+J161</f>
        <v>1553176211</v>
      </c>
    </row>
    <row r="162" spans="1:16" s="61" customFormat="1" hidden="1">
      <c r="A162" s="28" t="s">
        <v>342</v>
      </c>
      <c r="B162" s="22" t="s">
        <v>21</v>
      </c>
      <c r="C162" s="22"/>
      <c r="D162" s="23" t="s">
        <v>22</v>
      </c>
      <c r="E162" s="20">
        <f t="shared" ref="E162:E240" si="31">F162+I162</f>
        <v>68307883</v>
      </c>
      <c r="F162" s="24">
        <f>F163</f>
        <v>68307883</v>
      </c>
      <c r="G162" s="24">
        <f>G163</f>
        <v>51297302</v>
      </c>
      <c r="H162" s="24">
        <f>H163</f>
        <v>1601758</v>
      </c>
      <c r="I162" s="24">
        <f>I163</f>
        <v>0</v>
      </c>
      <c r="J162" s="20">
        <f t="shared" ref="J162:J240" si="32">K162+N162</f>
        <v>2400637</v>
      </c>
      <c r="K162" s="24">
        <f>K163</f>
        <v>0</v>
      </c>
      <c r="L162" s="24">
        <f>L163</f>
        <v>0</v>
      </c>
      <c r="M162" s="24">
        <f>M163</f>
        <v>0</v>
      </c>
      <c r="N162" s="24">
        <f>N163</f>
        <v>2400637</v>
      </c>
      <c r="O162" s="24">
        <f>O163</f>
        <v>2400637</v>
      </c>
      <c r="P162" s="20">
        <f t="shared" ref="P162:P240" si="33">E162+J162</f>
        <v>70708520</v>
      </c>
    </row>
    <row r="163" spans="1:16" s="61" customFormat="1" ht="45" hidden="1">
      <c r="A163" s="12" t="s">
        <v>343</v>
      </c>
      <c r="B163" s="25" t="s">
        <v>116</v>
      </c>
      <c r="C163" s="12" t="s">
        <v>25</v>
      </c>
      <c r="D163" s="75" t="s">
        <v>344</v>
      </c>
      <c r="E163" s="20">
        <f t="shared" si="31"/>
        <v>68307883</v>
      </c>
      <c r="F163" s="27">
        <v>68307883</v>
      </c>
      <c r="G163" s="27">
        <v>51297302</v>
      </c>
      <c r="H163" s="27">
        <v>1601758</v>
      </c>
      <c r="I163" s="27"/>
      <c r="J163" s="20">
        <f t="shared" si="32"/>
        <v>2400637</v>
      </c>
      <c r="K163" s="27"/>
      <c r="L163" s="27"/>
      <c r="M163" s="27"/>
      <c r="N163" s="27">
        <f>O163</f>
        <v>2400637</v>
      </c>
      <c r="O163" s="27">
        <f>1174764+1225873</f>
        <v>2400637</v>
      </c>
      <c r="P163" s="20">
        <f t="shared" si="33"/>
        <v>70708520</v>
      </c>
    </row>
    <row r="164" spans="1:16" s="61" customFormat="1" hidden="1">
      <c r="A164" s="76" t="s">
        <v>345</v>
      </c>
      <c r="B164" s="77" t="s">
        <v>119</v>
      </c>
      <c r="C164" s="77"/>
      <c r="D164" s="78" t="s">
        <v>120</v>
      </c>
      <c r="E164" s="20">
        <f t="shared" si="31"/>
        <v>3129152</v>
      </c>
      <c r="F164" s="79">
        <f>F165</f>
        <v>3129152</v>
      </c>
      <c r="G164" s="79">
        <f>G165</f>
        <v>0</v>
      </c>
      <c r="H164" s="79">
        <f>H165</f>
        <v>0</v>
      </c>
      <c r="I164" s="79">
        <f>I165</f>
        <v>0</v>
      </c>
      <c r="J164" s="20">
        <f t="shared" si="32"/>
        <v>0</v>
      </c>
      <c r="K164" s="79">
        <f>K165</f>
        <v>0</v>
      </c>
      <c r="L164" s="79">
        <f>L165</f>
        <v>0</v>
      </c>
      <c r="M164" s="79">
        <f>M165</f>
        <v>0</v>
      </c>
      <c r="N164" s="79">
        <f>N165</f>
        <v>0</v>
      </c>
      <c r="O164" s="79">
        <f>O165</f>
        <v>0</v>
      </c>
      <c r="P164" s="20">
        <f t="shared" si="33"/>
        <v>3129152</v>
      </c>
    </row>
    <row r="165" spans="1:16" s="61" customFormat="1" ht="90" hidden="1">
      <c r="A165" s="80" t="s">
        <v>346</v>
      </c>
      <c r="B165" s="80" t="s">
        <v>49</v>
      </c>
      <c r="C165" s="80" t="s">
        <v>123</v>
      </c>
      <c r="D165" s="81" t="s">
        <v>347</v>
      </c>
      <c r="E165" s="20">
        <f t="shared" si="31"/>
        <v>3129152</v>
      </c>
      <c r="F165" s="60">
        <v>3129152</v>
      </c>
      <c r="G165" s="60"/>
      <c r="H165" s="60"/>
      <c r="I165" s="60"/>
      <c r="J165" s="20">
        <f t="shared" si="32"/>
        <v>0</v>
      </c>
      <c r="K165" s="60"/>
      <c r="L165" s="60"/>
      <c r="M165" s="60"/>
      <c r="N165" s="60"/>
      <c r="O165" s="60"/>
      <c r="P165" s="20">
        <f t="shared" si="33"/>
        <v>3129152</v>
      </c>
    </row>
    <row r="166" spans="1:16" s="63" customFormat="1" ht="36" hidden="1">
      <c r="A166" s="82"/>
      <c r="B166" s="83"/>
      <c r="C166" s="83"/>
      <c r="D166" s="84" t="s">
        <v>348</v>
      </c>
      <c r="E166" s="85">
        <f t="shared" si="31"/>
        <v>3129152</v>
      </c>
      <c r="F166" s="85">
        <v>3129152</v>
      </c>
      <c r="G166" s="85"/>
      <c r="H166" s="85"/>
      <c r="I166" s="85"/>
      <c r="J166" s="62"/>
      <c r="K166" s="85"/>
      <c r="L166" s="85"/>
      <c r="M166" s="85"/>
      <c r="N166" s="85"/>
      <c r="O166" s="85"/>
      <c r="P166" s="85">
        <f t="shared" si="33"/>
        <v>3129152</v>
      </c>
    </row>
    <row r="167" spans="1:16" s="61" customFormat="1" ht="26.25" hidden="1">
      <c r="A167" s="76" t="s">
        <v>349</v>
      </c>
      <c r="B167" s="76" t="s">
        <v>168</v>
      </c>
      <c r="C167" s="76"/>
      <c r="D167" s="86" t="s">
        <v>169</v>
      </c>
      <c r="E167" s="20">
        <f>F167+I167</f>
        <v>1471333176</v>
      </c>
      <c r="F167" s="87">
        <f>F168+F182+F196+F204+F223+F225+F227+F228+F231+F232+F233+F235+F237</f>
        <v>1471333176</v>
      </c>
      <c r="G167" s="87">
        <f>G168+G182+G196+G204+G223+G225+G227+G228+G231+G232+G233+G235+G237</f>
        <v>26089709</v>
      </c>
      <c r="H167" s="87">
        <f>H168+H182+H196+H204+H223+H225+H227+H228+H231+H232+H233+H235+H237</f>
        <v>2840604</v>
      </c>
      <c r="I167" s="87">
        <f>I168+I182+I196+I204+I223+I225+I227+I228+I231+I232+I233+I235+I237</f>
        <v>0</v>
      </c>
      <c r="J167" s="20">
        <f t="shared" si="32"/>
        <v>505363</v>
      </c>
      <c r="K167" s="87">
        <f>K168+K182+K196+K204+K223+K225+K227+K228+K231+K232+K233+K235+K237</f>
        <v>160863</v>
      </c>
      <c r="L167" s="87">
        <f>L168+L182+L196+L204+L223+L225+L227+L228+L231+L232+L233+L235+L237</f>
        <v>103990</v>
      </c>
      <c r="M167" s="87">
        <f>M168+M182+M196+M204+M223+M225+M227+M228+M231+M232+M233+M235+M237</f>
        <v>0</v>
      </c>
      <c r="N167" s="87">
        <f>N168+N182+N196+N204+N223+N225+N227+N228+N231+N232+N233+N235+N237</f>
        <v>344500</v>
      </c>
      <c r="O167" s="87">
        <f>O168+O182+O196+O204+O223+O225+O227+O228+O231+O232+O233+O235+O237</f>
        <v>344500</v>
      </c>
      <c r="P167" s="20">
        <f t="shared" si="33"/>
        <v>1471838539</v>
      </c>
    </row>
    <row r="168" spans="1:16" s="61" customFormat="1" ht="102.75" hidden="1">
      <c r="A168" s="76" t="s">
        <v>350</v>
      </c>
      <c r="B168" s="76" t="s">
        <v>351</v>
      </c>
      <c r="C168" s="76"/>
      <c r="D168" s="86" t="s">
        <v>352</v>
      </c>
      <c r="E168" s="20">
        <f t="shared" si="31"/>
        <v>551344600</v>
      </c>
      <c r="F168" s="87">
        <f>F169+F171+F174+F176+F178+F180</f>
        <v>551344600</v>
      </c>
      <c r="G168" s="87">
        <f>G169+G171+G174+G176+G178+G180</f>
        <v>0</v>
      </c>
      <c r="H168" s="87">
        <f>H169+H171+H174+H176+H178+H180</f>
        <v>0</v>
      </c>
      <c r="I168" s="87">
        <f>I169+I171+I174+I176+I178+I180</f>
        <v>0</v>
      </c>
      <c r="J168" s="20">
        <f t="shared" si="32"/>
        <v>0</v>
      </c>
      <c r="K168" s="87">
        <f>K169+K171+K174+K176+K178+K180</f>
        <v>0</v>
      </c>
      <c r="L168" s="87">
        <f>L169+L171+L174+L176+L178+L180</f>
        <v>0</v>
      </c>
      <c r="M168" s="87">
        <f>M169+M171+M174+M176+M178+M180</f>
        <v>0</v>
      </c>
      <c r="N168" s="87">
        <f>N169+N171+N174+N176+N178+N180</f>
        <v>0</v>
      </c>
      <c r="O168" s="87">
        <f>O169+O171+O174+O176+O178+O180</f>
        <v>0</v>
      </c>
      <c r="P168" s="20">
        <f t="shared" si="33"/>
        <v>551344600</v>
      </c>
    </row>
    <row r="169" spans="1:16" s="61" customFormat="1" ht="288.75" hidden="1">
      <c r="A169" s="80" t="s">
        <v>353</v>
      </c>
      <c r="B169" s="80" t="s">
        <v>354</v>
      </c>
      <c r="C169" s="80" t="s">
        <v>132</v>
      </c>
      <c r="D169" s="88" t="s">
        <v>355</v>
      </c>
      <c r="E169" s="20">
        <f t="shared" si="31"/>
        <v>42083500</v>
      </c>
      <c r="F169" s="60">
        <v>42083500</v>
      </c>
      <c r="G169" s="60"/>
      <c r="H169" s="60"/>
      <c r="I169" s="60"/>
      <c r="J169" s="20">
        <f t="shared" si="32"/>
        <v>0</v>
      </c>
      <c r="K169" s="60"/>
      <c r="L169" s="60"/>
      <c r="M169" s="60"/>
      <c r="N169" s="60"/>
      <c r="O169" s="60"/>
      <c r="P169" s="20">
        <f t="shared" si="33"/>
        <v>42083500</v>
      </c>
    </row>
    <row r="170" spans="1:16" s="63" customFormat="1" ht="36" hidden="1">
      <c r="A170" s="82"/>
      <c r="B170" s="83"/>
      <c r="C170" s="83"/>
      <c r="D170" s="84" t="s">
        <v>348</v>
      </c>
      <c r="E170" s="85">
        <f t="shared" si="31"/>
        <v>42083500</v>
      </c>
      <c r="F170" s="85">
        <f>F169</f>
        <v>42083500</v>
      </c>
      <c r="G170" s="85"/>
      <c r="H170" s="85"/>
      <c r="I170" s="85"/>
      <c r="J170" s="62"/>
      <c r="K170" s="85"/>
      <c r="L170" s="85"/>
      <c r="M170" s="85"/>
      <c r="N170" s="85"/>
      <c r="O170" s="85"/>
      <c r="P170" s="85">
        <f t="shared" si="33"/>
        <v>42083500</v>
      </c>
    </row>
    <row r="171" spans="1:16" s="61" customFormat="1" ht="409.6" hidden="1">
      <c r="A171" s="80" t="s">
        <v>356</v>
      </c>
      <c r="B171" s="89" t="s">
        <v>357</v>
      </c>
      <c r="C171" s="89" t="s">
        <v>132</v>
      </c>
      <c r="D171" s="90" t="s">
        <v>358</v>
      </c>
      <c r="E171" s="20">
        <f t="shared" si="31"/>
        <v>5325100</v>
      </c>
      <c r="F171" s="91">
        <v>5325100</v>
      </c>
      <c r="G171" s="91"/>
      <c r="H171" s="91"/>
      <c r="I171" s="91"/>
      <c r="J171" s="20">
        <f t="shared" si="32"/>
        <v>0</v>
      </c>
      <c r="K171" s="91"/>
      <c r="L171" s="91"/>
      <c r="M171" s="91"/>
      <c r="N171" s="91"/>
      <c r="O171" s="91"/>
      <c r="P171" s="20">
        <f t="shared" si="33"/>
        <v>5325100</v>
      </c>
    </row>
    <row r="172" spans="1:16" s="61" customFormat="1" ht="336.75" hidden="1">
      <c r="A172" s="92"/>
      <c r="B172" s="92"/>
      <c r="C172" s="92"/>
      <c r="D172" s="93" t="s">
        <v>359</v>
      </c>
      <c r="E172" s="20">
        <f t="shared" si="31"/>
        <v>0</v>
      </c>
      <c r="F172" s="94"/>
      <c r="G172" s="94"/>
      <c r="H172" s="94"/>
      <c r="I172" s="94"/>
      <c r="J172" s="20">
        <f t="shared" si="32"/>
        <v>0</v>
      </c>
      <c r="K172" s="94"/>
      <c r="L172" s="94"/>
      <c r="M172" s="94"/>
      <c r="N172" s="94"/>
      <c r="O172" s="94"/>
      <c r="P172" s="20">
        <f t="shared" si="33"/>
        <v>0</v>
      </c>
    </row>
    <row r="173" spans="1:16" s="63" customFormat="1" ht="36.75" hidden="1">
      <c r="A173" s="82"/>
      <c r="B173" s="83"/>
      <c r="C173" s="83"/>
      <c r="D173" s="84" t="s">
        <v>348</v>
      </c>
      <c r="E173" s="20">
        <f t="shared" si="31"/>
        <v>5325100</v>
      </c>
      <c r="F173" s="85">
        <f>F171</f>
        <v>5325100</v>
      </c>
      <c r="G173" s="85"/>
      <c r="H173" s="85"/>
      <c r="I173" s="85"/>
      <c r="J173" s="62"/>
      <c r="K173" s="85"/>
      <c r="L173" s="85"/>
      <c r="M173" s="85"/>
      <c r="N173" s="85"/>
      <c r="O173" s="85"/>
      <c r="P173" s="20">
        <f t="shared" si="33"/>
        <v>5325100</v>
      </c>
    </row>
    <row r="174" spans="1:16" s="61" customFormat="1" ht="120.75" hidden="1">
      <c r="A174" s="80" t="s">
        <v>360</v>
      </c>
      <c r="B174" s="80" t="s">
        <v>361</v>
      </c>
      <c r="C174" s="80" t="s">
        <v>135</v>
      </c>
      <c r="D174" s="95" t="s">
        <v>362</v>
      </c>
      <c r="E174" s="20">
        <f t="shared" si="31"/>
        <v>2464000</v>
      </c>
      <c r="F174" s="60">
        <v>2464000</v>
      </c>
      <c r="G174" s="60"/>
      <c r="H174" s="60"/>
      <c r="I174" s="60"/>
      <c r="J174" s="20">
        <f t="shared" si="32"/>
        <v>0</v>
      </c>
      <c r="K174" s="60"/>
      <c r="L174" s="60"/>
      <c r="M174" s="60"/>
      <c r="N174" s="60"/>
      <c r="O174" s="60"/>
      <c r="P174" s="20">
        <f t="shared" si="33"/>
        <v>2464000</v>
      </c>
    </row>
    <row r="175" spans="1:16" s="63" customFormat="1" ht="36" hidden="1">
      <c r="A175" s="82"/>
      <c r="B175" s="83"/>
      <c r="C175" s="83"/>
      <c r="D175" s="84" t="s">
        <v>348</v>
      </c>
      <c r="E175" s="85">
        <f t="shared" si="31"/>
        <v>2464000</v>
      </c>
      <c r="F175" s="85">
        <f>F174</f>
        <v>2464000</v>
      </c>
      <c r="G175" s="85"/>
      <c r="H175" s="85"/>
      <c r="I175" s="85"/>
      <c r="J175" s="62"/>
      <c r="K175" s="85"/>
      <c r="L175" s="85"/>
      <c r="M175" s="85"/>
      <c r="N175" s="85"/>
      <c r="O175" s="85"/>
      <c r="P175" s="85">
        <f t="shared" si="33"/>
        <v>2464000</v>
      </c>
    </row>
    <row r="176" spans="1:16" s="61" customFormat="1" ht="39" hidden="1">
      <c r="A176" s="80" t="s">
        <v>363</v>
      </c>
      <c r="B176" s="80" t="s">
        <v>364</v>
      </c>
      <c r="C176" s="80" t="s">
        <v>135</v>
      </c>
      <c r="D176" s="81" t="s">
        <v>365</v>
      </c>
      <c r="E176" s="20">
        <f t="shared" si="31"/>
        <v>2684000</v>
      </c>
      <c r="F176" s="60">
        <v>2684000</v>
      </c>
      <c r="G176" s="60"/>
      <c r="H176" s="60"/>
      <c r="I176" s="60"/>
      <c r="J176" s="20">
        <f t="shared" si="32"/>
        <v>0</v>
      </c>
      <c r="K176" s="60"/>
      <c r="L176" s="60"/>
      <c r="M176" s="60"/>
      <c r="N176" s="60"/>
      <c r="O176" s="60"/>
      <c r="P176" s="20">
        <f t="shared" si="33"/>
        <v>2684000</v>
      </c>
    </row>
    <row r="177" spans="1:16" s="63" customFormat="1" ht="36" hidden="1">
      <c r="A177" s="82"/>
      <c r="B177" s="83"/>
      <c r="C177" s="83"/>
      <c r="D177" s="84" t="s">
        <v>348</v>
      </c>
      <c r="E177" s="85">
        <f t="shared" si="31"/>
        <v>2684000</v>
      </c>
      <c r="F177" s="85">
        <f>F176</f>
        <v>2684000</v>
      </c>
      <c r="G177" s="85"/>
      <c r="H177" s="85"/>
      <c r="I177" s="85"/>
      <c r="J177" s="62"/>
      <c r="K177" s="85"/>
      <c r="L177" s="85"/>
      <c r="M177" s="85"/>
      <c r="N177" s="85"/>
      <c r="O177" s="85"/>
      <c r="P177" s="85">
        <f t="shared" si="33"/>
        <v>2684000</v>
      </c>
    </row>
    <row r="178" spans="1:16" ht="51.75" hidden="1">
      <c r="A178" s="80" t="s">
        <v>366</v>
      </c>
      <c r="B178" s="80" t="s">
        <v>367</v>
      </c>
      <c r="C178" s="80" t="s">
        <v>49</v>
      </c>
      <c r="D178" s="96" t="s">
        <v>368</v>
      </c>
      <c r="E178" s="20">
        <f t="shared" si="31"/>
        <v>498788000</v>
      </c>
      <c r="F178" s="60">
        <v>498788000</v>
      </c>
      <c r="G178" s="60"/>
      <c r="H178" s="60"/>
      <c r="I178" s="60"/>
      <c r="J178" s="20">
        <f t="shared" si="32"/>
        <v>0</v>
      </c>
      <c r="K178" s="60"/>
      <c r="L178" s="60"/>
      <c r="M178" s="60"/>
      <c r="N178" s="60"/>
      <c r="O178" s="60"/>
      <c r="P178" s="20">
        <f t="shared" si="33"/>
        <v>498788000</v>
      </c>
    </row>
    <row r="179" spans="1:16" s="63" customFormat="1" ht="36" hidden="1">
      <c r="A179" s="82"/>
      <c r="B179" s="83"/>
      <c r="C179" s="83"/>
      <c r="D179" s="84" t="s">
        <v>348</v>
      </c>
      <c r="E179" s="85">
        <f t="shared" si="31"/>
        <v>498788000</v>
      </c>
      <c r="F179" s="85">
        <f>F178</f>
        <v>498788000</v>
      </c>
      <c r="G179" s="85"/>
      <c r="H179" s="85"/>
      <c r="I179" s="85"/>
      <c r="J179" s="62"/>
      <c r="K179" s="85"/>
      <c r="L179" s="85"/>
      <c r="M179" s="85"/>
      <c r="N179" s="85"/>
      <c r="O179" s="85"/>
      <c r="P179" s="85">
        <f t="shared" si="33"/>
        <v>498788000</v>
      </c>
    </row>
    <row r="180" spans="1:16" ht="77.25" hidden="1">
      <c r="A180" s="80" t="s">
        <v>369</v>
      </c>
      <c r="B180" s="80" t="s">
        <v>370</v>
      </c>
      <c r="C180" s="80" t="s">
        <v>49</v>
      </c>
      <c r="D180" s="72" t="s">
        <v>371</v>
      </c>
      <c r="E180" s="20">
        <f t="shared" si="31"/>
        <v>0</v>
      </c>
      <c r="F180" s="60"/>
      <c r="G180" s="60"/>
      <c r="H180" s="60"/>
      <c r="I180" s="60"/>
      <c r="J180" s="20">
        <f t="shared" si="32"/>
        <v>0</v>
      </c>
      <c r="K180" s="60"/>
      <c r="L180" s="60"/>
      <c r="M180" s="60"/>
      <c r="N180" s="60"/>
      <c r="O180" s="60"/>
      <c r="P180" s="20">
        <f t="shared" si="33"/>
        <v>0</v>
      </c>
    </row>
    <row r="181" spans="1:16" s="63" customFormat="1" ht="36" hidden="1">
      <c r="A181" s="82"/>
      <c r="B181" s="83"/>
      <c r="C181" s="83"/>
      <c r="D181" s="84" t="s">
        <v>348</v>
      </c>
      <c r="E181" s="62"/>
      <c r="F181" s="85"/>
      <c r="G181" s="85"/>
      <c r="H181" s="85"/>
      <c r="I181" s="85"/>
      <c r="J181" s="62"/>
      <c r="K181" s="85"/>
      <c r="L181" s="85"/>
      <c r="M181" s="85"/>
      <c r="N181" s="85"/>
      <c r="O181" s="85"/>
      <c r="P181" s="62"/>
    </row>
    <row r="182" spans="1:16" ht="64.5" hidden="1">
      <c r="A182" s="80" t="s">
        <v>372</v>
      </c>
      <c r="B182" s="76" t="s">
        <v>373</v>
      </c>
      <c r="C182" s="76"/>
      <c r="D182" s="97" t="s">
        <v>374</v>
      </c>
      <c r="E182" s="20">
        <f t="shared" si="31"/>
        <v>1228800</v>
      </c>
      <c r="F182" s="87">
        <f>F183+F185+F188+F190+F192+F194</f>
        <v>1228800</v>
      </c>
      <c r="G182" s="87">
        <f>G183+G185+G188+G190+G192+G194</f>
        <v>0</v>
      </c>
      <c r="H182" s="87">
        <f>H183+H185+H188+H190+H192+H194</f>
        <v>0</v>
      </c>
      <c r="I182" s="87">
        <f>I183+I185+I188+I190+I192+I194</f>
        <v>0</v>
      </c>
      <c r="J182" s="20">
        <f t="shared" si="32"/>
        <v>0</v>
      </c>
      <c r="K182" s="87">
        <f>K183+K185+K188+K190+K192+K194</f>
        <v>0</v>
      </c>
      <c r="L182" s="87">
        <f>L183+L185+L188+L190+L192+L194</f>
        <v>0</v>
      </c>
      <c r="M182" s="87">
        <f>M183+M185+M188+M190+M192+M194</f>
        <v>0</v>
      </c>
      <c r="N182" s="87">
        <f>N183+N185+N188+N190+N192+N194</f>
        <v>0</v>
      </c>
      <c r="O182" s="87">
        <f>O183+O185+O188+O190+O192+O194</f>
        <v>0</v>
      </c>
      <c r="P182" s="20">
        <f t="shared" si="33"/>
        <v>1228800</v>
      </c>
    </row>
    <row r="183" spans="1:16" s="61" customFormat="1" ht="252.75" hidden="1">
      <c r="A183" s="80" t="s">
        <v>375</v>
      </c>
      <c r="B183" s="80" t="s">
        <v>376</v>
      </c>
      <c r="C183" s="80" t="s">
        <v>132</v>
      </c>
      <c r="D183" s="88" t="s">
        <v>377</v>
      </c>
      <c r="E183" s="20">
        <f t="shared" si="31"/>
        <v>201254</v>
      </c>
      <c r="F183" s="60">
        <v>201254</v>
      </c>
      <c r="G183" s="60"/>
      <c r="H183" s="60"/>
      <c r="I183" s="60"/>
      <c r="J183" s="20">
        <f t="shared" si="32"/>
        <v>0</v>
      </c>
      <c r="K183" s="60"/>
      <c r="L183" s="60"/>
      <c r="M183" s="60"/>
      <c r="N183" s="60"/>
      <c r="O183" s="60"/>
      <c r="P183" s="20">
        <f t="shared" si="33"/>
        <v>201254</v>
      </c>
    </row>
    <row r="184" spans="1:16" s="63" customFormat="1" ht="36" hidden="1">
      <c r="A184" s="82"/>
      <c r="B184" s="83"/>
      <c r="C184" s="83"/>
      <c r="D184" s="84" t="s">
        <v>348</v>
      </c>
      <c r="E184" s="85">
        <f t="shared" si="31"/>
        <v>201254</v>
      </c>
      <c r="F184" s="85">
        <f>F183</f>
        <v>201254</v>
      </c>
      <c r="G184" s="85"/>
      <c r="H184" s="85"/>
      <c r="I184" s="85"/>
      <c r="J184" s="62"/>
      <c r="K184" s="85"/>
      <c r="L184" s="85"/>
      <c r="M184" s="85"/>
      <c r="N184" s="85"/>
      <c r="O184" s="85"/>
      <c r="P184" s="85">
        <f t="shared" si="33"/>
        <v>201254</v>
      </c>
    </row>
    <row r="185" spans="1:16" s="61" customFormat="1" ht="409.6" hidden="1">
      <c r="A185" s="89" t="s">
        <v>378</v>
      </c>
      <c r="B185" s="89" t="s">
        <v>379</v>
      </c>
      <c r="C185" s="89" t="s">
        <v>132</v>
      </c>
      <c r="D185" s="90" t="s">
        <v>380</v>
      </c>
      <c r="E185" s="98">
        <f t="shared" si="31"/>
        <v>4000</v>
      </c>
      <c r="F185" s="91">
        <v>4000</v>
      </c>
      <c r="G185" s="91"/>
      <c r="H185" s="91"/>
      <c r="I185" s="91"/>
      <c r="J185" s="98">
        <f t="shared" si="32"/>
        <v>0</v>
      </c>
      <c r="K185" s="91"/>
      <c r="L185" s="91"/>
      <c r="M185" s="91"/>
      <c r="N185" s="91"/>
      <c r="O185" s="91"/>
      <c r="P185" s="98">
        <f t="shared" si="33"/>
        <v>4000</v>
      </c>
    </row>
    <row r="186" spans="1:16" s="61" customFormat="1" ht="84.75" hidden="1">
      <c r="A186" s="92"/>
      <c r="B186" s="92"/>
      <c r="C186" s="92"/>
      <c r="D186" s="93" t="s">
        <v>381</v>
      </c>
      <c r="E186" s="99">
        <f t="shared" si="31"/>
        <v>0</v>
      </c>
      <c r="F186" s="94"/>
      <c r="G186" s="94"/>
      <c r="H186" s="94"/>
      <c r="I186" s="94"/>
      <c r="J186" s="99">
        <f t="shared" si="32"/>
        <v>0</v>
      </c>
      <c r="K186" s="94"/>
      <c r="L186" s="94"/>
      <c r="M186" s="94"/>
      <c r="N186" s="94"/>
      <c r="O186" s="94"/>
      <c r="P186" s="99">
        <f t="shared" si="33"/>
        <v>0</v>
      </c>
    </row>
    <row r="187" spans="1:16" s="63" customFormat="1" ht="36" hidden="1">
      <c r="A187" s="82"/>
      <c r="B187" s="83"/>
      <c r="C187" s="83"/>
      <c r="D187" s="84" t="s">
        <v>348</v>
      </c>
      <c r="E187" s="85">
        <f t="shared" si="31"/>
        <v>4000</v>
      </c>
      <c r="F187" s="85">
        <v>4000</v>
      </c>
      <c r="G187" s="85"/>
      <c r="H187" s="85"/>
      <c r="I187" s="85"/>
      <c r="J187" s="62"/>
      <c r="K187" s="85"/>
      <c r="L187" s="85"/>
      <c r="M187" s="85"/>
      <c r="N187" s="85"/>
      <c r="O187" s="85"/>
      <c r="P187" s="85">
        <f t="shared" si="33"/>
        <v>4000</v>
      </c>
    </row>
    <row r="188" spans="1:16" s="61" customFormat="1" ht="108.75" hidden="1">
      <c r="A188" s="80" t="s">
        <v>382</v>
      </c>
      <c r="B188" s="80" t="s">
        <v>383</v>
      </c>
      <c r="C188" s="80" t="s">
        <v>135</v>
      </c>
      <c r="D188" s="95" t="s">
        <v>384</v>
      </c>
      <c r="E188" s="20">
        <f t="shared" si="31"/>
        <v>8000</v>
      </c>
      <c r="F188" s="60">
        <v>8000</v>
      </c>
      <c r="G188" s="60"/>
      <c r="H188" s="60"/>
      <c r="I188" s="60"/>
      <c r="J188" s="20">
        <f t="shared" si="32"/>
        <v>0</v>
      </c>
      <c r="K188" s="60"/>
      <c r="L188" s="60"/>
      <c r="M188" s="60"/>
      <c r="N188" s="60"/>
      <c r="O188" s="60"/>
      <c r="P188" s="20">
        <f t="shared" si="33"/>
        <v>8000</v>
      </c>
    </row>
    <row r="189" spans="1:16" s="63" customFormat="1" ht="36" hidden="1">
      <c r="A189" s="82"/>
      <c r="B189" s="83"/>
      <c r="C189" s="83"/>
      <c r="D189" s="84" t="s">
        <v>348</v>
      </c>
      <c r="E189" s="85">
        <f t="shared" si="31"/>
        <v>8000</v>
      </c>
      <c r="F189" s="85">
        <f>F188</f>
        <v>8000</v>
      </c>
      <c r="G189" s="85"/>
      <c r="H189" s="85"/>
      <c r="I189" s="85"/>
      <c r="J189" s="62"/>
      <c r="K189" s="85"/>
      <c r="L189" s="85"/>
      <c r="M189" s="85"/>
      <c r="N189" s="85"/>
      <c r="O189" s="85"/>
      <c r="P189" s="85">
        <f t="shared" si="33"/>
        <v>8000</v>
      </c>
    </row>
    <row r="190" spans="1:16" s="61" customFormat="1" ht="39" hidden="1">
      <c r="A190" s="80" t="s">
        <v>385</v>
      </c>
      <c r="B190" s="80" t="s">
        <v>386</v>
      </c>
      <c r="C190" s="80" t="s">
        <v>135</v>
      </c>
      <c r="D190" s="81" t="s">
        <v>387</v>
      </c>
      <c r="E190" s="20">
        <f t="shared" si="31"/>
        <v>51246</v>
      </c>
      <c r="F190" s="60">
        <v>51246</v>
      </c>
      <c r="G190" s="60"/>
      <c r="H190" s="60"/>
      <c r="I190" s="60"/>
      <c r="J190" s="20">
        <f t="shared" si="32"/>
        <v>0</v>
      </c>
      <c r="K190" s="60"/>
      <c r="L190" s="60"/>
      <c r="M190" s="60"/>
      <c r="N190" s="60"/>
      <c r="O190" s="60"/>
      <c r="P190" s="20">
        <f t="shared" si="33"/>
        <v>51246</v>
      </c>
    </row>
    <row r="191" spans="1:16" s="63" customFormat="1" ht="36" hidden="1">
      <c r="A191" s="82"/>
      <c r="B191" s="83"/>
      <c r="C191" s="83"/>
      <c r="D191" s="84" t="s">
        <v>348</v>
      </c>
      <c r="E191" s="85">
        <f t="shared" si="31"/>
        <v>51246</v>
      </c>
      <c r="F191" s="85">
        <f>F190</f>
        <v>51246</v>
      </c>
      <c r="G191" s="85"/>
      <c r="H191" s="85"/>
      <c r="I191" s="85"/>
      <c r="J191" s="62"/>
      <c r="K191" s="85"/>
      <c r="L191" s="85"/>
      <c r="M191" s="85"/>
      <c r="N191" s="85"/>
      <c r="O191" s="85"/>
      <c r="P191" s="85">
        <f t="shared" si="33"/>
        <v>51246</v>
      </c>
    </row>
    <row r="192" spans="1:16" ht="64.5" hidden="1">
      <c r="A192" s="80" t="s">
        <v>388</v>
      </c>
      <c r="B192" s="80" t="s">
        <v>389</v>
      </c>
      <c r="C192" s="80" t="s">
        <v>49</v>
      </c>
      <c r="D192" s="72" t="s">
        <v>390</v>
      </c>
      <c r="E192" s="20">
        <f t="shared" si="31"/>
        <v>964300</v>
      </c>
      <c r="F192" s="60">
        <v>964300</v>
      </c>
      <c r="G192" s="60"/>
      <c r="H192" s="60"/>
      <c r="I192" s="60"/>
      <c r="J192" s="20">
        <f t="shared" si="32"/>
        <v>0</v>
      </c>
      <c r="K192" s="60"/>
      <c r="L192" s="60"/>
      <c r="M192" s="60"/>
      <c r="N192" s="60"/>
      <c r="O192" s="60"/>
      <c r="P192" s="20">
        <f t="shared" si="33"/>
        <v>964300</v>
      </c>
    </row>
    <row r="193" spans="1:16" s="63" customFormat="1" ht="36" hidden="1">
      <c r="A193" s="82"/>
      <c r="B193" s="83"/>
      <c r="C193" s="83"/>
      <c r="D193" s="84" t="s">
        <v>348</v>
      </c>
      <c r="E193" s="85">
        <f t="shared" si="31"/>
        <v>964300</v>
      </c>
      <c r="F193" s="85">
        <f>F192</f>
        <v>964300</v>
      </c>
      <c r="G193" s="85"/>
      <c r="H193" s="85"/>
      <c r="I193" s="85"/>
      <c r="J193" s="62"/>
      <c r="K193" s="85"/>
      <c r="L193" s="85"/>
      <c r="M193" s="85"/>
      <c r="N193" s="85"/>
      <c r="O193" s="85"/>
      <c r="P193" s="85">
        <f t="shared" si="33"/>
        <v>964300</v>
      </c>
    </row>
    <row r="194" spans="1:16" ht="102.75" hidden="1">
      <c r="A194" s="80" t="s">
        <v>391</v>
      </c>
      <c r="B194" s="80" t="s">
        <v>392</v>
      </c>
      <c r="C194" s="80" t="s">
        <v>49</v>
      </c>
      <c r="D194" s="72" t="s">
        <v>393</v>
      </c>
      <c r="E194" s="20">
        <f t="shared" si="31"/>
        <v>0</v>
      </c>
      <c r="F194" s="60"/>
      <c r="G194" s="60"/>
      <c r="H194" s="60"/>
      <c r="I194" s="60"/>
      <c r="J194" s="20">
        <f t="shared" si="32"/>
        <v>0</v>
      </c>
      <c r="K194" s="60"/>
      <c r="L194" s="60"/>
      <c r="M194" s="60"/>
      <c r="N194" s="60"/>
      <c r="O194" s="60"/>
      <c r="P194" s="20">
        <f t="shared" si="33"/>
        <v>0</v>
      </c>
    </row>
    <row r="195" spans="1:16" s="63" customFormat="1" ht="36" hidden="1">
      <c r="A195" s="82"/>
      <c r="B195" s="83"/>
      <c r="C195" s="83"/>
      <c r="D195" s="84" t="s">
        <v>348</v>
      </c>
      <c r="E195" s="62"/>
      <c r="F195" s="85"/>
      <c r="G195" s="85"/>
      <c r="H195" s="85"/>
      <c r="I195" s="85"/>
      <c r="J195" s="62"/>
      <c r="K195" s="85"/>
      <c r="L195" s="85"/>
      <c r="M195" s="85"/>
      <c r="N195" s="85"/>
      <c r="O195" s="85"/>
      <c r="P195" s="62"/>
    </row>
    <row r="196" spans="1:16" ht="281.25" hidden="1">
      <c r="A196" s="80" t="s">
        <v>394</v>
      </c>
      <c r="B196" s="76" t="s">
        <v>395</v>
      </c>
      <c r="C196" s="76"/>
      <c r="D196" s="97" t="s">
        <v>396</v>
      </c>
      <c r="E196" s="20">
        <f t="shared" si="31"/>
        <v>69462336</v>
      </c>
      <c r="F196" s="87">
        <f>F197+F198+F199+F200+F201+F202+F203</f>
        <v>69462336</v>
      </c>
      <c r="G196" s="87">
        <f>G197+G198+G199+G200+G201+G202+G203</f>
        <v>0</v>
      </c>
      <c r="H196" s="87">
        <f>H197+H198+H199+H200+H201+H202+H203</f>
        <v>0</v>
      </c>
      <c r="I196" s="87">
        <f>I197+I198+I199+I200+I201+I202+I203</f>
        <v>0</v>
      </c>
      <c r="J196" s="20">
        <f t="shared" si="32"/>
        <v>80000</v>
      </c>
      <c r="K196" s="87">
        <f>K197+K198+K199+K200+K201+K202+K203</f>
        <v>0</v>
      </c>
      <c r="L196" s="87">
        <f>L197+L198+L199+L200+L201+L202+L203</f>
        <v>0</v>
      </c>
      <c r="M196" s="87">
        <f>M197+M198+M199+M200+M201+M202+M203</f>
        <v>0</v>
      </c>
      <c r="N196" s="87">
        <f>N197+N198+N199+N200+N201+N202+N203</f>
        <v>80000</v>
      </c>
      <c r="O196" s="87">
        <f>O197+O198+O199+O200+O201+O202+O203</f>
        <v>80000</v>
      </c>
      <c r="P196" s="20">
        <f t="shared" si="33"/>
        <v>69542336</v>
      </c>
    </row>
    <row r="197" spans="1:16" s="61" customFormat="1" ht="276.75" hidden="1">
      <c r="A197" s="80" t="s">
        <v>397</v>
      </c>
      <c r="B197" s="80" t="s">
        <v>398</v>
      </c>
      <c r="C197" s="80" t="s">
        <v>132</v>
      </c>
      <c r="D197" s="88" t="s">
        <v>399</v>
      </c>
      <c r="E197" s="20">
        <f t="shared" si="31"/>
        <v>2511906</v>
      </c>
      <c r="F197" s="60">
        <v>2511906</v>
      </c>
      <c r="G197" s="60"/>
      <c r="H197" s="60"/>
      <c r="I197" s="60"/>
      <c r="J197" s="20">
        <f t="shared" si="32"/>
        <v>80000</v>
      </c>
      <c r="K197" s="60"/>
      <c r="L197" s="60"/>
      <c r="M197" s="60"/>
      <c r="N197" s="60">
        <f>O197</f>
        <v>80000</v>
      </c>
      <c r="O197" s="60">
        <v>80000</v>
      </c>
      <c r="P197" s="20">
        <f t="shared" si="33"/>
        <v>2591906</v>
      </c>
    </row>
    <row r="198" spans="1:16" s="61" customFormat="1" ht="108.75" hidden="1">
      <c r="A198" s="80" t="s">
        <v>400</v>
      </c>
      <c r="B198" s="80" t="s">
        <v>401</v>
      </c>
      <c r="C198" s="80" t="s">
        <v>135</v>
      </c>
      <c r="D198" s="95" t="s">
        <v>402</v>
      </c>
      <c r="E198" s="20">
        <f t="shared" si="31"/>
        <v>81291</v>
      </c>
      <c r="F198" s="60">
        <v>81291</v>
      </c>
      <c r="G198" s="60"/>
      <c r="H198" s="60"/>
      <c r="I198" s="60"/>
      <c r="J198" s="20">
        <f t="shared" si="32"/>
        <v>0</v>
      </c>
      <c r="K198" s="60"/>
      <c r="L198" s="60"/>
      <c r="M198" s="60"/>
      <c r="N198" s="60"/>
      <c r="O198" s="60"/>
      <c r="P198" s="20">
        <f t="shared" si="33"/>
        <v>81291</v>
      </c>
    </row>
    <row r="199" spans="1:16" s="61" customFormat="1" ht="39" hidden="1">
      <c r="A199" s="80" t="s">
        <v>403</v>
      </c>
      <c r="B199" s="80" t="s">
        <v>404</v>
      </c>
      <c r="C199" s="80" t="s">
        <v>135</v>
      </c>
      <c r="D199" s="81" t="s">
        <v>405</v>
      </c>
      <c r="E199" s="20">
        <f t="shared" si="31"/>
        <v>3924640</v>
      </c>
      <c r="F199" s="60">
        <v>3924640</v>
      </c>
      <c r="G199" s="60"/>
      <c r="H199" s="60"/>
      <c r="I199" s="60"/>
      <c r="J199" s="20">
        <f t="shared" si="32"/>
        <v>0</v>
      </c>
      <c r="K199" s="60"/>
      <c r="L199" s="60"/>
      <c r="M199" s="60"/>
      <c r="N199" s="60"/>
      <c r="O199" s="60"/>
      <c r="P199" s="20">
        <f t="shared" si="33"/>
        <v>3924640</v>
      </c>
    </row>
    <row r="200" spans="1:16" ht="75" hidden="1">
      <c r="A200" s="25" t="s">
        <v>406</v>
      </c>
      <c r="B200" s="25" t="s">
        <v>407</v>
      </c>
      <c r="C200" s="25" t="s">
        <v>135</v>
      </c>
      <c r="D200" s="74" t="s">
        <v>408</v>
      </c>
      <c r="E200" s="20">
        <f t="shared" si="31"/>
        <v>11200000</v>
      </c>
      <c r="F200" s="27">
        <v>11200000</v>
      </c>
      <c r="G200" s="27"/>
      <c r="H200" s="27"/>
      <c r="I200" s="27"/>
      <c r="J200" s="20">
        <f t="shared" si="32"/>
        <v>0</v>
      </c>
      <c r="K200" s="27"/>
      <c r="L200" s="27"/>
      <c r="M200" s="27"/>
      <c r="N200" s="27"/>
      <c r="O200" s="27"/>
      <c r="P200" s="20">
        <f t="shared" si="33"/>
        <v>11200000</v>
      </c>
    </row>
    <row r="201" spans="1:16" ht="60" hidden="1">
      <c r="A201" s="25" t="s">
        <v>409</v>
      </c>
      <c r="B201" s="25" t="s">
        <v>410</v>
      </c>
      <c r="C201" s="25" t="s">
        <v>135</v>
      </c>
      <c r="D201" s="74" t="s">
        <v>411</v>
      </c>
      <c r="E201" s="20">
        <f t="shared" si="31"/>
        <v>1744499</v>
      </c>
      <c r="F201" s="27">
        <v>1744499</v>
      </c>
      <c r="G201" s="27"/>
      <c r="H201" s="27"/>
      <c r="I201" s="27"/>
      <c r="J201" s="20">
        <f t="shared" si="32"/>
        <v>0</v>
      </c>
      <c r="K201" s="27"/>
      <c r="L201" s="27"/>
      <c r="M201" s="27"/>
      <c r="N201" s="27"/>
      <c r="O201" s="27"/>
      <c r="P201" s="20">
        <f t="shared" si="33"/>
        <v>1744499</v>
      </c>
    </row>
    <row r="202" spans="1:16" s="61" customFormat="1" ht="60" hidden="1">
      <c r="A202" s="25" t="s">
        <v>412</v>
      </c>
      <c r="B202" s="25" t="s">
        <v>413</v>
      </c>
      <c r="C202" s="25" t="s">
        <v>135</v>
      </c>
      <c r="D202" s="74" t="s">
        <v>414</v>
      </c>
      <c r="E202" s="20">
        <f t="shared" si="31"/>
        <v>5000000</v>
      </c>
      <c r="F202" s="27">
        <v>5000000</v>
      </c>
      <c r="G202" s="27"/>
      <c r="H202" s="27"/>
      <c r="I202" s="27"/>
      <c r="J202" s="20">
        <f t="shared" si="32"/>
        <v>0</v>
      </c>
      <c r="K202" s="27"/>
      <c r="L202" s="27"/>
      <c r="M202" s="27"/>
      <c r="N202" s="27"/>
      <c r="O202" s="27"/>
      <c r="P202" s="20">
        <f t="shared" si="33"/>
        <v>5000000</v>
      </c>
    </row>
    <row r="203" spans="1:16" s="61" customFormat="1" ht="75" hidden="1">
      <c r="A203" s="25" t="s">
        <v>415</v>
      </c>
      <c r="B203" s="25" t="s">
        <v>416</v>
      </c>
      <c r="C203" s="25" t="s">
        <v>135</v>
      </c>
      <c r="D203" s="31" t="s">
        <v>417</v>
      </c>
      <c r="E203" s="20">
        <f t="shared" si="31"/>
        <v>45000000</v>
      </c>
      <c r="F203" s="27">
        <v>45000000</v>
      </c>
      <c r="G203" s="27"/>
      <c r="H203" s="27"/>
      <c r="I203" s="27"/>
      <c r="J203" s="20">
        <f t="shared" si="32"/>
        <v>0</v>
      </c>
      <c r="K203" s="27"/>
      <c r="L203" s="27"/>
      <c r="M203" s="27"/>
      <c r="N203" s="27"/>
      <c r="O203" s="27"/>
      <c r="P203" s="20">
        <f t="shared" si="33"/>
        <v>45000000</v>
      </c>
    </row>
    <row r="204" spans="1:16" s="61" customFormat="1" ht="64.5" hidden="1">
      <c r="A204" s="76" t="s">
        <v>418</v>
      </c>
      <c r="B204" s="77"/>
      <c r="C204" s="77"/>
      <c r="D204" s="100" t="s">
        <v>419</v>
      </c>
      <c r="E204" s="20">
        <f t="shared" si="31"/>
        <v>717502307</v>
      </c>
      <c r="F204" s="79">
        <f>F205+F207+F209+F211+F213+F215+F217+F219+F221</f>
        <v>717502307</v>
      </c>
      <c r="G204" s="79">
        <f>G205+G207+G209+G211+G213+G215+G217+G219+G221</f>
        <v>0</v>
      </c>
      <c r="H204" s="79">
        <f>H205+H207+H209+H211+H213+H215+H217+H219+H221</f>
        <v>0</v>
      </c>
      <c r="I204" s="79">
        <f>I205+I207+I209+I211+I213+I215+I217+I219+I221</f>
        <v>0</v>
      </c>
      <c r="J204" s="20">
        <f t="shared" si="32"/>
        <v>0</v>
      </c>
      <c r="K204" s="79">
        <f>K205+K207+K209+K211+K213+K215+K217+K219+K221</f>
        <v>0</v>
      </c>
      <c r="L204" s="79">
        <f>L205+L207+L209+L211+L213+L215+L217+L219+L221</f>
        <v>0</v>
      </c>
      <c r="M204" s="79">
        <f>M205+M207+M209+M211+M213+M215+M217+M219+M221</f>
        <v>0</v>
      </c>
      <c r="N204" s="79">
        <f>N205+N207+N209+N211+N213+N215+N217+N219+N221</f>
        <v>0</v>
      </c>
      <c r="O204" s="79">
        <f>O205+O207+O209+O211+O213+O215+O217+O219+O221</f>
        <v>0</v>
      </c>
      <c r="P204" s="20">
        <f t="shared" si="33"/>
        <v>717502307</v>
      </c>
    </row>
    <row r="205" spans="1:16" s="61" customFormat="1" ht="26.25" hidden="1">
      <c r="A205" s="80" t="s">
        <v>420</v>
      </c>
      <c r="B205" s="80" t="s">
        <v>421</v>
      </c>
      <c r="C205" s="80" t="s">
        <v>175</v>
      </c>
      <c r="D205" s="81" t="s">
        <v>422</v>
      </c>
      <c r="E205" s="60">
        <f t="shared" si="31"/>
        <v>6512097</v>
      </c>
      <c r="F205" s="60">
        <v>6512097</v>
      </c>
      <c r="G205" s="60"/>
      <c r="H205" s="60"/>
      <c r="I205" s="60"/>
      <c r="J205" s="20">
        <f t="shared" si="32"/>
        <v>0</v>
      </c>
      <c r="K205" s="60"/>
      <c r="L205" s="60"/>
      <c r="M205" s="60"/>
      <c r="N205" s="60"/>
      <c r="O205" s="60"/>
      <c r="P205" s="20">
        <f t="shared" si="33"/>
        <v>6512097</v>
      </c>
    </row>
    <row r="206" spans="1:16" s="63" customFormat="1" ht="36.75" hidden="1">
      <c r="A206" s="82"/>
      <c r="B206" s="83"/>
      <c r="C206" s="83"/>
      <c r="D206" s="84" t="s">
        <v>348</v>
      </c>
      <c r="E206" s="60">
        <f t="shared" si="31"/>
        <v>6512097</v>
      </c>
      <c r="F206" s="60">
        <v>6512097</v>
      </c>
      <c r="G206" s="85"/>
      <c r="H206" s="85"/>
      <c r="I206" s="85"/>
      <c r="J206" s="62"/>
      <c r="K206" s="85"/>
      <c r="L206" s="85"/>
      <c r="M206" s="85"/>
      <c r="N206" s="85"/>
      <c r="O206" s="85"/>
      <c r="P206" s="20">
        <f t="shared" si="33"/>
        <v>6512097</v>
      </c>
    </row>
    <row r="207" spans="1:16" s="61" customFormat="1" ht="39" hidden="1">
      <c r="A207" s="80" t="s">
        <v>423</v>
      </c>
      <c r="B207" s="80" t="s">
        <v>424</v>
      </c>
      <c r="C207" s="80" t="s">
        <v>175</v>
      </c>
      <c r="D207" s="81" t="s">
        <v>425</v>
      </c>
      <c r="E207" s="60">
        <f t="shared" si="31"/>
        <v>1790267</v>
      </c>
      <c r="F207" s="60">
        <v>1790267</v>
      </c>
      <c r="G207" s="60"/>
      <c r="H207" s="60"/>
      <c r="I207" s="60"/>
      <c r="J207" s="20">
        <f t="shared" si="32"/>
        <v>0</v>
      </c>
      <c r="K207" s="60"/>
      <c r="L207" s="60"/>
      <c r="M207" s="60"/>
      <c r="N207" s="60"/>
      <c r="O207" s="60"/>
      <c r="P207" s="20">
        <f t="shared" si="33"/>
        <v>1790267</v>
      </c>
    </row>
    <row r="208" spans="1:16" s="63" customFormat="1" ht="36.75" hidden="1">
      <c r="A208" s="82"/>
      <c r="B208" s="83"/>
      <c r="C208" s="83"/>
      <c r="D208" s="84" t="s">
        <v>348</v>
      </c>
      <c r="E208" s="60">
        <f t="shared" si="31"/>
        <v>1790267</v>
      </c>
      <c r="F208" s="60">
        <v>1790267</v>
      </c>
      <c r="G208" s="85"/>
      <c r="H208" s="85"/>
      <c r="I208" s="85"/>
      <c r="J208" s="62"/>
      <c r="K208" s="85"/>
      <c r="L208" s="85"/>
      <c r="M208" s="85"/>
      <c r="N208" s="85"/>
      <c r="O208" s="85"/>
      <c r="P208" s="20">
        <f t="shared" si="33"/>
        <v>1790267</v>
      </c>
    </row>
    <row r="209" spans="1:16" s="61" customFormat="1" ht="26.25" hidden="1">
      <c r="A209" s="80" t="s">
        <v>426</v>
      </c>
      <c r="B209" s="80" t="s">
        <v>427</v>
      </c>
      <c r="C209" s="80" t="s">
        <v>175</v>
      </c>
      <c r="D209" s="81" t="s">
        <v>428</v>
      </c>
      <c r="E209" s="60">
        <f t="shared" si="31"/>
        <v>335264891</v>
      </c>
      <c r="F209" s="60">
        <v>335264891</v>
      </c>
      <c r="G209" s="60"/>
      <c r="H209" s="60"/>
      <c r="I209" s="60"/>
      <c r="J209" s="20">
        <f t="shared" si="32"/>
        <v>0</v>
      </c>
      <c r="K209" s="60"/>
      <c r="L209" s="60"/>
      <c r="M209" s="60"/>
      <c r="N209" s="60"/>
      <c r="O209" s="60"/>
      <c r="P209" s="20">
        <f t="shared" si="33"/>
        <v>335264891</v>
      </c>
    </row>
    <row r="210" spans="1:16" s="63" customFormat="1" ht="36.75" hidden="1">
      <c r="A210" s="82"/>
      <c r="B210" s="83"/>
      <c r="C210" s="83"/>
      <c r="D210" s="84" t="s">
        <v>348</v>
      </c>
      <c r="E210" s="60">
        <f t="shared" si="31"/>
        <v>335264891</v>
      </c>
      <c r="F210" s="60">
        <v>335264891</v>
      </c>
      <c r="G210" s="85"/>
      <c r="H210" s="85"/>
      <c r="I210" s="85"/>
      <c r="J210" s="62"/>
      <c r="K210" s="85"/>
      <c r="L210" s="85"/>
      <c r="M210" s="85"/>
      <c r="N210" s="85"/>
      <c r="O210" s="85"/>
      <c r="P210" s="20">
        <f t="shared" si="33"/>
        <v>335264891</v>
      </c>
    </row>
    <row r="211" spans="1:16" s="61" customFormat="1" ht="39" hidden="1">
      <c r="A211" s="80" t="s">
        <v>429</v>
      </c>
      <c r="B211" s="80" t="s">
        <v>430</v>
      </c>
      <c r="C211" s="80" t="s">
        <v>175</v>
      </c>
      <c r="D211" s="96" t="s">
        <v>431</v>
      </c>
      <c r="E211" s="60">
        <f t="shared" si="31"/>
        <v>29560226</v>
      </c>
      <c r="F211" s="60">
        <v>29560226</v>
      </c>
      <c r="G211" s="60"/>
      <c r="H211" s="60"/>
      <c r="I211" s="60"/>
      <c r="J211" s="20">
        <f t="shared" si="32"/>
        <v>0</v>
      </c>
      <c r="K211" s="60"/>
      <c r="L211" s="60"/>
      <c r="M211" s="60"/>
      <c r="N211" s="60"/>
      <c r="O211" s="60"/>
      <c r="P211" s="20">
        <f t="shared" si="33"/>
        <v>29560226</v>
      </c>
    </row>
    <row r="212" spans="1:16" s="63" customFormat="1" ht="36.75" hidden="1">
      <c r="A212" s="82"/>
      <c r="B212" s="83"/>
      <c r="C212" s="83"/>
      <c r="D212" s="84" t="s">
        <v>348</v>
      </c>
      <c r="E212" s="60">
        <f t="shared" si="31"/>
        <v>29560226</v>
      </c>
      <c r="F212" s="60">
        <v>29560226</v>
      </c>
      <c r="G212" s="85"/>
      <c r="H212" s="85"/>
      <c r="I212" s="85"/>
      <c r="J212" s="62"/>
      <c r="K212" s="85"/>
      <c r="L212" s="85"/>
      <c r="M212" s="85"/>
      <c r="N212" s="85"/>
      <c r="O212" s="85"/>
      <c r="P212" s="20">
        <f t="shared" si="33"/>
        <v>29560226</v>
      </c>
    </row>
    <row r="213" spans="1:16" s="61" customFormat="1" ht="26.25" hidden="1">
      <c r="A213" s="80" t="s">
        <v>432</v>
      </c>
      <c r="B213" s="80" t="s">
        <v>433</v>
      </c>
      <c r="C213" s="80" t="s">
        <v>175</v>
      </c>
      <c r="D213" s="81" t="s">
        <v>434</v>
      </c>
      <c r="E213" s="60">
        <f t="shared" si="31"/>
        <v>150695538</v>
      </c>
      <c r="F213" s="60">
        <v>150695538</v>
      </c>
      <c r="G213" s="60"/>
      <c r="H213" s="60"/>
      <c r="I213" s="60"/>
      <c r="J213" s="20">
        <f t="shared" si="32"/>
        <v>0</v>
      </c>
      <c r="K213" s="60"/>
      <c r="L213" s="60"/>
      <c r="M213" s="60"/>
      <c r="N213" s="60"/>
      <c r="O213" s="60"/>
      <c r="P213" s="20">
        <f t="shared" si="33"/>
        <v>150695538</v>
      </c>
    </row>
    <row r="214" spans="1:16" s="63" customFormat="1" ht="36.75" hidden="1">
      <c r="A214" s="82"/>
      <c r="B214" s="83"/>
      <c r="C214" s="83"/>
      <c r="D214" s="84" t="s">
        <v>348</v>
      </c>
      <c r="E214" s="60">
        <f t="shared" si="31"/>
        <v>150695538</v>
      </c>
      <c r="F214" s="60">
        <v>150695538</v>
      </c>
      <c r="G214" s="85"/>
      <c r="H214" s="85"/>
      <c r="I214" s="85"/>
      <c r="J214" s="62"/>
      <c r="K214" s="85"/>
      <c r="L214" s="85"/>
      <c r="M214" s="85"/>
      <c r="N214" s="85"/>
      <c r="O214" s="85"/>
      <c r="P214" s="20">
        <f t="shared" si="33"/>
        <v>150695538</v>
      </c>
    </row>
    <row r="215" spans="1:16" s="61" customFormat="1" ht="26.25" hidden="1">
      <c r="A215" s="80" t="s">
        <v>435</v>
      </c>
      <c r="B215" s="80" t="s">
        <v>436</v>
      </c>
      <c r="C215" s="80" t="s">
        <v>175</v>
      </c>
      <c r="D215" s="81" t="s">
        <v>437</v>
      </c>
      <c r="E215" s="60">
        <f t="shared" si="31"/>
        <v>7954168</v>
      </c>
      <c r="F215" s="60">
        <v>7954168</v>
      </c>
      <c r="G215" s="60"/>
      <c r="H215" s="60"/>
      <c r="I215" s="60"/>
      <c r="J215" s="20">
        <f t="shared" si="32"/>
        <v>0</v>
      </c>
      <c r="K215" s="60"/>
      <c r="L215" s="60"/>
      <c r="M215" s="60"/>
      <c r="N215" s="60"/>
      <c r="O215" s="60"/>
      <c r="P215" s="20">
        <f t="shared" si="33"/>
        <v>7954168</v>
      </c>
    </row>
    <row r="216" spans="1:16" s="63" customFormat="1" ht="36.75" hidden="1">
      <c r="A216" s="82"/>
      <c r="B216" s="83"/>
      <c r="C216" s="83"/>
      <c r="D216" s="84" t="s">
        <v>348</v>
      </c>
      <c r="E216" s="60">
        <f t="shared" si="31"/>
        <v>7954168</v>
      </c>
      <c r="F216" s="60">
        <v>7954168</v>
      </c>
      <c r="G216" s="85"/>
      <c r="H216" s="85"/>
      <c r="I216" s="85"/>
      <c r="J216" s="62"/>
      <c r="K216" s="85"/>
      <c r="L216" s="85"/>
      <c r="M216" s="85"/>
      <c r="N216" s="85"/>
      <c r="O216" s="85"/>
      <c r="P216" s="20">
        <f t="shared" si="33"/>
        <v>7954168</v>
      </c>
    </row>
    <row r="217" spans="1:16" ht="26.25" hidden="1">
      <c r="A217" s="80" t="s">
        <v>438</v>
      </c>
      <c r="B217" s="80" t="s">
        <v>439</v>
      </c>
      <c r="C217" s="80" t="s">
        <v>175</v>
      </c>
      <c r="D217" s="81" t="s">
        <v>440</v>
      </c>
      <c r="E217" s="60">
        <f t="shared" si="31"/>
        <v>624372</v>
      </c>
      <c r="F217" s="60">
        <v>624372</v>
      </c>
      <c r="G217" s="60"/>
      <c r="H217" s="60"/>
      <c r="I217" s="60"/>
      <c r="J217" s="20">
        <f t="shared" si="32"/>
        <v>0</v>
      </c>
      <c r="K217" s="60"/>
      <c r="L217" s="60"/>
      <c r="M217" s="60"/>
      <c r="N217" s="60"/>
      <c r="O217" s="60"/>
      <c r="P217" s="20">
        <f t="shared" si="33"/>
        <v>624372</v>
      </c>
    </row>
    <row r="218" spans="1:16" s="63" customFormat="1" ht="36.75" hidden="1">
      <c r="A218" s="82"/>
      <c r="B218" s="83"/>
      <c r="C218" s="83"/>
      <c r="D218" s="84" t="s">
        <v>348</v>
      </c>
      <c r="E218" s="60">
        <f t="shared" si="31"/>
        <v>624372</v>
      </c>
      <c r="F218" s="85">
        <v>624372</v>
      </c>
      <c r="G218" s="85"/>
      <c r="H218" s="85"/>
      <c r="I218" s="85"/>
      <c r="J218" s="62"/>
      <c r="K218" s="85"/>
      <c r="L218" s="85"/>
      <c r="M218" s="85"/>
      <c r="N218" s="85"/>
      <c r="O218" s="85"/>
      <c r="P218" s="20">
        <f t="shared" si="33"/>
        <v>624372</v>
      </c>
    </row>
    <row r="219" spans="1:16" s="61" customFormat="1" ht="39" hidden="1">
      <c r="A219" s="80" t="s">
        <v>441</v>
      </c>
      <c r="B219" s="80" t="s">
        <v>442</v>
      </c>
      <c r="C219" s="80" t="s">
        <v>175</v>
      </c>
      <c r="D219" s="81" t="s">
        <v>443</v>
      </c>
      <c r="E219" s="60">
        <f t="shared" si="31"/>
        <v>80783470</v>
      </c>
      <c r="F219" s="60">
        <v>80783470</v>
      </c>
      <c r="G219" s="60"/>
      <c r="H219" s="60"/>
      <c r="I219" s="60"/>
      <c r="J219" s="20">
        <f t="shared" si="32"/>
        <v>0</v>
      </c>
      <c r="K219" s="60"/>
      <c r="L219" s="60"/>
      <c r="M219" s="60"/>
      <c r="N219" s="60"/>
      <c r="O219" s="60"/>
      <c r="P219" s="20">
        <f t="shared" si="33"/>
        <v>80783470</v>
      </c>
    </row>
    <row r="220" spans="1:16" s="63" customFormat="1" ht="36.75" hidden="1">
      <c r="A220" s="82"/>
      <c r="B220" s="83"/>
      <c r="C220" s="83"/>
      <c r="D220" s="84" t="s">
        <v>348</v>
      </c>
      <c r="E220" s="60">
        <f t="shared" si="31"/>
        <v>80783470</v>
      </c>
      <c r="F220" s="60">
        <v>80783470</v>
      </c>
      <c r="G220" s="85"/>
      <c r="H220" s="85"/>
      <c r="I220" s="85"/>
      <c r="J220" s="62"/>
      <c r="K220" s="85"/>
      <c r="L220" s="85"/>
      <c r="M220" s="85"/>
      <c r="N220" s="85"/>
      <c r="O220" s="85"/>
      <c r="P220" s="20">
        <f t="shared" si="33"/>
        <v>80783470</v>
      </c>
    </row>
    <row r="221" spans="1:16" ht="51.75" hidden="1">
      <c r="A221" s="80" t="s">
        <v>444</v>
      </c>
      <c r="B221" s="80" t="s">
        <v>445</v>
      </c>
      <c r="C221" s="80" t="s">
        <v>122</v>
      </c>
      <c r="D221" s="81" t="s">
        <v>446</v>
      </c>
      <c r="E221" s="60">
        <f t="shared" si="31"/>
        <v>104317278</v>
      </c>
      <c r="F221" s="60">
        <v>104317278</v>
      </c>
      <c r="G221" s="60"/>
      <c r="H221" s="60"/>
      <c r="I221" s="60"/>
      <c r="J221" s="20">
        <f t="shared" si="32"/>
        <v>0</v>
      </c>
      <c r="K221" s="60"/>
      <c r="L221" s="60"/>
      <c r="M221" s="60"/>
      <c r="N221" s="60"/>
      <c r="O221" s="60"/>
      <c r="P221" s="20">
        <f t="shared" si="33"/>
        <v>104317278</v>
      </c>
    </row>
    <row r="222" spans="1:16" s="63" customFormat="1" ht="36.75" hidden="1">
      <c r="A222" s="82"/>
      <c r="B222" s="83"/>
      <c r="C222" s="83"/>
      <c r="D222" s="84" t="s">
        <v>348</v>
      </c>
      <c r="E222" s="60">
        <f t="shared" si="31"/>
        <v>104317278</v>
      </c>
      <c r="F222" s="60">
        <v>104317278</v>
      </c>
      <c r="G222" s="85"/>
      <c r="H222" s="85"/>
      <c r="I222" s="85"/>
      <c r="J222" s="62"/>
      <c r="K222" s="85"/>
      <c r="L222" s="85"/>
      <c r="M222" s="85"/>
      <c r="N222" s="85"/>
      <c r="O222" s="85"/>
      <c r="P222" s="20">
        <f t="shared" si="33"/>
        <v>104317278</v>
      </c>
    </row>
    <row r="223" spans="1:16" ht="39" hidden="1">
      <c r="A223" s="76" t="s">
        <v>447</v>
      </c>
      <c r="B223" s="77" t="s">
        <v>448</v>
      </c>
      <c r="C223" s="77" t="s">
        <v>122</v>
      </c>
      <c r="D223" s="100" t="s">
        <v>449</v>
      </c>
      <c r="E223" s="60">
        <f t="shared" si="31"/>
        <v>8723995</v>
      </c>
      <c r="F223" s="79">
        <v>8723995</v>
      </c>
      <c r="G223" s="79"/>
      <c r="H223" s="79"/>
      <c r="I223" s="79"/>
      <c r="J223" s="20">
        <f t="shared" si="32"/>
        <v>0</v>
      </c>
      <c r="K223" s="79"/>
      <c r="L223" s="79"/>
      <c r="M223" s="79"/>
      <c r="N223" s="79"/>
      <c r="O223" s="79"/>
      <c r="P223" s="20">
        <f t="shared" si="33"/>
        <v>8723995</v>
      </c>
    </row>
    <row r="224" spans="1:16" s="63" customFormat="1" ht="36.75" hidden="1">
      <c r="A224" s="82"/>
      <c r="B224" s="83"/>
      <c r="C224" s="83"/>
      <c r="D224" s="84" t="s">
        <v>348</v>
      </c>
      <c r="E224" s="60">
        <f t="shared" si="31"/>
        <v>8723995</v>
      </c>
      <c r="F224" s="60">
        <v>8723995</v>
      </c>
      <c r="G224" s="85"/>
      <c r="H224" s="85"/>
      <c r="I224" s="85"/>
      <c r="J224" s="62"/>
      <c r="K224" s="85"/>
      <c r="L224" s="85"/>
      <c r="M224" s="85"/>
      <c r="N224" s="85"/>
      <c r="O224" s="85"/>
      <c r="P224" s="20">
        <f t="shared" si="33"/>
        <v>8723995</v>
      </c>
    </row>
    <row r="225" spans="1:16" ht="77.25" hidden="1">
      <c r="A225" s="28" t="s">
        <v>450</v>
      </c>
      <c r="B225" s="28" t="s">
        <v>451</v>
      </c>
      <c r="C225" s="28"/>
      <c r="D225" s="33" t="s">
        <v>452</v>
      </c>
      <c r="E225" s="27">
        <f t="shared" si="31"/>
        <v>32926450</v>
      </c>
      <c r="F225" s="30">
        <f>F226</f>
        <v>32926450</v>
      </c>
      <c r="G225" s="30">
        <f>G226</f>
        <v>22137585</v>
      </c>
      <c r="H225" s="30">
        <f>H226</f>
        <v>2698959</v>
      </c>
      <c r="I225" s="30">
        <f>I226</f>
        <v>0</v>
      </c>
      <c r="J225" s="20">
        <f t="shared" si="32"/>
        <v>255363</v>
      </c>
      <c r="K225" s="30">
        <f>K226</f>
        <v>160863</v>
      </c>
      <c r="L225" s="30">
        <f>L226</f>
        <v>103990</v>
      </c>
      <c r="M225" s="30">
        <f>M226</f>
        <v>0</v>
      </c>
      <c r="N225" s="30">
        <f>N226</f>
        <v>94500</v>
      </c>
      <c r="O225" s="30">
        <f>O226</f>
        <v>94500</v>
      </c>
      <c r="P225" s="20">
        <f t="shared" si="33"/>
        <v>33181813</v>
      </c>
    </row>
    <row r="226" spans="1:16" ht="105" hidden="1">
      <c r="A226" s="25" t="s">
        <v>453</v>
      </c>
      <c r="B226" s="25" t="s">
        <v>454</v>
      </c>
      <c r="C226" s="25" t="s">
        <v>127</v>
      </c>
      <c r="D226" s="31" t="s">
        <v>455</v>
      </c>
      <c r="E226" s="27">
        <f t="shared" si="31"/>
        <v>32926450</v>
      </c>
      <c r="F226" s="27">
        <v>32926450</v>
      </c>
      <c r="G226" s="27">
        <v>22137585</v>
      </c>
      <c r="H226" s="27">
        <v>2698959</v>
      </c>
      <c r="I226" s="27"/>
      <c r="J226" s="20">
        <f t="shared" si="32"/>
        <v>255363</v>
      </c>
      <c r="K226" s="27">
        <v>160863</v>
      </c>
      <c r="L226" s="27">
        <v>103990</v>
      </c>
      <c r="M226" s="27"/>
      <c r="N226" s="27">
        <f>O226</f>
        <v>94500</v>
      </c>
      <c r="O226" s="27">
        <f>((94500))</f>
        <v>94500</v>
      </c>
      <c r="P226" s="20">
        <f t="shared" si="33"/>
        <v>33181813</v>
      </c>
    </row>
    <row r="227" spans="1:16" ht="26.25" hidden="1">
      <c r="A227" s="76" t="s">
        <v>456</v>
      </c>
      <c r="B227" s="77" t="s">
        <v>187</v>
      </c>
      <c r="C227" s="77" t="s">
        <v>188</v>
      </c>
      <c r="D227" s="100" t="s">
        <v>189</v>
      </c>
      <c r="E227" s="27">
        <f t="shared" si="31"/>
        <v>599842</v>
      </c>
      <c r="F227" s="79">
        <v>599842</v>
      </c>
      <c r="G227" s="79">
        <v>491674</v>
      </c>
      <c r="H227" s="79"/>
      <c r="I227" s="79"/>
      <c r="J227" s="20">
        <f t="shared" si="32"/>
        <v>0</v>
      </c>
      <c r="K227" s="79"/>
      <c r="L227" s="79"/>
      <c r="M227" s="79"/>
      <c r="N227" s="79"/>
      <c r="O227" s="79"/>
      <c r="P227" s="20">
        <f t="shared" si="33"/>
        <v>599842</v>
      </c>
    </row>
    <row r="228" spans="1:16" ht="39" hidden="1">
      <c r="A228" s="28" t="s">
        <v>457</v>
      </c>
      <c r="B228" s="28" t="s">
        <v>171</v>
      </c>
      <c r="C228" s="28"/>
      <c r="D228" s="33" t="s">
        <v>458</v>
      </c>
      <c r="E228" s="20">
        <f t="shared" si="31"/>
        <v>4594793</v>
      </c>
      <c r="F228" s="30">
        <f>F229+F230</f>
        <v>4594793</v>
      </c>
      <c r="G228" s="30">
        <f>G229+G230</f>
        <v>3460450</v>
      </c>
      <c r="H228" s="30">
        <f>H229+H230</f>
        <v>141645</v>
      </c>
      <c r="I228" s="30">
        <f>I229+I230</f>
        <v>0</v>
      </c>
      <c r="J228" s="20">
        <f t="shared" si="32"/>
        <v>0</v>
      </c>
      <c r="K228" s="30">
        <f>K229+K230</f>
        <v>0</v>
      </c>
      <c r="L228" s="30">
        <f>L229+L230</f>
        <v>0</v>
      </c>
      <c r="M228" s="30">
        <f>M229+M230</f>
        <v>0</v>
      </c>
      <c r="N228" s="30">
        <f>N229+N230</f>
        <v>0</v>
      </c>
      <c r="O228" s="30">
        <f>O229+O230</f>
        <v>0</v>
      </c>
      <c r="P228" s="20">
        <f t="shared" si="33"/>
        <v>4594793</v>
      </c>
    </row>
    <row r="229" spans="1:16" ht="30" hidden="1">
      <c r="A229" s="25" t="s">
        <v>459</v>
      </c>
      <c r="B229" s="80" t="s">
        <v>174</v>
      </c>
      <c r="C229" s="80" t="s">
        <v>175</v>
      </c>
      <c r="D229" s="31" t="s">
        <v>176</v>
      </c>
      <c r="E229" s="20">
        <f t="shared" si="31"/>
        <v>4234660</v>
      </c>
      <c r="F229" s="60">
        <v>4234660</v>
      </c>
      <c r="G229" s="60">
        <v>3204456</v>
      </c>
      <c r="H229" s="60">
        <v>141645</v>
      </c>
      <c r="I229" s="60"/>
      <c r="J229" s="20">
        <f t="shared" si="32"/>
        <v>0</v>
      </c>
      <c r="K229" s="60"/>
      <c r="L229" s="60"/>
      <c r="M229" s="60"/>
      <c r="N229" s="60"/>
      <c r="O229" s="60"/>
      <c r="P229" s="20">
        <f t="shared" si="33"/>
        <v>4234660</v>
      </c>
    </row>
    <row r="230" spans="1:16" ht="45" hidden="1">
      <c r="A230" s="25" t="s">
        <v>460</v>
      </c>
      <c r="B230" s="80" t="s">
        <v>178</v>
      </c>
      <c r="C230" s="80" t="s">
        <v>175</v>
      </c>
      <c r="D230" s="74" t="s">
        <v>179</v>
      </c>
      <c r="E230" s="20">
        <f t="shared" si="31"/>
        <v>360133</v>
      </c>
      <c r="F230" s="60">
        <v>360133</v>
      </c>
      <c r="G230" s="60">
        <v>255994</v>
      </c>
      <c r="H230" s="60"/>
      <c r="I230" s="60"/>
      <c r="J230" s="20">
        <f t="shared" si="32"/>
        <v>0</v>
      </c>
      <c r="K230" s="60"/>
      <c r="L230" s="60"/>
      <c r="M230" s="60"/>
      <c r="N230" s="60"/>
      <c r="O230" s="60"/>
      <c r="P230" s="20">
        <f t="shared" si="33"/>
        <v>360133</v>
      </c>
    </row>
    <row r="231" spans="1:16" ht="45" hidden="1">
      <c r="A231" s="25" t="s">
        <v>461</v>
      </c>
      <c r="B231" s="80" t="s">
        <v>181</v>
      </c>
      <c r="C231" s="80"/>
      <c r="D231" s="74" t="s">
        <v>462</v>
      </c>
      <c r="E231" s="20">
        <f t="shared" si="31"/>
        <v>0</v>
      </c>
      <c r="F231" s="60"/>
      <c r="G231" s="60"/>
      <c r="H231" s="60"/>
      <c r="I231" s="60"/>
      <c r="J231" s="20">
        <f t="shared" si="32"/>
        <v>0</v>
      </c>
      <c r="K231" s="60"/>
      <c r="L231" s="60"/>
      <c r="M231" s="60"/>
      <c r="N231" s="60"/>
      <c r="O231" s="60"/>
      <c r="P231" s="20">
        <f t="shared" si="33"/>
        <v>0</v>
      </c>
    </row>
    <row r="232" spans="1:16" ht="135" hidden="1">
      <c r="A232" s="25" t="s">
        <v>463</v>
      </c>
      <c r="B232" s="25" t="s">
        <v>184</v>
      </c>
      <c r="C232" s="12"/>
      <c r="D232" s="31" t="s">
        <v>185</v>
      </c>
      <c r="E232" s="20">
        <f t="shared" si="31"/>
        <v>0</v>
      </c>
      <c r="F232" s="27"/>
      <c r="G232" s="27"/>
      <c r="H232" s="27"/>
      <c r="I232" s="27"/>
      <c r="J232" s="20">
        <f t="shared" si="32"/>
        <v>0</v>
      </c>
      <c r="K232" s="27"/>
      <c r="L232" s="27"/>
      <c r="M232" s="27"/>
      <c r="N232" s="27"/>
      <c r="O232" s="27"/>
      <c r="P232" s="20">
        <f t="shared" si="33"/>
        <v>0</v>
      </c>
    </row>
    <row r="233" spans="1:16" ht="128.25" hidden="1">
      <c r="A233" s="28" t="s">
        <v>464</v>
      </c>
      <c r="B233" s="28" t="s">
        <v>465</v>
      </c>
      <c r="C233" s="28"/>
      <c r="D233" s="33" t="s">
        <v>466</v>
      </c>
      <c r="E233" s="30">
        <f t="shared" si="31"/>
        <v>3530339</v>
      </c>
      <c r="F233" s="30">
        <f>F234</f>
        <v>3530339</v>
      </c>
      <c r="G233" s="30">
        <f>G234</f>
        <v>0</v>
      </c>
      <c r="H233" s="30">
        <f>H234</f>
        <v>0</v>
      </c>
      <c r="I233" s="30">
        <f>I234</f>
        <v>0</v>
      </c>
      <c r="J233" s="20">
        <f t="shared" si="32"/>
        <v>0</v>
      </c>
      <c r="K233" s="30">
        <f>K234</f>
        <v>0</v>
      </c>
      <c r="L233" s="30">
        <f>L234</f>
        <v>0</v>
      </c>
      <c r="M233" s="30">
        <f>M234</f>
        <v>0</v>
      </c>
      <c r="N233" s="30">
        <f>N234</f>
        <v>0</v>
      </c>
      <c r="O233" s="30">
        <f>O234</f>
        <v>0</v>
      </c>
      <c r="P233" s="20">
        <f t="shared" si="33"/>
        <v>3530339</v>
      </c>
    </row>
    <row r="234" spans="1:16" ht="135" hidden="1">
      <c r="A234" s="25" t="s">
        <v>467</v>
      </c>
      <c r="B234" s="25" t="s">
        <v>468</v>
      </c>
      <c r="C234" s="25" t="s">
        <v>122</v>
      </c>
      <c r="D234" s="31" t="s">
        <v>469</v>
      </c>
      <c r="E234" s="27">
        <f t="shared" si="31"/>
        <v>3530339</v>
      </c>
      <c r="F234" s="27">
        <v>3530339</v>
      </c>
      <c r="G234" s="27"/>
      <c r="H234" s="27"/>
      <c r="I234" s="27"/>
      <c r="J234" s="20">
        <f t="shared" si="32"/>
        <v>0</v>
      </c>
      <c r="K234" s="27"/>
      <c r="L234" s="27"/>
      <c r="M234" s="27"/>
      <c r="N234" s="27"/>
      <c r="O234" s="27"/>
      <c r="P234" s="20">
        <f t="shared" si="33"/>
        <v>3530339</v>
      </c>
    </row>
    <row r="235" spans="1:16" ht="26.25" hidden="1">
      <c r="A235" s="28" t="s">
        <v>470</v>
      </c>
      <c r="B235" s="28" t="s">
        <v>471</v>
      </c>
      <c r="C235" s="28"/>
      <c r="D235" s="33" t="s">
        <v>472</v>
      </c>
      <c r="E235" s="27">
        <f t="shared" si="31"/>
        <v>2493308</v>
      </c>
      <c r="F235" s="30">
        <f>F236</f>
        <v>2493308</v>
      </c>
      <c r="G235" s="30">
        <f>G236</f>
        <v>0</v>
      </c>
      <c r="H235" s="30">
        <f>H236</f>
        <v>0</v>
      </c>
      <c r="I235" s="30">
        <f>I236</f>
        <v>0</v>
      </c>
      <c r="J235" s="20">
        <f t="shared" si="32"/>
        <v>170000</v>
      </c>
      <c r="K235" s="30">
        <f>K236</f>
        <v>0</v>
      </c>
      <c r="L235" s="30">
        <f>L236</f>
        <v>0</v>
      </c>
      <c r="M235" s="30">
        <f>M236</f>
        <v>0</v>
      </c>
      <c r="N235" s="30">
        <f>N236</f>
        <v>170000</v>
      </c>
      <c r="O235" s="30">
        <f>O236</f>
        <v>170000</v>
      </c>
      <c r="P235" s="20">
        <f t="shared" si="33"/>
        <v>2663308</v>
      </c>
    </row>
    <row r="236" spans="1:16" ht="90" hidden="1">
      <c r="A236" s="25" t="s">
        <v>473</v>
      </c>
      <c r="B236" s="25" t="s">
        <v>474</v>
      </c>
      <c r="C236" s="25" t="s">
        <v>132</v>
      </c>
      <c r="D236" s="19" t="s">
        <v>475</v>
      </c>
      <c r="E236" s="27">
        <f t="shared" si="31"/>
        <v>2493308</v>
      </c>
      <c r="F236" s="27">
        <f>2453308+((40000))</f>
        <v>2493308</v>
      </c>
      <c r="G236" s="27"/>
      <c r="H236" s="27"/>
      <c r="I236" s="27"/>
      <c r="J236" s="20">
        <f t="shared" si="32"/>
        <v>170000</v>
      </c>
      <c r="K236" s="27"/>
      <c r="L236" s="27"/>
      <c r="M236" s="27"/>
      <c r="N236" s="27">
        <f>O236</f>
        <v>170000</v>
      </c>
      <c r="O236" s="27">
        <f>((170000))</f>
        <v>170000</v>
      </c>
      <c r="P236" s="20">
        <f t="shared" si="33"/>
        <v>2663308</v>
      </c>
    </row>
    <row r="237" spans="1:16" ht="26.25" hidden="1">
      <c r="A237" s="101" t="s">
        <v>476</v>
      </c>
      <c r="B237" s="102" t="s">
        <v>239</v>
      </c>
      <c r="C237" s="102"/>
      <c r="D237" s="103" t="s">
        <v>240</v>
      </c>
      <c r="E237" s="27">
        <f t="shared" si="31"/>
        <v>78926406</v>
      </c>
      <c r="F237" s="104">
        <f>F238</f>
        <v>78926406</v>
      </c>
      <c r="G237" s="104">
        <f>G238</f>
        <v>0</v>
      </c>
      <c r="H237" s="104">
        <f>H238</f>
        <v>0</v>
      </c>
      <c r="I237" s="104">
        <f>I238</f>
        <v>0</v>
      </c>
      <c r="J237" s="20">
        <f t="shared" si="32"/>
        <v>0</v>
      </c>
      <c r="K237" s="104">
        <f>K238</f>
        <v>0</v>
      </c>
      <c r="L237" s="104">
        <f>L238</f>
        <v>0</v>
      </c>
      <c r="M237" s="104">
        <f>M238</f>
        <v>0</v>
      </c>
      <c r="N237" s="104">
        <f>N238</f>
        <v>0</v>
      </c>
      <c r="O237" s="104">
        <f>O238</f>
        <v>0</v>
      </c>
      <c r="P237" s="20">
        <f t="shared" si="33"/>
        <v>78926406</v>
      </c>
    </row>
    <row r="238" spans="1:16" s="61" customFormat="1" ht="39" hidden="1">
      <c r="A238" s="25" t="s">
        <v>477</v>
      </c>
      <c r="B238" s="25" t="s">
        <v>242</v>
      </c>
      <c r="C238" s="25" t="s">
        <v>139</v>
      </c>
      <c r="D238" s="72" t="s">
        <v>243</v>
      </c>
      <c r="E238" s="27">
        <f t="shared" si="31"/>
        <v>78926406</v>
      </c>
      <c r="F238" s="27">
        <f>46926406+(9600000)+(22400000)</f>
        <v>78926406</v>
      </c>
      <c r="G238" s="27"/>
      <c r="H238" s="27"/>
      <c r="I238" s="27"/>
      <c r="J238" s="20">
        <f t="shared" si="32"/>
        <v>0</v>
      </c>
      <c r="K238" s="27"/>
      <c r="L238" s="27"/>
      <c r="M238" s="27"/>
      <c r="N238" s="27"/>
      <c r="O238" s="27"/>
      <c r="P238" s="20">
        <f t="shared" si="33"/>
        <v>78926406</v>
      </c>
    </row>
    <row r="239" spans="1:16" hidden="1">
      <c r="A239" s="28" t="s">
        <v>478</v>
      </c>
      <c r="B239" s="22" t="s">
        <v>41</v>
      </c>
      <c r="C239" s="22"/>
      <c r="D239" s="71" t="s">
        <v>336</v>
      </c>
      <c r="E239" s="20">
        <f t="shared" si="31"/>
        <v>0</v>
      </c>
      <c r="F239" s="24">
        <f>F240</f>
        <v>0</v>
      </c>
      <c r="G239" s="24">
        <f>G240</f>
        <v>0</v>
      </c>
      <c r="H239" s="24">
        <f>H240</f>
        <v>0</v>
      </c>
      <c r="I239" s="24">
        <f>I240</f>
        <v>0</v>
      </c>
      <c r="J239" s="20">
        <f t="shared" si="32"/>
        <v>7500000</v>
      </c>
      <c r="K239" s="24">
        <f>K240</f>
        <v>0</v>
      </c>
      <c r="L239" s="24">
        <f>L240</f>
        <v>0</v>
      </c>
      <c r="M239" s="24">
        <f>M240</f>
        <v>0</v>
      </c>
      <c r="N239" s="24">
        <f>N240</f>
        <v>7500000</v>
      </c>
      <c r="O239" s="24">
        <f>O240</f>
        <v>7500000</v>
      </c>
      <c r="P239" s="20">
        <f t="shared" si="33"/>
        <v>7500000</v>
      </c>
    </row>
    <row r="240" spans="1:16" ht="45" hidden="1">
      <c r="A240" s="25" t="s">
        <v>479</v>
      </c>
      <c r="B240" s="25" t="s">
        <v>44</v>
      </c>
      <c r="C240" s="25" t="s">
        <v>45</v>
      </c>
      <c r="D240" s="19" t="s">
        <v>46</v>
      </c>
      <c r="E240" s="20">
        <f t="shared" si="31"/>
        <v>0</v>
      </c>
      <c r="F240" s="27"/>
      <c r="G240" s="27"/>
      <c r="H240" s="27"/>
      <c r="I240" s="27"/>
      <c r="J240" s="20">
        <f t="shared" si="32"/>
        <v>7500000</v>
      </c>
      <c r="K240" s="27"/>
      <c r="L240" s="27"/>
      <c r="M240" s="27"/>
      <c r="N240" s="27">
        <f>O240</f>
        <v>7500000</v>
      </c>
      <c r="O240" s="27">
        <v>7500000</v>
      </c>
      <c r="P240" s="20">
        <f t="shared" si="33"/>
        <v>7500000</v>
      </c>
    </row>
    <row r="241" spans="1:16" s="17" customFormat="1" hidden="1">
      <c r="A241" s="28" t="s">
        <v>480</v>
      </c>
      <c r="B241" s="22" t="s">
        <v>102</v>
      </c>
      <c r="C241" s="22"/>
      <c r="D241" s="71" t="s">
        <v>103</v>
      </c>
      <c r="E241" s="27">
        <f>F241+I241</f>
        <v>0</v>
      </c>
      <c r="F241" s="30">
        <f t="shared" ref="F241:I242" si="34">F242</f>
        <v>0</v>
      </c>
      <c r="G241" s="30">
        <f t="shared" si="34"/>
        <v>0</v>
      </c>
      <c r="H241" s="30">
        <f t="shared" si="34"/>
        <v>0</v>
      </c>
      <c r="I241" s="30">
        <f t="shared" si="34"/>
        <v>0</v>
      </c>
      <c r="J241" s="27">
        <f>K241+N241</f>
        <v>0</v>
      </c>
      <c r="K241" s="30">
        <f t="shared" ref="K241:O242" si="35">K242</f>
        <v>0</v>
      </c>
      <c r="L241" s="30">
        <f t="shared" si="35"/>
        <v>0</v>
      </c>
      <c r="M241" s="30">
        <f t="shared" si="35"/>
        <v>0</v>
      </c>
      <c r="N241" s="30">
        <f t="shared" si="35"/>
        <v>0</v>
      </c>
      <c r="O241" s="30">
        <f t="shared" si="35"/>
        <v>0</v>
      </c>
      <c r="P241" s="27">
        <f>E241+J241</f>
        <v>0</v>
      </c>
    </row>
    <row r="242" spans="1:16" ht="77.25" hidden="1">
      <c r="A242" s="34" t="s">
        <v>481</v>
      </c>
      <c r="B242" s="35" t="s">
        <v>105</v>
      </c>
      <c r="C242" s="35" t="s">
        <v>70</v>
      </c>
      <c r="D242" s="36" t="s">
        <v>106</v>
      </c>
      <c r="E242" s="20">
        <f>F242+I242</f>
        <v>0</v>
      </c>
      <c r="F242" s="37">
        <f t="shared" si="34"/>
        <v>0</v>
      </c>
      <c r="G242" s="37">
        <f t="shared" si="34"/>
        <v>0</v>
      </c>
      <c r="H242" s="37">
        <f t="shared" si="34"/>
        <v>0</v>
      </c>
      <c r="I242" s="37">
        <f t="shared" si="34"/>
        <v>0</v>
      </c>
      <c r="J242" s="20">
        <f>K242+N242</f>
        <v>0</v>
      </c>
      <c r="K242" s="37">
        <f t="shared" si="35"/>
        <v>0</v>
      </c>
      <c r="L242" s="37">
        <f t="shared" si="35"/>
        <v>0</v>
      </c>
      <c r="M242" s="37">
        <f t="shared" si="35"/>
        <v>0</v>
      </c>
      <c r="N242" s="37">
        <f t="shared" si="35"/>
        <v>0</v>
      </c>
      <c r="O242" s="37">
        <f t="shared" si="35"/>
        <v>0</v>
      </c>
      <c r="P242" s="20">
        <f>E242+J242</f>
        <v>0</v>
      </c>
    </row>
    <row r="243" spans="1:16" ht="30" hidden="1">
      <c r="A243" s="18" t="s">
        <v>482</v>
      </c>
      <c r="B243" s="25" t="s">
        <v>108</v>
      </c>
      <c r="C243" s="25" t="s">
        <v>70</v>
      </c>
      <c r="D243" s="31" t="s">
        <v>109</v>
      </c>
      <c r="E243" s="20">
        <f>F243+I243</f>
        <v>0</v>
      </c>
      <c r="F243" s="27"/>
      <c r="G243" s="27"/>
      <c r="H243" s="27"/>
      <c r="I243" s="27"/>
      <c r="J243" s="20">
        <f>K243+N243</f>
        <v>0</v>
      </c>
      <c r="K243" s="27"/>
      <c r="L243" s="27"/>
      <c r="M243" s="27"/>
      <c r="N243" s="27"/>
      <c r="O243" s="27"/>
      <c r="P243" s="20">
        <f>E243+J243</f>
        <v>0</v>
      </c>
    </row>
    <row r="244" spans="1:16" ht="45" hidden="1">
      <c r="A244" s="14" t="s">
        <v>483</v>
      </c>
      <c r="B244" s="14" t="s">
        <v>484</v>
      </c>
      <c r="C244" s="14"/>
      <c r="D244" s="15" t="s">
        <v>485</v>
      </c>
      <c r="E244" s="16">
        <f>F244+I244</f>
        <v>6352143</v>
      </c>
      <c r="F244" s="16">
        <f>F245</f>
        <v>6352143</v>
      </c>
      <c r="G244" s="16">
        <f>G245</f>
        <v>3969668</v>
      </c>
      <c r="H244" s="16">
        <f>H245</f>
        <v>180823</v>
      </c>
      <c r="I244" s="16">
        <f>I245</f>
        <v>0</v>
      </c>
      <c r="J244" s="16">
        <f>K244+N244</f>
        <v>108583</v>
      </c>
      <c r="K244" s="16">
        <f>K245</f>
        <v>0</v>
      </c>
      <c r="L244" s="16">
        <f>L245</f>
        <v>0</v>
      </c>
      <c r="M244" s="16">
        <f>M245</f>
        <v>0</v>
      </c>
      <c r="N244" s="16">
        <f>N245</f>
        <v>108583</v>
      </c>
      <c r="O244" s="16">
        <f>O245</f>
        <v>108583</v>
      </c>
      <c r="P244" s="50">
        <f>E244+J244</f>
        <v>6460726</v>
      </c>
    </row>
    <row r="245" spans="1:16" ht="45" hidden="1">
      <c r="A245" s="38" t="s">
        <v>486</v>
      </c>
      <c r="B245" s="38"/>
      <c r="C245" s="38"/>
      <c r="D245" s="19" t="s">
        <v>485</v>
      </c>
      <c r="E245" s="27">
        <f>F245+I245</f>
        <v>6352143</v>
      </c>
      <c r="F245" s="27">
        <f>F246+F248+F250</f>
        <v>6352143</v>
      </c>
      <c r="G245" s="27">
        <f>G246+G248+G250</f>
        <v>3969668</v>
      </c>
      <c r="H245" s="27">
        <f>H246+H248+H250</f>
        <v>180823</v>
      </c>
      <c r="I245" s="27">
        <f>I246+I248+I250</f>
        <v>0</v>
      </c>
      <c r="J245" s="27">
        <f>K245+N245</f>
        <v>108583</v>
      </c>
      <c r="K245" s="27">
        <f>K246+K248+K250</f>
        <v>0</v>
      </c>
      <c r="L245" s="27">
        <f>L246+L248+L250</f>
        <v>0</v>
      </c>
      <c r="M245" s="27">
        <f>M246+M248+M250</f>
        <v>0</v>
      </c>
      <c r="N245" s="27">
        <f>N246+N248+N250</f>
        <v>108583</v>
      </c>
      <c r="O245" s="27">
        <f>O246+O248+O250</f>
        <v>108583</v>
      </c>
      <c r="P245" s="27">
        <f>E245+J245</f>
        <v>6460726</v>
      </c>
    </row>
    <row r="246" spans="1:16" hidden="1">
      <c r="A246" s="28" t="s">
        <v>487</v>
      </c>
      <c r="B246" s="22" t="s">
        <v>21</v>
      </c>
      <c r="C246" s="22"/>
      <c r="D246" s="23" t="s">
        <v>22</v>
      </c>
      <c r="E246" s="27">
        <f t="shared" ref="E246:E276" si="36">F246+I246</f>
        <v>5533212</v>
      </c>
      <c r="F246" s="30">
        <f>F247</f>
        <v>5533212</v>
      </c>
      <c r="G246" s="30">
        <f>G247</f>
        <v>3969668</v>
      </c>
      <c r="H246" s="30">
        <f>H247</f>
        <v>180823</v>
      </c>
      <c r="I246" s="30">
        <f>I247</f>
        <v>0</v>
      </c>
      <c r="J246" s="27">
        <f t="shared" ref="J246:J276" si="37">K246+N246</f>
        <v>0</v>
      </c>
      <c r="K246" s="30">
        <f>K247</f>
        <v>0</v>
      </c>
      <c r="L246" s="30">
        <f>L247</f>
        <v>0</v>
      </c>
      <c r="M246" s="30">
        <f>M247</f>
        <v>0</v>
      </c>
      <c r="N246" s="30">
        <f>N247</f>
        <v>0</v>
      </c>
      <c r="O246" s="30">
        <f>O247</f>
        <v>0</v>
      </c>
      <c r="P246" s="27">
        <f t="shared" ref="P246:P276" si="38">E246+J246</f>
        <v>5533212</v>
      </c>
    </row>
    <row r="247" spans="1:16" ht="45" hidden="1">
      <c r="A247" s="25" t="s">
        <v>488</v>
      </c>
      <c r="B247" s="25" t="s">
        <v>116</v>
      </c>
      <c r="C247" s="25" t="s">
        <v>25</v>
      </c>
      <c r="D247" s="26" t="s">
        <v>489</v>
      </c>
      <c r="E247" s="27">
        <f t="shared" si="36"/>
        <v>5533212</v>
      </c>
      <c r="F247" s="27">
        <v>5533212</v>
      </c>
      <c r="G247" s="27">
        <v>3969668</v>
      </c>
      <c r="H247" s="27">
        <v>180823</v>
      </c>
      <c r="I247" s="27"/>
      <c r="J247" s="27">
        <f t="shared" si="37"/>
        <v>0</v>
      </c>
      <c r="K247" s="27"/>
      <c r="L247" s="27"/>
      <c r="M247" s="27"/>
      <c r="N247" s="27"/>
      <c r="O247" s="27"/>
      <c r="P247" s="27">
        <f t="shared" si="38"/>
        <v>5533212</v>
      </c>
    </row>
    <row r="248" spans="1:16" s="61" customFormat="1" hidden="1">
      <c r="A248" s="76" t="s">
        <v>490</v>
      </c>
      <c r="B248" s="76" t="s">
        <v>119</v>
      </c>
      <c r="C248" s="76"/>
      <c r="D248" s="86" t="s">
        <v>120</v>
      </c>
      <c r="E248" s="20">
        <f t="shared" si="36"/>
        <v>312136</v>
      </c>
      <c r="F248" s="87">
        <f>F249</f>
        <v>312136</v>
      </c>
      <c r="G248" s="87">
        <f>G249</f>
        <v>0</v>
      </c>
      <c r="H248" s="87">
        <f>H249</f>
        <v>0</v>
      </c>
      <c r="I248" s="87">
        <f>I249</f>
        <v>0</v>
      </c>
      <c r="J248" s="20">
        <f t="shared" si="37"/>
        <v>108583</v>
      </c>
      <c r="K248" s="87">
        <f>K249</f>
        <v>0</v>
      </c>
      <c r="L248" s="87">
        <f>L249</f>
        <v>0</v>
      </c>
      <c r="M248" s="87">
        <f>M249</f>
        <v>0</v>
      </c>
      <c r="N248" s="87">
        <f>N249</f>
        <v>108583</v>
      </c>
      <c r="O248" s="87">
        <f>O249</f>
        <v>108583</v>
      </c>
      <c r="P248" s="105">
        <f t="shared" si="38"/>
        <v>420719</v>
      </c>
    </row>
    <row r="249" spans="1:16" ht="90" hidden="1">
      <c r="A249" s="25" t="s">
        <v>491</v>
      </c>
      <c r="B249" s="80" t="s">
        <v>49</v>
      </c>
      <c r="C249" s="80" t="s">
        <v>123</v>
      </c>
      <c r="D249" s="81" t="s">
        <v>347</v>
      </c>
      <c r="E249" s="27">
        <f t="shared" si="36"/>
        <v>312136</v>
      </c>
      <c r="F249" s="27">
        <v>312136</v>
      </c>
      <c r="G249" s="27"/>
      <c r="H249" s="27"/>
      <c r="I249" s="27"/>
      <c r="J249" s="27">
        <f t="shared" si="37"/>
        <v>108583</v>
      </c>
      <c r="K249" s="27"/>
      <c r="L249" s="27"/>
      <c r="M249" s="27"/>
      <c r="N249" s="27">
        <f>O249</f>
        <v>108583</v>
      </c>
      <c r="O249" s="27">
        <v>108583</v>
      </c>
      <c r="P249" s="27">
        <f t="shared" si="38"/>
        <v>420719</v>
      </c>
    </row>
    <row r="250" spans="1:16" s="61" customFormat="1" ht="26.25" hidden="1">
      <c r="A250" s="76" t="s">
        <v>492</v>
      </c>
      <c r="B250" s="76" t="s">
        <v>168</v>
      </c>
      <c r="C250" s="76"/>
      <c r="D250" s="86" t="s">
        <v>169</v>
      </c>
      <c r="E250" s="20">
        <f t="shared" si="36"/>
        <v>506795</v>
      </c>
      <c r="F250" s="87">
        <f>F251</f>
        <v>506795</v>
      </c>
      <c r="G250" s="106">
        <f t="shared" ref="G250:I251" si="39">G251</f>
        <v>0</v>
      </c>
      <c r="H250" s="106">
        <f t="shared" si="39"/>
        <v>0</v>
      </c>
      <c r="I250" s="106">
        <f t="shared" si="39"/>
        <v>0</v>
      </c>
      <c r="J250" s="20">
        <f t="shared" si="37"/>
        <v>0</v>
      </c>
      <c r="K250" s="106">
        <f t="shared" ref="K250:O251" si="40">K251</f>
        <v>0</v>
      </c>
      <c r="L250" s="106">
        <f t="shared" si="40"/>
        <v>0</v>
      </c>
      <c r="M250" s="106">
        <f t="shared" si="40"/>
        <v>0</v>
      </c>
      <c r="N250" s="106">
        <f t="shared" si="40"/>
        <v>0</v>
      </c>
      <c r="O250" s="106">
        <f t="shared" si="40"/>
        <v>0</v>
      </c>
      <c r="P250" s="105">
        <f t="shared" si="38"/>
        <v>506795</v>
      </c>
    </row>
    <row r="251" spans="1:16" ht="45" hidden="1">
      <c r="A251" s="25" t="s">
        <v>493</v>
      </c>
      <c r="B251" s="80" t="s">
        <v>494</v>
      </c>
      <c r="C251" s="80"/>
      <c r="D251" s="31" t="s">
        <v>495</v>
      </c>
      <c r="E251" s="27">
        <f t="shared" si="36"/>
        <v>506795</v>
      </c>
      <c r="F251" s="27">
        <f>F252</f>
        <v>506795</v>
      </c>
      <c r="G251" s="27">
        <f t="shared" si="39"/>
        <v>0</v>
      </c>
      <c r="H251" s="27">
        <f t="shared" si="39"/>
        <v>0</v>
      </c>
      <c r="I251" s="27">
        <f t="shared" si="39"/>
        <v>0</v>
      </c>
      <c r="J251" s="27">
        <f t="shared" si="37"/>
        <v>0</v>
      </c>
      <c r="K251" s="27">
        <f t="shared" si="40"/>
        <v>0</v>
      </c>
      <c r="L251" s="27">
        <f t="shared" si="40"/>
        <v>0</v>
      </c>
      <c r="M251" s="27">
        <f t="shared" si="40"/>
        <v>0</v>
      </c>
      <c r="N251" s="27">
        <f t="shared" si="40"/>
        <v>0</v>
      </c>
      <c r="O251" s="27">
        <f t="shared" si="40"/>
        <v>0</v>
      </c>
      <c r="P251" s="27">
        <f t="shared" si="38"/>
        <v>506795</v>
      </c>
    </row>
    <row r="252" spans="1:16" ht="39" hidden="1">
      <c r="A252" s="25" t="s">
        <v>496</v>
      </c>
      <c r="B252" s="80" t="s">
        <v>497</v>
      </c>
      <c r="C252" s="80" t="s">
        <v>498</v>
      </c>
      <c r="D252" s="81" t="s">
        <v>499</v>
      </c>
      <c r="E252" s="27">
        <f t="shared" si="36"/>
        <v>506795</v>
      </c>
      <c r="F252" s="27">
        <v>506795</v>
      </c>
      <c r="G252" s="27"/>
      <c r="H252" s="27"/>
      <c r="I252" s="27"/>
      <c r="J252" s="27">
        <f t="shared" si="37"/>
        <v>0</v>
      </c>
      <c r="K252" s="27"/>
      <c r="L252" s="27"/>
      <c r="M252" s="27"/>
      <c r="N252" s="27"/>
      <c r="O252" s="27"/>
      <c r="P252" s="27">
        <f t="shared" si="38"/>
        <v>506795</v>
      </c>
    </row>
    <row r="253" spans="1:16" s="61" customFormat="1" ht="39" hidden="1">
      <c r="A253" s="107" t="s">
        <v>500</v>
      </c>
      <c r="B253" s="107" t="s">
        <v>501</v>
      </c>
      <c r="C253" s="107"/>
      <c r="D253" s="108" t="s">
        <v>502</v>
      </c>
      <c r="E253" s="109">
        <f t="shared" si="36"/>
        <v>2654680</v>
      </c>
      <c r="F253" s="109">
        <f>F254</f>
        <v>2654680</v>
      </c>
      <c r="G253" s="109">
        <f t="shared" ref="G253:I255" si="41">G254</f>
        <v>1786390</v>
      </c>
      <c r="H253" s="109">
        <f t="shared" si="41"/>
        <v>83453</v>
      </c>
      <c r="I253" s="109">
        <f t="shared" si="41"/>
        <v>0</v>
      </c>
      <c r="J253" s="109">
        <f t="shared" si="37"/>
        <v>0</v>
      </c>
      <c r="K253" s="109">
        <f t="shared" ref="K253:O255" si="42">K254</f>
        <v>0</v>
      </c>
      <c r="L253" s="109">
        <f t="shared" si="42"/>
        <v>0</v>
      </c>
      <c r="M253" s="109">
        <f t="shared" si="42"/>
        <v>0</v>
      </c>
      <c r="N253" s="109">
        <f t="shared" si="42"/>
        <v>0</v>
      </c>
      <c r="O253" s="109">
        <f t="shared" si="42"/>
        <v>0</v>
      </c>
      <c r="P253" s="50">
        <f t="shared" si="38"/>
        <v>2654680</v>
      </c>
    </row>
    <row r="254" spans="1:16" s="61" customFormat="1" ht="38.25" hidden="1">
      <c r="A254" s="80" t="s">
        <v>503</v>
      </c>
      <c r="B254" s="80"/>
      <c r="C254" s="80"/>
      <c r="D254" s="97" t="s">
        <v>502</v>
      </c>
      <c r="E254" s="60">
        <f t="shared" si="36"/>
        <v>2654680</v>
      </c>
      <c r="F254" s="60">
        <f>F255</f>
        <v>2654680</v>
      </c>
      <c r="G254" s="60">
        <f t="shared" si="41"/>
        <v>1786390</v>
      </c>
      <c r="H254" s="60">
        <f t="shared" si="41"/>
        <v>83453</v>
      </c>
      <c r="I254" s="60">
        <f t="shared" si="41"/>
        <v>0</v>
      </c>
      <c r="J254" s="60">
        <f t="shared" si="37"/>
        <v>0</v>
      </c>
      <c r="K254" s="60">
        <f t="shared" si="42"/>
        <v>0</v>
      </c>
      <c r="L254" s="60">
        <f t="shared" si="42"/>
        <v>0</v>
      </c>
      <c r="M254" s="60">
        <f t="shared" si="42"/>
        <v>0</v>
      </c>
      <c r="N254" s="60">
        <f t="shared" si="42"/>
        <v>0</v>
      </c>
      <c r="O254" s="60">
        <f t="shared" si="42"/>
        <v>0</v>
      </c>
      <c r="P254" s="60">
        <f t="shared" si="38"/>
        <v>2654680</v>
      </c>
    </row>
    <row r="255" spans="1:16" s="61" customFormat="1" ht="12.75" hidden="1">
      <c r="A255" s="77" t="s">
        <v>504</v>
      </c>
      <c r="B255" s="76" t="s">
        <v>21</v>
      </c>
      <c r="C255" s="76"/>
      <c r="D255" s="97" t="s">
        <v>22</v>
      </c>
      <c r="E255" s="60">
        <f t="shared" si="36"/>
        <v>2654680</v>
      </c>
      <c r="F255" s="87">
        <f>F256</f>
        <v>2654680</v>
      </c>
      <c r="G255" s="87">
        <f t="shared" si="41"/>
        <v>1786390</v>
      </c>
      <c r="H255" s="87">
        <f t="shared" si="41"/>
        <v>83453</v>
      </c>
      <c r="I255" s="87">
        <f t="shared" si="41"/>
        <v>0</v>
      </c>
      <c r="J255" s="60">
        <f t="shared" si="37"/>
        <v>0</v>
      </c>
      <c r="K255" s="87">
        <f t="shared" si="42"/>
        <v>0</v>
      </c>
      <c r="L255" s="87">
        <f t="shared" si="42"/>
        <v>0</v>
      </c>
      <c r="M255" s="87">
        <f t="shared" si="42"/>
        <v>0</v>
      </c>
      <c r="N255" s="87">
        <f t="shared" si="42"/>
        <v>0</v>
      </c>
      <c r="O255" s="87">
        <f t="shared" si="42"/>
        <v>0</v>
      </c>
      <c r="P255" s="60">
        <f t="shared" si="38"/>
        <v>2654680</v>
      </c>
    </row>
    <row r="256" spans="1:16" s="61" customFormat="1" ht="45" hidden="1">
      <c r="A256" s="58" t="s">
        <v>505</v>
      </c>
      <c r="B256" s="58" t="s">
        <v>116</v>
      </c>
      <c r="C256" s="58" t="s">
        <v>25</v>
      </c>
      <c r="D256" s="26" t="s">
        <v>506</v>
      </c>
      <c r="E256" s="60">
        <f t="shared" si="36"/>
        <v>2654680</v>
      </c>
      <c r="F256" s="60">
        <v>2654680</v>
      </c>
      <c r="G256" s="60">
        <v>1786390</v>
      </c>
      <c r="H256" s="60">
        <v>83453</v>
      </c>
      <c r="I256" s="60"/>
      <c r="J256" s="60">
        <f t="shared" si="37"/>
        <v>0</v>
      </c>
      <c r="K256" s="60"/>
      <c r="L256" s="60"/>
      <c r="M256" s="60"/>
      <c r="N256" s="60"/>
      <c r="O256" s="60"/>
      <c r="P256" s="60">
        <f t="shared" si="38"/>
        <v>2654680</v>
      </c>
    </row>
    <row r="257" spans="1:16" ht="45" hidden="1">
      <c r="A257" s="14" t="s">
        <v>507</v>
      </c>
      <c r="B257" s="14" t="s">
        <v>508</v>
      </c>
      <c r="C257" s="14"/>
      <c r="D257" s="15" t="s">
        <v>509</v>
      </c>
      <c r="E257" s="16">
        <f t="shared" si="36"/>
        <v>135373451</v>
      </c>
      <c r="F257" s="16">
        <f>F258</f>
        <v>135373451</v>
      </c>
      <c r="G257" s="16">
        <f>G258</f>
        <v>90297386</v>
      </c>
      <c r="H257" s="16">
        <f>H258</f>
        <v>6991272</v>
      </c>
      <c r="I257" s="16">
        <f>I258</f>
        <v>0</v>
      </c>
      <c r="J257" s="16">
        <f t="shared" si="37"/>
        <v>20739437</v>
      </c>
      <c r="K257" s="16">
        <f>K258</f>
        <v>7140037</v>
      </c>
      <c r="L257" s="16">
        <f>L258</f>
        <v>3635393</v>
      </c>
      <c r="M257" s="16">
        <f>M258</f>
        <v>868395</v>
      </c>
      <c r="N257" s="16">
        <f>N258</f>
        <v>13599400</v>
      </c>
      <c r="O257" s="16">
        <f>O258</f>
        <v>13599400</v>
      </c>
      <c r="P257" s="50">
        <f t="shared" si="38"/>
        <v>156112888</v>
      </c>
    </row>
    <row r="258" spans="1:16" ht="45" hidden="1">
      <c r="A258" s="18" t="s">
        <v>510</v>
      </c>
      <c r="B258" s="38"/>
      <c r="C258" s="38"/>
      <c r="D258" s="110" t="s">
        <v>509</v>
      </c>
      <c r="E258" s="20">
        <f t="shared" si="36"/>
        <v>135373451</v>
      </c>
      <c r="F258" s="20">
        <f>F259+F261+F275+F273</f>
        <v>135373451</v>
      </c>
      <c r="G258" s="20">
        <f>G259+G261+G275+G273</f>
        <v>90297386</v>
      </c>
      <c r="H258" s="20">
        <f>H259+H261+H275+H273</f>
        <v>6991272</v>
      </c>
      <c r="I258" s="20">
        <f>I259+I261+I275+I273</f>
        <v>0</v>
      </c>
      <c r="J258" s="20">
        <f t="shared" si="37"/>
        <v>20739437</v>
      </c>
      <c r="K258" s="20">
        <f>K259+K261+K275+K273</f>
        <v>7140037</v>
      </c>
      <c r="L258" s="20">
        <f>L259+L261+L275+L273</f>
        <v>3635393</v>
      </c>
      <c r="M258" s="20">
        <f>M259+M261+M275+M273</f>
        <v>868395</v>
      </c>
      <c r="N258" s="20">
        <f>N259+N261+N275+N273</f>
        <v>13599400</v>
      </c>
      <c r="O258" s="20">
        <f>O259+O261+O275+O273</f>
        <v>13599400</v>
      </c>
      <c r="P258" s="20">
        <f t="shared" si="38"/>
        <v>156112888</v>
      </c>
    </row>
    <row r="259" spans="1:16" hidden="1">
      <c r="A259" s="28" t="s">
        <v>511</v>
      </c>
      <c r="B259" s="22" t="s">
        <v>21</v>
      </c>
      <c r="C259" s="22"/>
      <c r="D259" s="111" t="s">
        <v>22</v>
      </c>
      <c r="E259" s="20">
        <f t="shared" si="36"/>
        <v>2630606</v>
      </c>
      <c r="F259" s="24">
        <f>F260</f>
        <v>2630606</v>
      </c>
      <c r="G259" s="24">
        <f>G260</f>
        <v>1949043</v>
      </c>
      <c r="H259" s="24">
        <f>H260</f>
        <v>157181</v>
      </c>
      <c r="I259" s="24">
        <f>I260</f>
        <v>0</v>
      </c>
      <c r="J259" s="20">
        <f t="shared" si="37"/>
        <v>1546654</v>
      </c>
      <c r="K259" s="24">
        <f>K260</f>
        <v>0</v>
      </c>
      <c r="L259" s="24">
        <f>L260</f>
        <v>0</v>
      </c>
      <c r="M259" s="24">
        <f>M260</f>
        <v>0</v>
      </c>
      <c r="N259" s="24">
        <f>N260</f>
        <v>1546654</v>
      </c>
      <c r="O259" s="24">
        <f>O260</f>
        <v>1546654</v>
      </c>
      <c r="P259" s="20">
        <f t="shared" si="38"/>
        <v>4177260</v>
      </c>
    </row>
    <row r="260" spans="1:16" ht="45" hidden="1">
      <c r="A260" s="25" t="s">
        <v>512</v>
      </c>
      <c r="B260" s="25" t="s">
        <v>116</v>
      </c>
      <c r="C260" s="25" t="s">
        <v>25</v>
      </c>
      <c r="D260" s="26" t="s">
        <v>513</v>
      </c>
      <c r="E260" s="20">
        <f t="shared" si="36"/>
        <v>2630606</v>
      </c>
      <c r="F260" s="27">
        <v>2630606</v>
      </c>
      <c r="G260" s="27">
        <v>1949043</v>
      </c>
      <c r="H260" s="27">
        <v>157181</v>
      </c>
      <c r="I260" s="27"/>
      <c r="J260" s="20">
        <f t="shared" si="37"/>
        <v>1546654</v>
      </c>
      <c r="K260" s="27"/>
      <c r="L260" s="27"/>
      <c r="M260" s="27"/>
      <c r="N260" s="27">
        <f>O260</f>
        <v>1546654</v>
      </c>
      <c r="O260" s="27">
        <v>1546654</v>
      </c>
      <c r="P260" s="20">
        <f t="shared" si="38"/>
        <v>4177260</v>
      </c>
    </row>
    <row r="261" spans="1:16" hidden="1">
      <c r="A261" s="28" t="s">
        <v>514</v>
      </c>
      <c r="B261" s="28" t="s">
        <v>515</v>
      </c>
      <c r="C261" s="28"/>
      <c r="D261" s="29" t="s">
        <v>516</v>
      </c>
      <c r="E261" s="20">
        <f t="shared" si="36"/>
        <v>132120640</v>
      </c>
      <c r="F261" s="30">
        <f>F262+F263+F264+F265+F266+F267</f>
        <v>132120640</v>
      </c>
      <c r="G261" s="30">
        <f>G262+G263+G264+G265+G266+G267</f>
        <v>88343343</v>
      </c>
      <c r="H261" s="30">
        <f>H262+H263+H264+H265+H266+H267</f>
        <v>6834091</v>
      </c>
      <c r="I261" s="30">
        <f>I262+I263+I264+I265+I266+I267</f>
        <v>0</v>
      </c>
      <c r="J261" s="20">
        <f t="shared" si="37"/>
        <v>17717233</v>
      </c>
      <c r="K261" s="30">
        <f>K262+K263+K264+K265+K266+K267</f>
        <v>7140037</v>
      </c>
      <c r="L261" s="30">
        <f>L262+L263+L264+L265+L266+L267</f>
        <v>3635393</v>
      </c>
      <c r="M261" s="30">
        <f>M262+M263+M264+M265+M266+M267</f>
        <v>868395</v>
      </c>
      <c r="N261" s="30">
        <f>N262+N263+N264+N265+N266+N267</f>
        <v>10577196</v>
      </c>
      <c r="O261" s="30">
        <f>O262+O263+O264+O265+O266+O267</f>
        <v>10577196</v>
      </c>
      <c r="P261" s="20">
        <f t="shared" si="38"/>
        <v>149837873</v>
      </c>
    </row>
    <row r="262" spans="1:16" hidden="1">
      <c r="A262" s="25" t="s">
        <v>517</v>
      </c>
      <c r="B262" s="25" t="s">
        <v>518</v>
      </c>
      <c r="C262" s="25" t="s">
        <v>519</v>
      </c>
      <c r="D262" s="31" t="s">
        <v>520</v>
      </c>
      <c r="E262" s="20">
        <f t="shared" si="36"/>
        <v>7923779</v>
      </c>
      <c r="F262" s="27">
        <v>7923779</v>
      </c>
      <c r="G262" s="27"/>
      <c r="H262" s="27"/>
      <c r="I262" s="27"/>
      <c r="J262" s="20">
        <f t="shared" si="37"/>
        <v>808480</v>
      </c>
      <c r="K262" s="27"/>
      <c r="L262" s="27"/>
      <c r="M262" s="27"/>
      <c r="N262" s="27">
        <f>O262</f>
        <v>808480</v>
      </c>
      <c r="O262" s="27">
        <v>808480</v>
      </c>
      <c r="P262" s="20">
        <f t="shared" si="38"/>
        <v>8732259</v>
      </c>
    </row>
    <row r="263" spans="1:16" hidden="1">
      <c r="A263" s="25" t="s">
        <v>521</v>
      </c>
      <c r="B263" s="25" t="s">
        <v>522</v>
      </c>
      <c r="C263" s="25" t="s">
        <v>523</v>
      </c>
      <c r="D263" s="31" t="s">
        <v>524</v>
      </c>
      <c r="E263" s="20">
        <f t="shared" si="36"/>
        <v>23400177</v>
      </c>
      <c r="F263" s="27">
        <v>23400177</v>
      </c>
      <c r="G263" s="27">
        <v>15886809</v>
      </c>
      <c r="H263" s="27">
        <v>1702769</v>
      </c>
      <c r="I263" s="27"/>
      <c r="J263" s="20">
        <f t="shared" si="37"/>
        <v>991909</v>
      </c>
      <c r="K263" s="27">
        <v>6500</v>
      </c>
      <c r="L263" s="27"/>
      <c r="M263" s="27">
        <v>3497</v>
      </c>
      <c r="N263" s="27">
        <f>O263</f>
        <v>985409</v>
      </c>
      <c r="O263" s="27">
        <v>985409</v>
      </c>
      <c r="P263" s="20">
        <f t="shared" si="38"/>
        <v>24392086</v>
      </c>
    </row>
    <row r="264" spans="1:16" ht="45" hidden="1">
      <c r="A264" s="25" t="s">
        <v>525</v>
      </c>
      <c r="B264" s="25" t="s">
        <v>526</v>
      </c>
      <c r="C264" s="25" t="s">
        <v>527</v>
      </c>
      <c r="D264" s="31" t="s">
        <v>528</v>
      </c>
      <c r="E264" s="20">
        <f t="shared" si="36"/>
        <v>15702225</v>
      </c>
      <c r="F264" s="27">
        <v>15702225</v>
      </c>
      <c r="G264" s="27">
        <v>9539335</v>
      </c>
      <c r="H264" s="27">
        <v>3071130</v>
      </c>
      <c r="I264" s="27"/>
      <c r="J264" s="20">
        <f t="shared" si="37"/>
        <v>6606767</v>
      </c>
      <c r="K264" s="27">
        <v>1948897</v>
      </c>
      <c r="L264" s="27">
        <v>812596</v>
      </c>
      <c r="M264" s="27">
        <v>293670</v>
      </c>
      <c r="N264" s="27">
        <f>O264</f>
        <v>4657870</v>
      </c>
      <c r="O264" s="27">
        <v>4657870</v>
      </c>
      <c r="P264" s="20">
        <f t="shared" si="38"/>
        <v>22308992</v>
      </c>
    </row>
    <row r="265" spans="1:16" ht="30" hidden="1">
      <c r="A265" s="25" t="s">
        <v>529</v>
      </c>
      <c r="B265" s="25" t="s">
        <v>530</v>
      </c>
      <c r="C265" s="25" t="s">
        <v>140</v>
      </c>
      <c r="D265" s="31" t="s">
        <v>531</v>
      </c>
      <c r="E265" s="20">
        <f t="shared" si="36"/>
        <v>76493888</v>
      </c>
      <c r="F265" s="27">
        <f>76359453+134435</f>
        <v>76493888</v>
      </c>
      <c r="G265" s="27">
        <v>60161747</v>
      </c>
      <c r="H265" s="27">
        <v>1958091</v>
      </c>
      <c r="I265" s="27"/>
      <c r="J265" s="20">
        <f t="shared" si="37"/>
        <v>9295437</v>
      </c>
      <c r="K265" s="27">
        <v>5170000</v>
      </c>
      <c r="L265" s="27">
        <v>2812135</v>
      </c>
      <c r="M265" s="27">
        <v>570718</v>
      </c>
      <c r="N265" s="27">
        <f>O265</f>
        <v>4125437</v>
      </c>
      <c r="O265" s="27">
        <f>4059872+65565</f>
        <v>4125437</v>
      </c>
      <c r="P265" s="20">
        <f t="shared" si="38"/>
        <v>85789325</v>
      </c>
    </row>
    <row r="266" spans="1:16" hidden="1">
      <c r="A266" s="25" t="s">
        <v>532</v>
      </c>
      <c r="B266" s="25" t="s">
        <v>533</v>
      </c>
      <c r="C266" s="25" t="s">
        <v>534</v>
      </c>
      <c r="D266" s="74" t="s">
        <v>535</v>
      </c>
      <c r="E266" s="20">
        <f t="shared" si="36"/>
        <v>2726604</v>
      </c>
      <c r="F266" s="27">
        <v>2726604</v>
      </c>
      <c r="G266" s="27"/>
      <c r="H266" s="27"/>
      <c r="I266" s="27"/>
      <c r="J266" s="20">
        <f t="shared" si="37"/>
        <v>0</v>
      </c>
      <c r="K266" s="27"/>
      <c r="L266" s="27"/>
      <c r="M266" s="27"/>
      <c r="N266" s="27"/>
      <c r="O266" s="27"/>
      <c r="P266" s="20">
        <f t="shared" si="38"/>
        <v>2726604</v>
      </c>
    </row>
    <row r="267" spans="1:16" ht="26.25" hidden="1">
      <c r="A267" s="35" t="s">
        <v>536</v>
      </c>
      <c r="B267" s="35" t="s">
        <v>537</v>
      </c>
      <c r="C267" s="35" t="s">
        <v>538</v>
      </c>
      <c r="D267" s="36" t="s">
        <v>539</v>
      </c>
      <c r="E267" s="20">
        <f t="shared" si="36"/>
        <v>5873967</v>
      </c>
      <c r="F267" s="37">
        <f>F268+F269+F270+F271+F272</f>
        <v>5873967</v>
      </c>
      <c r="G267" s="37">
        <f>G268+G269+G270+G271+G272</f>
        <v>2755452</v>
      </c>
      <c r="H267" s="37">
        <f>H268+H269+H270+H271+H272</f>
        <v>102101</v>
      </c>
      <c r="I267" s="37">
        <f>I268+I269+I270+I271+I272</f>
        <v>0</v>
      </c>
      <c r="J267" s="20">
        <f t="shared" si="37"/>
        <v>14640</v>
      </c>
      <c r="K267" s="37">
        <f>K268+K269+K270+K271+K272</f>
        <v>14640</v>
      </c>
      <c r="L267" s="37">
        <f>L268+L269+L270+L271+L272</f>
        <v>10662</v>
      </c>
      <c r="M267" s="37">
        <f>M268+M269+M270+M271+M272</f>
        <v>510</v>
      </c>
      <c r="N267" s="37">
        <f>N268+N269+N270+N271+N272</f>
        <v>0</v>
      </c>
      <c r="O267" s="37">
        <f>O268+O269+O270+O271+O272</f>
        <v>0</v>
      </c>
      <c r="P267" s="20">
        <f t="shared" si="38"/>
        <v>5888607</v>
      </c>
    </row>
    <row r="268" spans="1:16" ht="60" hidden="1">
      <c r="A268" s="25" t="s">
        <v>540</v>
      </c>
      <c r="B268" s="25" t="s">
        <v>541</v>
      </c>
      <c r="C268" s="25" t="s">
        <v>538</v>
      </c>
      <c r="D268" s="74" t="s">
        <v>542</v>
      </c>
      <c r="E268" s="20">
        <f t="shared" si="36"/>
        <v>2009635</v>
      </c>
      <c r="F268" s="27">
        <v>2009635</v>
      </c>
      <c r="G268" s="43">
        <v>1471597</v>
      </c>
      <c r="H268" s="43">
        <v>49760</v>
      </c>
      <c r="I268" s="43"/>
      <c r="J268" s="20">
        <f t="shared" si="37"/>
        <v>0</v>
      </c>
      <c r="K268" s="112"/>
      <c r="L268" s="112"/>
      <c r="M268" s="112"/>
      <c r="N268" s="43"/>
      <c r="O268" s="20"/>
      <c r="P268" s="20">
        <f t="shared" si="38"/>
        <v>2009635</v>
      </c>
    </row>
    <row r="269" spans="1:16" hidden="1">
      <c r="A269" s="25" t="s">
        <v>543</v>
      </c>
      <c r="B269" s="25" t="s">
        <v>544</v>
      </c>
      <c r="C269" s="25" t="s">
        <v>538</v>
      </c>
      <c r="D269" s="31" t="s">
        <v>545</v>
      </c>
      <c r="E269" s="20">
        <f t="shared" si="36"/>
        <v>430392</v>
      </c>
      <c r="F269" s="43">
        <v>430392</v>
      </c>
      <c r="G269" s="43">
        <v>346733</v>
      </c>
      <c r="H269" s="43"/>
      <c r="I269" s="43"/>
      <c r="J269" s="20">
        <f t="shared" si="37"/>
        <v>0</v>
      </c>
      <c r="K269" s="43"/>
      <c r="L269" s="27"/>
      <c r="M269" s="27"/>
      <c r="N269" s="43"/>
      <c r="O269" s="20"/>
      <c r="P269" s="20">
        <f t="shared" si="38"/>
        <v>430392</v>
      </c>
    </row>
    <row r="270" spans="1:16" ht="30" hidden="1">
      <c r="A270" s="25" t="s">
        <v>546</v>
      </c>
      <c r="B270" s="25" t="s">
        <v>547</v>
      </c>
      <c r="C270" s="25" t="s">
        <v>538</v>
      </c>
      <c r="D270" s="74" t="s">
        <v>548</v>
      </c>
      <c r="E270" s="20">
        <f t="shared" si="36"/>
        <v>887659</v>
      </c>
      <c r="F270" s="43">
        <v>887659</v>
      </c>
      <c r="G270" s="43">
        <v>73000</v>
      </c>
      <c r="H270" s="43"/>
      <c r="I270" s="43"/>
      <c r="J270" s="20">
        <f t="shared" si="37"/>
        <v>0</v>
      </c>
      <c r="K270" s="43"/>
      <c r="L270" s="27"/>
      <c r="M270" s="27"/>
      <c r="N270" s="20"/>
      <c r="O270" s="20"/>
      <c r="P270" s="20">
        <f t="shared" si="38"/>
        <v>887659</v>
      </c>
    </row>
    <row r="271" spans="1:16" ht="60" hidden="1">
      <c r="A271" s="25" t="s">
        <v>549</v>
      </c>
      <c r="B271" s="25" t="s">
        <v>550</v>
      </c>
      <c r="C271" s="25" t="s">
        <v>538</v>
      </c>
      <c r="D271" s="74" t="s">
        <v>551</v>
      </c>
      <c r="E271" s="20">
        <f t="shared" si="36"/>
        <v>2546281</v>
      </c>
      <c r="F271" s="43">
        <v>2546281</v>
      </c>
      <c r="G271" s="43">
        <v>864122</v>
      </c>
      <c r="H271" s="43">
        <v>52341</v>
      </c>
      <c r="I271" s="43"/>
      <c r="J271" s="20">
        <f t="shared" si="37"/>
        <v>14640</v>
      </c>
      <c r="K271" s="43">
        <v>14640</v>
      </c>
      <c r="L271" s="27">
        <v>10662</v>
      </c>
      <c r="M271" s="27">
        <v>510</v>
      </c>
      <c r="N271" s="20"/>
      <c r="O271" s="20"/>
      <c r="P271" s="20">
        <f t="shared" si="38"/>
        <v>2560921</v>
      </c>
    </row>
    <row r="272" spans="1:16" ht="45" hidden="1">
      <c r="A272" s="25" t="s">
        <v>552</v>
      </c>
      <c r="B272" s="25" t="s">
        <v>553</v>
      </c>
      <c r="C272" s="25" t="s">
        <v>538</v>
      </c>
      <c r="D272" s="74" t="s">
        <v>554</v>
      </c>
      <c r="E272" s="20">
        <f t="shared" si="36"/>
        <v>0</v>
      </c>
      <c r="F272" s="27"/>
      <c r="G272" s="27"/>
      <c r="H272" s="27"/>
      <c r="I272" s="27"/>
      <c r="J272" s="20">
        <f t="shared" si="37"/>
        <v>0</v>
      </c>
      <c r="K272" s="27"/>
      <c r="L272" s="27"/>
      <c r="M272" s="27"/>
      <c r="N272" s="27"/>
      <c r="O272" s="27"/>
      <c r="P272" s="20">
        <f t="shared" si="38"/>
        <v>0</v>
      </c>
    </row>
    <row r="273" spans="1:16" hidden="1">
      <c r="A273" s="28" t="s">
        <v>555</v>
      </c>
      <c r="B273" s="28" t="s">
        <v>41</v>
      </c>
      <c r="C273" s="28"/>
      <c r="D273" s="33" t="s">
        <v>336</v>
      </c>
      <c r="E273" s="20">
        <f>F273+I273</f>
        <v>0</v>
      </c>
      <c r="F273" s="30">
        <f>F274</f>
        <v>0</v>
      </c>
      <c r="G273" s="30">
        <f>G274</f>
        <v>0</v>
      </c>
      <c r="H273" s="30">
        <f>H274</f>
        <v>0</v>
      </c>
      <c r="I273" s="30">
        <f>I274</f>
        <v>0</v>
      </c>
      <c r="J273" s="20">
        <f>K273+N273</f>
        <v>1475550</v>
      </c>
      <c r="K273" s="30">
        <f>K274</f>
        <v>0</v>
      </c>
      <c r="L273" s="30">
        <f>L274</f>
        <v>0</v>
      </c>
      <c r="M273" s="30">
        <f>M274</f>
        <v>0</v>
      </c>
      <c r="N273" s="30">
        <f>N274</f>
        <v>1475550</v>
      </c>
      <c r="O273" s="30">
        <f>O274</f>
        <v>1475550</v>
      </c>
      <c r="P273" s="20">
        <f>E273+J273</f>
        <v>1475550</v>
      </c>
    </row>
    <row r="274" spans="1:16" s="17" customFormat="1" ht="45" hidden="1">
      <c r="A274" s="25" t="s">
        <v>556</v>
      </c>
      <c r="B274" s="25" t="s">
        <v>44</v>
      </c>
      <c r="C274" s="25" t="s">
        <v>45</v>
      </c>
      <c r="D274" s="31" t="s">
        <v>46</v>
      </c>
      <c r="E274" s="27"/>
      <c r="F274" s="27"/>
      <c r="G274" s="27"/>
      <c r="H274" s="27"/>
      <c r="I274" s="27"/>
      <c r="J274" s="20">
        <f>K274+N274</f>
        <v>1475550</v>
      </c>
      <c r="K274" s="27"/>
      <c r="L274" s="27"/>
      <c r="M274" s="27"/>
      <c r="N274" s="27">
        <f>O274</f>
        <v>1475550</v>
      </c>
      <c r="O274" s="27">
        <v>1475550</v>
      </c>
      <c r="P274" s="20">
        <f>E274+J274</f>
        <v>1475550</v>
      </c>
    </row>
    <row r="275" spans="1:16" s="17" customFormat="1" ht="26.25" hidden="1">
      <c r="A275" s="34" t="s">
        <v>557</v>
      </c>
      <c r="B275" s="34" t="s">
        <v>202</v>
      </c>
      <c r="C275" s="34"/>
      <c r="D275" s="67" t="s">
        <v>203</v>
      </c>
      <c r="E275" s="20">
        <f t="shared" si="36"/>
        <v>622205</v>
      </c>
      <c r="F275" s="37">
        <f>F276</f>
        <v>622205</v>
      </c>
      <c r="G275" s="37">
        <f>G276</f>
        <v>5000</v>
      </c>
      <c r="H275" s="37">
        <f>H276</f>
        <v>0</v>
      </c>
      <c r="I275" s="37">
        <f>I276</f>
        <v>0</v>
      </c>
      <c r="J275" s="20">
        <f t="shared" si="37"/>
        <v>0</v>
      </c>
      <c r="K275" s="37">
        <f>K276</f>
        <v>0</v>
      </c>
      <c r="L275" s="37">
        <f>L276</f>
        <v>0</v>
      </c>
      <c r="M275" s="37">
        <f>M276</f>
        <v>0</v>
      </c>
      <c r="N275" s="37">
        <f>N276</f>
        <v>0</v>
      </c>
      <c r="O275" s="37">
        <f>O276</f>
        <v>0</v>
      </c>
      <c r="P275" s="20">
        <f t="shared" si="38"/>
        <v>622205</v>
      </c>
    </row>
    <row r="276" spans="1:16" s="17" customFormat="1" hidden="1">
      <c r="A276" s="18" t="s">
        <v>558</v>
      </c>
      <c r="B276" s="18" t="s">
        <v>205</v>
      </c>
      <c r="C276" s="18" t="s">
        <v>206</v>
      </c>
      <c r="D276" s="39" t="s">
        <v>207</v>
      </c>
      <c r="E276" s="20">
        <f t="shared" si="36"/>
        <v>622205</v>
      </c>
      <c r="F276" s="27">
        <v>622205</v>
      </c>
      <c r="G276" s="27">
        <v>5000</v>
      </c>
      <c r="H276" s="27"/>
      <c r="I276" s="27"/>
      <c r="J276" s="20">
        <f t="shared" si="37"/>
        <v>0</v>
      </c>
      <c r="K276" s="27"/>
      <c r="L276" s="27"/>
      <c r="M276" s="27"/>
      <c r="N276" s="27"/>
      <c r="O276" s="27"/>
      <c r="P276" s="20">
        <f t="shared" si="38"/>
        <v>622205</v>
      </c>
    </row>
    <row r="277" spans="1:16" s="17" customFormat="1" ht="39" hidden="1">
      <c r="A277" s="14" t="s">
        <v>559</v>
      </c>
      <c r="B277" s="14" t="s">
        <v>560</v>
      </c>
      <c r="C277" s="14"/>
      <c r="D277" s="113" t="s">
        <v>561</v>
      </c>
      <c r="E277" s="16"/>
      <c r="F277" s="16"/>
      <c r="G277" s="16"/>
      <c r="H277" s="16"/>
      <c r="I277" s="16"/>
      <c r="J277" s="16"/>
      <c r="K277" s="16"/>
      <c r="L277" s="16"/>
      <c r="M277" s="16"/>
      <c r="N277" s="16"/>
      <c r="O277" s="16"/>
      <c r="P277" s="16"/>
    </row>
    <row r="278" spans="1:16" s="17" customFormat="1" ht="45" hidden="1">
      <c r="A278" s="25" t="s">
        <v>562</v>
      </c>
      <c r="B278" s="25"/>
      <c r="C278" s="25"/>
      <c r="D278" s="31" t="s">
        <v>563</v>
      </c>
      <c r="E278" s="27"/>
      <c r="F278" s="27"/>
      <c r="G278" s="27"/>
      <c r="H278" s="27"/>
      <c r="I278" s="27"/>
      <c r="J278" s="27"/>
      <c r="K278" s="27"/>
      <c r="L278" s="27"/>
      <c r="M278" s="27"/>
      <c r="N278" s="27"/>
      <c r="O278" s="27"/>
      <c r="P278" s="114"/>
    </row>
    <row r="279" spans="1:16" ht="60" hidden="1">
      <c r="A279" s="14" t="s">
        <v>564</v>
      </c>
      <c r="B279" s="14" t="s">
        <v>565</v>
      </c>
      <c r="C279" s="14"/>
      <c r="D279" s="15" t="s">
        <v>566</v>
      </c>
      <c r="E279" s="16">
        <f>F279+I279</f>
        <v>13890228</v>
      </c>
      <c r="F279" s="16">
        <f>F280</f>
        <v>13890228</v>
      </c>
      <c r="G279" s="16">
        <f>G280</f>
        <v>6525408</v>
      </c>
      <c r="H279" s="16">
        <f>H280</f>
        <v>969504</v>
      </c>
      <c r="I279" s="16">
        <f>I280</f>
        <v>0</v>
      </c>
      <c r="J279" s="16">
        <f>K279+N279</f>
        <v>4582388</v>
      </c>
      <c r="K279" s="16">
        <f>K280</f>
        <v>0</v>
      </c>
      <c r="L279" s="16">
        <f>L280</f>
        <v>0</v>
      </c>
      <c r="M279" s="16">
        <f>M280</f>
        <v>0</v>
      </c>
      <c r="N279" s="16">
        <f>N280</f>
        <v>4582388</v>
      </c>
      <c r="O279" s="16">
        <f>O280</f>
        <v>4582388</v>
      </c>
      <c r="P279" s="50">
        <f>E279+J279</f>
        <v>18472616</v>
      </c>
    </row>
    <row r="280" spans="1:16" ht="60" hidden="1">
      <c r="A280" s="18" t="s">
        <v>567</v>
      </c>
      <c r="B280" s="38"/>
      <c r="C280" s="38"/>
      <c r="D280" s="26" t="s">
        <v>566</v>
      </c>
      <c r="E280" s="20">
        <f>F280+I280</f>
        <v>13890228</v>
      </c>
      <c r="F280" s="20">
        <f>F281+F283+F285+F287</f>
        <v>13890228</v>
      </c>
      <c r="G280" s="20">
        <f>G281+G283+G285+G287</f>
        <v>6525408</v>
      </c>
      <c r="H280" s="20">
        <f>H281+H283+H285+H287</f>
        <v>969504</v>
      </c>
      <c r="I280" s="20">
        <f>I281+I283+I285+I287</f>
        <v>0</v>
      </c>
      <c r="J280" s="20">
        <f>K280+N280</f>
        <v>4582388</v>
      </c>
      <c r="K280" s="20">
        <f>K281+K283+K285+K287</f>
        <v>0</v>
      </c>
      <c r="L280" s="20">
        <f>L281+L283+L285+L287</f>
        <v>0</v>
      </c>
      <c r="M280" s="20">
        <f>M281+M283+M285+M287</f>
        <v>0</v>
      </c>
      <c r="N280" s="20">
        <f>N281+N283+N285+N287</f>
        <v>4582388</v>
      </c>
      <c r="O280" s="20">
        <f>O281+O283+O285+O287</f>
        <v>4582388</v>
      </c>
      <c r="P280" s="20">
        <f>E280+J280</f>
        <v>18472616</v>
      </c>
    </row>
    <row r="281" spans="1:16" hidden="1">
      <c r="A281" s="28" t="s">
        <v>568</v>
      </c>
      <c r="B281" s="22" t="s">
        <v>21</v>
      </c>
      <c r="C281" s="22"/>
      <c r="D281" s="23" t="s">
        <v>22</v>
      </c>
      <c r="E281" s="20">
        <f t="shared" ref="E281:E318" si="43">F281+I281</f>
        <v>10294963</v>
      </c>
      <c r="F281" s="24">
        <f>F282</f>
        <v>10294963</v>
      </c>
      <c r="G281" s="24">
        <f>G282</f>
        <v>6525408</v>
      </c>
      <c r="H281" s="24">
        <f>H282</f>
        <v>969504</v>
      </c>
      <c r="I281" s="24">
        <f>I282</f>
        <v>0</v>
      </c>
      <c r="J281" s="20">
        <f t="shared" ref="J281:J318" si="44">K281+N281</f>
        <v>1911496</v>
      </c>
      <c r="K281" s="24">
        <f>K282</f>
        <v>0</v>
      </c>
      <c r="L281" s="24">
        <f>L282</f>
        <v>0</v>
      </c>
      <c r="M281" s="24">
        <f>M282</f>
        <v>0</v>
      </c>
      <c r="N281" s="24">
        <f>N282</f>
        <v>1911496</v>
      </c>
      <c r="O281" s="24">
        <f>O282</f>
        <v>1911496</v>
      </c>
      <c r="P281" s="20">
        <f t="shared" ref="P281:P318" si="45">E281+J281</f>
        <v>12206459</v>
      </c>
    </row>
    <row r="282" spans="1:16" ht="90" hidden="1">
      <c r="A282" s="25" t="s">
        <v>569</v>
      </c>
      <c r="B282" s="25" t="s">
        <v>116</v>
      </c>
      <c r="C282" s="25" t="s">
        <v>25</v>
      </c>
      <c r="D282" s="26" t="s">
        <v>570</v>
      </c>
      <c r="E282" s="20">
        <f t="shared" si="43"/>
        <v>10294963</v>
      </c>
      <c r="F282" s="27">
        <v>10294963</v>
      </c>
      <c r="G282" s="27">
        <v>6525408</v>
      </c>
      <c r="H282" s="27">
        <v>969504</v>
      </c>
      <c r="I282" s="27"/>
      <c r="J282" s="20">
        <f t="shared" si="44"/>
        <v>1911496</v>
      </c>
      <c r="K282" s="27"/>
      <c r="L282" s="27"/>
      <c r="M282" s="27"/>
      <c r="N282" s="27">
        <f>O282</f>
        <v>1911496</v>
      </c>
      <c r="O282" s="27">
        <v>1911496</v>
      </c>
      <c r="P282" s="20">
        <f t="shared" si="45"/>
        <v>12206459</v>
      </c>
    </row>
    <row r="283" spans="1:16" hidden="1">
      <c r="A283" s="28" t="s">
        <v>571</v>
      </c>
      <c r="B283" s="28" t="s">
        <v>41</v>
      </c>
      <c r="C283" s="28"/>
      <c r="D283" s="29" t="s">
        <v>336</v>
      </c>
      <c r="E283" s="20">
        <f t="shared" si="43"/>
        <v>0</v>
      </c>
      <c r="F283" s="30">
        <f>F284</f>
        <v>0</v>
      </c>
      <c r="G283" s="30">
        <f>G284</f>
        <v>0</v>
      </c>
      <c r="H283" s="30">
        <f>H284</f>
        <v>0</v>
      </c>
      <c r="I283" s="30">
        <f>I284</f>
        <v>0</v>
      </c>
      <c r="J283" s="20">
        <f t="shared" si="44"/>
        <v>2670892</v>
      </c>
      <c r="K283" s="30">
        <f>K284</f>
        <v>0</v>
      </c>
      <c r="L283" s="30">
        <f>L284</f>
        <v>0</v>
      </c>
      <c r="M283" s="30">
        <f>M284</f>
        <v>0</v>
      </c>
      <c r="N283" s="30">
        <f>N284</f>
        <v>2670892</v>
      </c>
      <c r="O283" s="30">
        <f>O284</f>
        <v>2670892</v>
      </c>
      <c r="P283" s="20">
        <f t="shared" si="45"/>
        <v>2670892</v>
      </c>
    </row>
    <row r="284" spans="1:16" ht="39" hidden="1">
      <c r="A284" s="115" t="s">
        <v>572</v>
      </c>
      <c r="B284" s="25" t="s">
        <v>44</v>
      </c>
      <c r="C284" s="25" t="s">
        <v>45</v>
      </c>
      <c r="D284" s="32" t="s">
        <v>46</v>
      </c>
      <c r="E284" s="20">
        <f t="shared" si="43"/>
        <v>0</v>
      </c>
      <c r="F284" s="27"/>
      <c r="G284" s="27"/>
      <c r="H284" s="27"/>
      <c r="I284" s="27"/>
      <c r="J284" s="20">
        <f t="shared" si="44"/>
        <v>2670892</v>
      </c>
      <c r="K284" s="27"/>
      <c r="L284" s="27"/>
      <c r="M284" s="27"/>
      <c r="N284" s="27">
        <f>O284</f>
        <v>2670892</v>
      </c>
      <c r="O284" s="27">
        <v>2670892</v>
      </c>
      <c r="P284" s="20">
        <f t="shared" si="45"/>
        <v>2670892</v>
      </c>
    </row>
    <row r="285" spans="1:16" ht="26.25" hidden="1">
      <c r="A285" s="28" t="s">
        <v>573</v>
      </c>
      <c r="B285" s="28" t="s">
        <v>52</v>
      </c>
      <c r="C285" s="28"/>
      <c r="D285" s="33" t="s">
        <v>53</v>
      </c>
      <c r="E285" s="20">
        <f t="shared" si="43"/>
        <v>680000</v>
      </c>
      <c r="F285" s="30">
        <f>F286</f>
        <v>680000</v>
      </c>
      <c r="G285" s="30">
        <f>G286</f>
        <v>0</v>
      </c>
      <c r="H285" s="30">
        <f>H286</f>
        <v>0</v>
      </c>
      <c r="I285" s="30">
        <f>I286</f>
        <v>0</v>
      </c>
      <c r="J285" s="20">
        <f t="shared" si="44"/>
        <v>0</v>
      </c>
      <c r="K285" s="30">
        <f>K286</f>
        <v>0</v>
      </c>
      <c r="L285" s="30">
        <f>L286</f>
        <v>0</v>
      </c>
      <c r="M285" s="30">
        <f>M286</f>
        <v>0</v>
      </c>
      <c r="N285" s="30">
        <f>N286</f>
        <v>0</v>
      </c>
      <c r="O285" s="30">
        <f>O286</f>
        <v>0</v>
      </c>
      <c r="P285" s="20">
        <f t="shared" si="45"/>
        <v>680000</v>
      </c>
    </row>
    <row r="286" spans="1:16" ht="26.25" hidden="1">
      <c r="A286" s="25" t="s">
        <v>574</v>
      </c>
      <c r="B286" s="25" t="s">
        <v>575</v>
      </c>
      <c r="C286" s="25" t="s">
        <v>206</v>
      </c>
      <c r="D286" s="32" t="s">
        <v>576</v>
      </c>
      <c r="E286" s="20">
        <f t="shared" si="43"/>
        <v>680000</v>
      </c>
      <c r="F286" s="27">
        <f>500000+80000+100000</f>
        <v>680000</v>
      </c>
      <c r="G286" s="27"/>
      <c r="H286" s="27"/>
      <c r="I286" s="27"/>
      <c r="J286" s="20">
        <f t="shared" si="44"/>
        <v>0</v>
      </c>
      <c r="K286" s="27"/>
      <c r="L286" s="27"/>
      <c r="M286" s="27"/>
      <c r="N286" s="27"/>
      <c r="O286" s="27"/>
      <c r="P286" s="20">
        <f t="shared" si="45"/>
        <v>680000</v>
      </c>
    </row>
    <row r="287" spans="1:16" ht="26.25" hidden="1">
      <c r="A287" s="28" t="s">
        <v>577</v>
      </c>
      <c r="B287" s="28" t="s">
        <v>58</v>
      </c>
      <c r="C287" s="28"/>
      <c r="D287" s="33" t="s">
        <v>59</v>
      </c>
      <c r="E287" s="20">
        <f t="shared" si="43"/>
        <v>2915265</v>
      </c>
      <c r="F287" s="30">
        <f>F288</f>
        <v>2915265</v>
      </c>
      <c r="G287" s="30">
        <f>G288</f>
        <v>0</v>
      </c>
      <c r="H287" s="30">
        <f>H288</f>
        <v>0</v>
      </c>
      <c r="I287" s="30">
        <f>I288</f>
        <v>0</v>
      </c>
      <c r="J287" s="20">
        <f t="shared" si="44"/>
        <v>0</v>
      </c>
      <c r="K287" s="30">
        <f>K288</f>
        <v>0</v>
      </c>
      <c r="L287" s="30">
        <f>L288</f>
        <v>0</v>
      </c>
      <c r="M287" s="30">
        <f>M288</f>
        <v>0</v>
      </c>
      <c r="N287" s="30">
        <f>N288</f>
        <v>0</v>
      </c>
      <c r="O287" s="30">
        <f>O288</f>
        <v>0</v>
      </c>
      <c r="P287" s="20">
        <f t="shared" si="45"/>
        <v>2915265</v>
      </c>
    </row>
    <row r="288" spans="1:16" hidden="1">
      <c r="A288" s="35" t="s">
        <v>578</v>
      </c>
      <c r="B288" s="35" t="s">
        <v>66</v>
      </c>
      <c r="C288" s="35"/>
      <c r="D288" s="36" t="s">
        <v>67</v>
      </c>
      <c r="E288" s="20">
        <f t="shared" si="43"/>
        <v>2915265</v>
      </c>
      <c r="F288" s="37">
        <f>F289+F290</f>
        <v>2915265</v>
      </c>
      <c r="G288" s="37">
        <f>G289+G290</f>
        <v>0</v>
      </c>
      <c r="H288" s="37">
        <f>H289+H290</f>
        <v>0</v>
      </c>
      <c r="I288" s="37">
        <f>I289+I290</f>
        <v>0</v>
      </c>
      <c r="J288" s="20">
        <f t="shared" si="44"/>
        <v>0</v>
      </c>
      <c r="K288" s="37">
        <f>K289+K290</f>
        <v>0</v>
      </c>
      <c r="L288" s="37">
        <f>L289+L290</f>
        <v>0</v>
      </c>
      <c r="M288" s="37">
        <f>M289+M290</f>
        <v>0</v>
      </c>
      <c r="N288" s="37">
        <f>N289+N290</f>
        <v>0</v>
      </c>
      <c r="O288" s="37">
        <f>O289+O290</f>
        <v>0</v>
      </c>
      <c r="P288" s="20">
        <f t="shared" si="45"/>
        <v>2915265</v>
      </c>
    </row>
    <row r="289" spans="1:16" ht="90" hidden="1">
      <c r="A289" s="25" t="s">
        <v>579</v>
      </c>
      <c r="B289" s="25" t="s">
        <v>85</v>
      </c>
      <c r="C289" s="25" t="s">
        <v>70</v>
      </c>
      <c r="D289" s="26" t="s">
        <v>580</v>
      </c>
      <c r="E289" s="20">
        <f t="shared" si="43"/>
        <v>699935</v>
      </c>
      <c r="F289" s="27">
        <v>699935</v>
      </c>
      <c r="G289" s="27"/>
      <c r="H289" s="27"/>
      <c r="I289" s="27"/>
      <c r="J289" s="20">
        <f t="shared" si="44"/>
        <v>0</v>
      </c>
      <c r="K289" s="27"/>
      <c r="L289" s="27"/>
      <c r="M289" s="27"/>
      <c r="N289" s="27"/>
      <c r="O289" s="27"/>
      <c r="P289" s="20">
        <f t="shared" si="45"/>
        <v>699935</v>
      </c>
    </row>
    <row r="290" spans="1:16" s="61" customFormat="1" ht="60" hidden="1">
      <c r="A290" s="80" t="s">
        <v>581</v>
      </c>
      <c r="B290" s="80" t="s">
        <v>73</v>
      </c>
      <c r="C290" s="80" t="s">
        <v>70</v>
      </c>
      <c r="D290" s="39" t="s">
        <v>74</v>
      </c>
      <c r="E290" s="20">
        <f t="shared" si="43"/>
        <v>2215330</v>
      </c>
      <c r="F290" s="60">
        <v>2215330</v>
      </c>
      <c r="G290" s="60"/>
      <c r="H290" s="60"/>
      <c r="I290" s="60"/>
      <c r="J290" s="20">
        <f t="shared" si="44"/>
        <v>0</v>
      </c>
      <c r="K290" s="60"/>
      <c r="L290" s="60"/>
      <c r="M290" s="60"/>
      <c r="N290" s="60"/>
      <c r="O290" s="60"/>
      <c r="P290" s="20">
        <f t="shared" si="45"/>
        <v>2215330</v>
      </c>
    </row>
    <row r="291" spans="1:16" ht="45" hidden="1">
      <c r="A291" s="14" t="s">
        <v>582</v>
      </c>
      <c r="B291" s="14" t="s">
        <v>583</v>
      </c>
      <c r="C291" s="14"/>
      <c r="D291" s="15" t="s">
        <v>584</v>
      </c>
      <c r="E291" s="16">
        <f t="shared" si="43"/>
        <v>18337171</v>
      </c>
      <c r="F291" s="16">
        <f>F292</f>
        <v>18337171</v>
      </c>
      <c r="G291" s="16">
        <f t="shared" ref="G291:I293" si="46">G292</f>
        <v>13126262</v>
      </c>
      <c r="H291" s="16">
        <f t="shared" si="46"/>
        <v>544687</v>
      </c>
      <c r="I291" s="16">
        <f t="shared" si="46"/>
        <v>0</v>
      </c>
      <c r="J291" s="16">
        <f t="shared" si="44"/>
        <v>1500000</v>
      </c>
      <c r="K291" s="16">
        <f t="shared" ref="K291:O293" si="47">K292</f>
        <v>0</v>
      </c>
      <c r="L291" s="16">
        <f t="shared" si="47"/>
        <v>0</v>
      </c>
      <c r="M291" s="16">
        <f t="shared" si="47"/>
        <v>0</v>
      </c>
      <c r="N291" s="16">
        <f t="shared" si="47"/>
        <v>1500000</v>
      </c>
      <c r="O291" s="16">
        <f t="shared" si="47"/>
        <v>1500000</v>
      </c>
      <c r="P291" s="50">
        <f t="shared" si="45"/>
        <v>19837171</v>
      </c>
    </row>
    <row r="292" spans="1:16" ht="45" hidden="1">
      <c r="A292" s="18" t="s">
        <v>585</v>
      </c>
      <c r="B292" s="38"/>
      <c r="C292" s="38"/>
      <c r="D292" s="19" t="s">
        <v>584</v>
      </c>
      <c r="E292" s="20">
        <f t="shared" si="43"/>
        <v>18337171</v>
      </c>
      <c r="F292" s="20">
        <f>F293</f>
        <v>18337171</v>
      </c>
      <c r="G292" s="20">
        <f t="shared" si="46"/>
        <v>13126262</v>
      </c>
      <c r="H292" s="20">
        <f t="shared" si="46"/>
        <v>544687</v>
      </c>
      <c r="I292" s="20">
        <f t="shared" si="46"/>
        <v>0</v>
      </c>
      <c r="J292" s="20">
        <f t="shared" si="44"/>
        <v>1500000</v>
      </c>
      <c r="K292" s="20">
        <f t="shared" si="47"/>
        <v>0</v>
      </c>
      <c r="L292" s="20">
        <f t="shared" si="47"/>
        <v>0</v>
      </c>
      <c r="M292" s="20">
        <f t="shared" si="47"/>
        <v>0</v>
      </c>
      <c r="N292" s="20">
        <f t="shared" si="47"/>
        <v>1500000</v>
      </c>
      <c r="O292" s="20">
        <f t="shared" si="47"/>
        <v>1500000</v>
      </c>
      <c r="P292" s="20">
        <f t="shared" si="45"/>
        <v>19837171</v>
      </c>
    </row>
    <row r="293" spans="1:16" hidden="1">
      <c r="A293" s="28" t="s">
        <v>586</v>
      </c>
      <c r="B293" s="22" t="s">
        <v>21</v>
      </c>
      <c r="C293" s="22"/>
      <c r="D293" s="23" t="s">
        <v>22</v>
      </c>
      <c r="E293" s="20">
        <f t="shared" si="43"/>
        <v>18337171</v>
      </c>
      <c r="F293" s="24">
        <f>F294</f>
        <v>18337171</v>
      </c>
      <c r="G293" s="24">
        <f t="shared" si="46"/>
        <v>13126262</v>
      </c>
      <c r="H293" s="24">
        <f t="shared" si="46"/>
        <v>544687</v>
      </c>
      <c r="I293" s="24">
        <f t="shared" si="46"/>
        <v>0</v>
      </c>
      <c r="J293" s="20">
        <f t="shared" si="44"/>
        <v>1500000</v>
      </c>
      <c r="K293" s="24">
        <f t="shared" si="47"/>
        <v>0</v>
      </c>
      <c r="L293" s="24">
        <f t="shared" si="47"/>
        <v>0</v>
      </c>
      <c r="M293" s="24">
        <f t="shared" si="47"/>
        <v>0</v>
      </c>
      <c r="N293" s="24">
        <f t="shared" si="47"/>
        <v>1500000</v>
      </c>
      <c r="O293" s="24">
        <f t="shared" si="47"/>
        <v>1500000</v>
      </c>
      <c r="P293" s="20">
        <f t="shared" si="45"/>
        <v>19837171</v>
      </c>
    </row>
    <row r="294" spans="1:16" ht="90" hidden="1">
      <c r="A294" s="25" t="s">
        <v>587</v>
      </c>
      <c r="B294" s="25" t="s">
        <v>116</v>
      </c>
      <c r="C294" s="25" t="s">
        <v>25</v>
      </c>
      <c r="D294" s="26" t="s">
        <v>588</v>
      </c>
      <c r="E294" s="20">
        <f t="shared" si="43"/>
        <v>18337171</v>
      </c>
      <c r="F294" s="27">
        <v>18337171</v>
      </c>
      <c r="G294" s="27">
        <v>13126262</v>
      </c>
      <c r="H294" s="27">
        <v>544687</v>
      </c>
      <c r="I294" s="27"/>
      <c r="J294" s="20">
        <f t="shared" si="44"/>
        <v>1500000</v>
      </c>
      <c r="K294" s="27"/>
      <c r="L294" s="27"/>
      <c r="M294" s="27"/>
      <c r="N294" s="27">
        <f>O294</f>
        <v>1500000</v>
      </c>
      <c r="O294" s="27">
        <v>1500000</v>
      </c>
      <c r="P294" s="20">
        <f t="shared" si="45"/>
        <v>19837171</v>
      </c>
    </row>
    <row r="295" spans="1:16" ht="60" hidden="1">
      <c r="A295" s="116" t="s">
        <v>589</v>
      </c>
      <c r="B295" s="14" t="s">
        <v>590</v>
      </c>
      <c r="C295" s="116"/>
      <c r="D295" s="15" t="s">
        <v>591</v>
      </c>
      <c r="E295" s="117">
        <f t="shared" si="43"/>
        <v>401823548</v>
      </c>
      <c r="F295" s="117">
        <f>F296</f>
        <v>401823548</v>
      </c>
      <c r="G295" s="117">
        <f>G296</f>
        <v>3386342</v>
      </c>
      <c r="H295" s="117">
        <f>H296</f>
        <v>197084</v>
      </c>
      <c r="I295" s="117">
        <f>I296</f>
        <v>0</v>
      </c>
      <c r="J295" s="117">
        <f t="shared" si="44"/>
        <v>585982563</v>
      </c>
      <c r="K295" s="117">
        <f>K296</f>
        <v>0</v>
      </c>
      <c r="L295" s="117">
        <f>L296</f>
        <v>0</v>
      </c>
      <c r="M295" s="117">
        <f>M296</f>
        <v>0</v>
      </c>
      <c r="N295" s="117">
        <f>N296</f>
        <v>585982563</v>
      </c>
      <c r="O295" s="117">
        <f>O296</f>
        <v>585982563</v>
      </c>
      <c r="P295" s="117">
        <f t="shared" si="45"/>
        <v>987806111</v>
      </c>
    </row>
    <row r="296" spans="1:16" ht="60" hidden="1">
      <c r="A296" s="18" t="s">
        <v>592</v>
      </c>
      <c r="B296" s="38"/>
      <c r="C296" s="38"/>
      <c r="D296" s="39" t="s">
        <v>593</v>
      </c>
      <c r="E296" s="27">
        <f t="shared" si="43"/>
        <v>401823548</v>
      </c>
      <c r="F296" s="27">
        <f>F297+F299+F306+F311+F319+F313+F310</f>
        <v>401823548</v>
      </c>
      <c r="G296" s="27">
        <f>G297+G299+G306+G311+G319+G313+G310</f>
        <v>3386342</v>
      </c>
      <c r="H296" s="27">
        <f>H297+H299+H306+H311+H319+H313+H310</f>
        <v>197084</v>
      </c>
      <c r="I296" s="27">
        <f>I297+I299+I306+I311+I319+I313+I310</f>
        <v>0</v>
      </c>
      <c r="J296" s="27">
        <f t="shared" si="44"/>
        <v>585982563</v>
      </c>
      <c r="K296" s="27">
        <f>K297+K299+K306+K311+K319+K313+K310</f>
        <v>0</v>
      </c>
      <c r="L296" s="27">
        <f>L297+L299+L306+L311+L319+L313+L310</f>
        <v>0</v>
      </c>
      <c r="M296" s="27">
        <f>M297+M299+M306+M311+M319+M313+M310</f>
        <v>0</v>
      </c>
      <c r="N296" s="27">
        <f>N297+N299+N306+N311+N319+N313+N310</f>
        <v>585982563</v>
      </c>
      <c r="O296" s="27">
        <f>O297+O299+O306+O311+O319+O313+O310</f>
        <v>585982563</v>
      </c>
      <c r="P296" s="27">
        <f t="shared" si="45"/>
        <v>987806111</v>
      </c>
    </row>
    <row r="297" spans="1:16" hidden="1">
      <c r="A297" s="28" t="s">
        <v>594</v>
      </c>
      <c r="B297" s="22" t="s">
        <v>21</v>
      </c>
      <c r="C297" s="22"/>
      <c r="D297" s="71" t="s">
        <v>22</v>
      </c>
      <c r="E297" s="27">
        <f t="shared" si="43"/>
        <v>4984683</v>
      </c>
      <c r="F297" s="30">
        <f>F298</f>
        <v>4984683</v>
      </c>
      <c r="G297" s="30">
        <f>G298</f>
        <v>3386342</v>
      </c>
      <c r="H297" s="30">
        <f>H298</f>
        <v>197084</v>
      </c>
      <c r="I297" s="30">
        <f>I298</f>
        <v>0</v>
      </c>
      <c r="J297" s="27">
        <f t="shared" si="44"/>
        <v>291890</v>
      </c>
      <c r="K297" s="30">
        <f>K298</f>
        <v>0</v>
      </c>
      <c r="L297" s="30">
        <f>L298</f>
        <v>0</v>
      </c>
      <c r="M297" s="30">
        <f>M298</f>
        <v>0</v>
      </c>
      <c r="N297" s="30">
        <f>N298</f>
        <v>291890</v>
      </c>
      <c r="O297" s="30">
        <f>O298</f>
        <v>291890</v>
      </c>
      <c r="P297" s="27">
        <f t="shared" si="45"/>
        <v>5276573</v>
      </c>
    </row>
    <row r="298" spans="1:16" ht="45" hidden="1">
      <c r="A298" s="25" t="s">
        <v>595</v>
      </c>
      <c r="B298" s="25" t="s">
        <v>116</v>
      </c>
      <c r="C298" s="25" t="s">
        <v>25</v>
      </c>
      <c r="D298" s="26" t="s">
        <v>596</v>
      </c>
      <c r="E298" s="27">
        <f t="shared" si="43"/>
        <v>4984683</v>
      </c>
      <c r="F298" s="27">
        <f>4622209+(362474)</f>
        <v>4984683</v>
      </c>
      <c r="G298" s="27">
        <v>3386342</v>
      </c>
      <c r="H298" s="27">
        <v>197084</v>
      </c>
      <c r="I298" s="27"/>
      <c r="J298" s="27">
        <f t="shared" si="44"/>
        <v>291890</v>
      </c>
      <c r="K298" s="27"/>
      <c r="L298" s="27"/>
      <c r="M298" s="27"/>
      <c r="N298" s="27">
        <f>O298</f>
        <v>291890</v>
      </c>
      <c r="O298" s="27">
        <v>291890</v>
      </c>
      <c r="P298" s="27">
        <f t="shared" si="45"/>
        <v>5276573</v>
      </c>
    </row>
    <row r="299" spans="1:16" ht="26.25" hidden="1">
      <c r="A299" s="28" t="s">
        <v>597</v>
      </c>
      <c r="B299" s="28" t="s">
        <v>598</v>
      </c>
      <c r="C299" s="28"/>
      <c r="D299" s="23" t="s">
        <v>599</v>
      </c>
      <c r="E299" s="27">
        <f t="shared" si="43"/>
        <v>19256230</v>
      </c>
      <c r="F299" s="30">
        <f>F300+F301+F304+F305</f>
        <v>19256230</v>
      </c>
      <c r="G299" s="30">
        <f>G300+G301+G304+G305</f>
        <v>0</v>
      </c>
      <c r="H299" s="30">
        <f>H300+H301+H304+H305</f>
        <v>0</v>
      </c>
      <c r="I299" s="30">
        <f>I300+I301+I304+I305</f>
        <v>0</v>
      </c>
      <c r="J299" s="27">
        <f t="shared" si="44"/>
        <v>504402963</v>
      </c>
      <c r="K299" s="30">
        <f>K300+K301+K304+K305</f>
        <v>0</v>
      </c>
      <c r="L299" s="30">
        <f>L300+L301+L304+L305</f>
        <v>0</v>
      </c>
      <c r="M299" s="30">
        <f>M300+M301+M304+M305</f>
        <v>0</v>
      </c>
      <c r="N299" s="30">
        <f>N300+N301+N304+N305</f>
        <v>504402963</v>
      </c>
      <c r="O299" s="30">
        <f>O300+O301+O304+O305</f>
        <v>504402963</v>
      </c>
      <c r="P299" s="27">
        <f t="shared" si="45"/>
        <v>523659193</v>
      </c>
    </row>
    <row r="300" spans="1:16" ht="64.5" hidden="1">
      <c r="A300" s="28" t="s">
        <v>600</v>
      </c>
      <c r="B300" s="28" t="s">
        <v>601</v>
      </c>
      <c r="C300" s="28" t="s">
        <v>602</v>
      </c>
      <c r="D300" s="29" t="s">
        <v>603</v>
      </c>
      <c r="E300" s="27">
        <f t="shared" si="43"/>
        <v>19256230</v>
      </c>
      <c r="F300" s="30">
        <f>11559091+33000000+10000000-302861-25000000-10000000</f>
        <v>19256230</v>
      </c>
      <c r="G300" s="30"/>
      <c r="H300" s="30"/>
      <c r="I300" s="30"/>
      <c r="J300" s="27">
        <f t="shared" si="44"/>
        <v>0</v>
      </c>
      <c r="K300" s="30"/>
      <c r="L300" s="30"/>
      <c r="M300" s="30"/>
      <c r="N300" s="30"/>
      <c r="O300" s="30"/>
      <c r="P300" s="27">
        <f t="shared" si="45"/>
        <v>19256230</v>
      </c>
    </row>
    <row r="301" spans="1:16" ht="26.25" hidden="1">
      <c r="A301" s="28" t="s">
        <v>604</v>
      </c>
      <c r="B301" s="28" t="s">
        <v>605</v>
      </c>
      <c r="C301" s="28"/>
      <c r="D301" s="29" t="s">
        <v>606</v>
      </c>
      <c r="E301" s="27">
        <f t="shared" si="43"/>
        <v>0</v>
      </c>
      <c r="F301" s="30">
        <f>F302+F303</f>
        <v>0</v>
      </c>
      <c r="G301" s="30">
        <f>G302+G303</f>
        <v>0</v>
      </c>
      <c r="H301" s="30">
        <f>H302+H303</f>
        <v>0</v>
      </c>
      <c r="I301" s="30">
        <f>I302+I303</f>
        <v>0</v>
      </c>
      <c r="J301" s="27">
        <f t="shared" si="44"/>
        <v>495866506</v>
      </c>
      <c r="K301" s="30">
        <f>K302+K303</f>
        <v>0</v>
      </c>
      <c r="L301" s="30">
        <f>L302+L303</f>
        <v>0</v>
      </c>
      <c r="M301" s="30">
        <f>M302+M303</f>
        <v>0</v>
      </c>
      <c r="N301" s="30">
        <f>N302+N303</f>
        <v>495866506</v>
      </c>
      <c r="O301" s="30">
        <f>O302+O303</f>
        <v>495866506</v>
      </c>
      <c r="P301" s="27">
        <f t="shared" si="45"/>
        <v>495866506</v>
      </c>
    </row>
    <row r="302" spans="1:16" ht="30" hidden="1">
      <c r="A302" s="25" t="s">
        <v>607</v>
      </c>
      <c r="B302" s="25" t="s">
        <v>608</v>
      </c>
      <c r="C302" s="25" t="s">
        <v>602</v>
      </c>
      <c r="D302" s="31" t="s">
        <v>609</v>
      </c>
      <c r="E302" s="27">
        <f t="shared" si="43"/>
        <v>0</v>
      </c>
      <c r="F302" s="27"/>
      <c r="G302" s="27"/>
      <c r="H302" s="27"/>
      <c r="I302" s="27"/>
      <c r="J302" s="27">
        <f t="shared" si="44"/>
        <v>405866506</v>
      </c>
      <c r="K302" s="27"/>
      <c r="L302" s="27"/>
      <c r="M302" s="27"/>
      <c r="N302" s="27">
        <f>O302</f>
        <v>405866506</v>
      </c>
      <c r="O302" s="27">
        <f>445000000-33000000-15000000+25000000-8536457+((402963))-8000000</f>
        <v>405866506</v>
      </c>
      <c r="P302" s="27">
        <f t="shared" si="45"/>
        <v>405866506</v>
      </c>
    </row>
    <row r="303" spans="1:16" ht="60" hidden="1">
      <c r="A303" s="25" t="s">
        <v>610</v>
      </c>
      <c r="B303" s="25" t="s">
        <v>611</v>
      </c>
      <c r="C303" s="25" t="s">
        <v>602</v>
      </c>
      <c r="D303" s="31" t="s">
        <v>612</v>
      </c>
      <c r="E303" s="27">
        <f>F303+I303</f>
        <v>0</v>
      </c>
      <c r="F303" s="27"/>
      <c r="G303" s="27"/>
      <c r="H303" s="27"/>
      <c r="I303" s="27"/>
      <c r="J303" s="27">
        <f>K303+N303</f>
        <v>90000000</v>
      </c>
      <c r="K303" s="27"/>
      <c r="L303" s="27"/>
      <c r="M303" s="27"/>
      <c r="N303" s="27">
        <f>O303</f>
        <v>90000000</v>
      </c>
      <c r="O303" s="27">
        <f>32000000+28000000+30000000</f>
        <v>90000000</v>
      </c>
      <c r="P303" s="27">
        <f>E303+J303</f>
        <v>90000000</v>
      </c>
    </row>
    <row r="304" spans="1:16" ht="39" hidden="1">
      <c r="A304" s="28" t="s">
        <v>613</v>
      </c>
      <c r="B304" s="28" t="s">
        <v>614</v>
      </c>
      <c r="C304" s="28" t="s">
        <v>602</v>
      </c>
      <c r="D304" s="33" t="s">
        <v>615</v>
      </c>
      <c r="E304" s="27">
        <f t="shared" si="43"/>
        <v>0</v>
      </c>
      <c r="F304" s="30"/>
      <c r="G304" s="30"/>
      <c r="H304" s="30"/>
      <c r="I304" s="30"/>
      <c r="J304" s="27">
        <f t="shared" si="44"/>
        <v>0</v>
      </c>
      <c r="K304" s="30"/>
      <c r="L304" s="30"/>
      <c r="M304" s="30"/>
      <c r="N304" s="30"/>
      <c r="O304" s="30"/>
      <c r="P304" s="27">
        <f t="shared" si="45"/>
        <v>0</v>
      </c>
    </row>
    <row r="305" spans="1:16" ht="51.75" hidden="1">
      <c r="A305" s="28" t="s">
        <v>616</v>
      </c>
      <c r="B305" s="28" t="s">
        <v>617</v>
      </c>
      <c r="C305" s="28" t="s">
        <v>618</v>
      </c>
      <c r="D305" s="33" t="s">
        <v>619</v>
      </c>
      <c r="E305" s="27">
        <f>F305+I305</f>
        <v>0</v>
      </c>
      <c r="F305" s="30"/>
      <c r="G305" s="30"/>
      <c r="H305" s="30"/>
      <c r="I305" s="30"/>
      <c r="J305" s="27">
        <f>K305+N305</f>
        <v>8536457</v>
      </c>
      <c r="K305" s="30"/>
      <c r="L305" s="30"/>
      <c r="M305" s="30"/>
      <c r="N305" s="30">
        <f>O305</f>
        <v>8536457</v>
      </c>
      <c r="O305" s="30">
        <v>8536457</v>
      </c>
      <c r="P305" s="27">
        <f>E305+J305</f>
        <v>8536457</v>
      </c>
    </row>
    <row r="306" spans="1:16" hidden="1">
      <c r="A306" s="28" t="s">
        <v>620</v>
      </c>
      <c r="B306" s="28" t="s">
        <v>41</v>
      </c>
      <c r="C306" s="28"/>
      <c r="D306" s="33" t="s">
        <v>336</v>
      </c>
      <c r="E306" s="27">
        <f t="shared" si="43"/>
        <v>0</v>
      </c>
      <c r="F306" s="30">
        <f>F307+F308</f>
        <v>0</v>
      </c>
      <c r="G306" s="30">
        <f>G307+G308</f>
        <v>0</v>
      </c>
      <c r="H306" s="30">
        <f>H307+H308</f>
        <v>0</v>
      </c>
      <c r="I306" s="30">
        <f>I307+I308</f>
        <v>0</v>
      </c>
      <c r="J306" s="27">
        <f t="shared" si="44"/>
        <v>60632283</v>
      </c>
      <c r="K306" s="30">
        <f>K307+K308</f>
        <v>0</v>
      </c>
      <c r="L306" s="30">
        <f>L307+L308</f>
        <v>0</v>
      </c>
      <c r="M306" s="30">
        <f>M307+M308</f>
        <v>0</v>
      </c>
      <c r="N306" s="30">
        <f>N307+N308</f>
        <v>60632283</v>
      </c>
      <c r="O306" s="30">
        <f>O307+O308</f>
        <v>60632283</v>
      </c>
      <c r="P306" s="27">
        <f t="shared" si="45"/>
        <v>60632283</v>
      </c>
    </row>
    <row r="307" spans="1:16" ht="45" hidden="1">
      <c r="A307" s="25" t="s">
        <v>621</v>
      </c>
      <c r="B307" s="25" t="s">
        <v>44</v>
      </c>
      <c r="C307" s="25" t="s">
        <v>45</v>
      </c>
      <c r="D307" s="31" t="s">
        <v>46</v>
      </c>
      <c r="E307" s="27">
        <f t="shared" si="43"/>
        <v>0</v>
      </c>
      <c r="F307" s="27"/>
      <c r="G307" s="27"/>
      <c r="H307" s="27"/>
      <c r="I307" s="27"/>
      <c r="J307" s="27">
        <f t="shared" si="44"/>
        <v>60632283</v>
      </c>
      <c r="K307" s="27"/>
      <c r="L307" s="27"/>
      <c r="M307" s="27"/>
      <c r="N307" s="27">
        <f>O307</f>
        <v>60632283</v>
      </c>
      <c r="O307" s="27">
        <v>60632283</v>
      </c>
      <c r="P307" s="27">
        <f t="shared" si="45"/>
        <v>60632283</v>
      </c>
    </row>
    <row r="308" spans="1:16" ht="26.25" hidden="1">
      <c r="A308" s="28" t="s">
        <v>622</v>
      </c>
      <c r="B308" s="28" t="s">
        <v>623</v>
      </c>
      <c r="C308" s="28"/>
      <c r="D308" s="33" t="s">
        <v>624</v>
      </c>
      <c r="E308" s="27"/>
      <c r="F308" s="30">
        <f>F309</f>
        <v>0</v>
      </c>
      <c r="G308" s="30">
        <f>G309</f>
        <v>0</v>
      </c>
      <c r="H308" s="30">
        <f>H309</f>
        <v>0</v>
      </c>
      <c r="I308" s="30">
        <f>I309</f>
        <v>0</v>
      </c>
      <c r="J308" s="27"/>
      <c r="K308" s="30">
        <f>K309</f>
        <v>0</v>
      </c>
      <c r="L308" s="30">
        <f>L309</f>
        <v>0</v>
      </c>
      <c r="M308" s="30">
        <f>M309</f>
        <v>0</v>
      </c>
      <c r="N308" s="30">
        <f>N309</f>
        <v>0</v>
      </c>
      <c r="O308" s="30">
        <f>O309</f>
        <v>0</v>
      </c>
      <c r="P308" s="27"/>
    </row>
    <row r="309" spans="1:16" ht="45" hidden="1">
      <c r="A309" s="25" t="s">
        <v>625</v>
      </c>
      <c r="B309" s="25" t="s">
        <v>626</v>
      </c>
      <c r="C309" s="25" t="s">
        <v>49</v>
      </c>
      <c r="D309" s="31" t="s">
        <v>627</v>
      </c>
      <c r="E309" s="27">
        <f t="shared" si="43"/>
        <v>0</v>
      </c>
      <c r="F309" s="27"/>
      <c r="G309" s="27"/>
      <c r="H309" s="27"/>
      <c r="I309" s="27"/>
      <c r="J309" s="27">
        <f t="shared" si="44"/>
        <v>0</v>
      </c>
      <c r="K309" s="27"/>
      <c r="L309" s="27"/>
      <c r="M309" s="27"/>
      <c r="N309" s="27"/>
      <c r="O309" s="27"/>
      <c r="P309" s="27">
        <f t="shared" si="45"/>
        <v>0</v>
      </c>
    </row>
    <row r="310" spans="1:16" ht="105" hidden="1">
      <c r="A310" s="25" t="s">
        <v>628</v>
      </c>
      <c r="B310" s="25" t="s">
        <v>629</v>
      </c>
      <c r="C310" s="25" t="s">
        <v>618</v>
      </c>
      <c r="D310" s="26" t="s">
        <v>630</v>
      </c>
      <c r="E310" s="27">
        <f t="shared" si="43"/>
        <v>0</v>
      </c>
      <c r="F310" s="27"/>
      <c r="G310" s="27"/>
      <c r="H310" s="27"/>
      <c r="I310" s="27"/>
      <c r="J310" s="27">
        <f t="shared" si="44"/>
        <v>1000000</v>
      </c>
      <c r="K310" s="27"/>
      <c r="L310" s="27"/>
      <c r="M310" s="27"/>
      <c r="N310" s="27">
        <f>O310</f>
        <v>1000000</v>
      </c>
      <c r="O310" s="27">
        <v>1000000</v>
      </c>
      <c r="P310" s="27">
        <f t="shared" si="45"/>
        <v>1000000</v>
      </c>
    </row>
    <row r="311" spans="1:16" ht="26.25" hidden="1">
      <c r="A311" s="28" t="s">
        <v>631</v>
      </c>
      <c r="B311" s="28" t="s">
        <v>52</v>
      </c>
      <c r="C311" s="28"/>
      <c r="D311" s="33" t="s">
        <v>53</v>
      </c>
      <c r="E311" s="27">
        <f t="shared" si="43"/>
        <v>0</v>
      </c>
      <c r="F311" s="27">
        <f>F312</f>
        <v>0</v>
      </c>
      <c r="G311" s="27">
        <f>G312</f>
        <v>0</v>
      </c>
      <c r="H311" s="27">
        <f>H312</f>
        <v>0</v>
      </c>
      <c r="I311" s="27">
        <f>I312</f>
        <v>0</v>
      </c>
      <c r="J311" s="27">
        <f t="shared" si="44"/>
        <v>19655427</v>
      </c>
      <c r="K311" s="27">
        <f>K312</f>
        <v>0</v>
      </c>
      <c r="L311" s="27">
        <f>L312</f>
        <v>0</v>
      </c>
      <c r="M311" s="27">
        <f>M312</f>
        <v>0</v>
      </c>
      <c r="N311" s="27">
        <f>N312</f>
        <v>19655427</v>
      </c>
      <c r="O311" s="27">
        <f>O312</f>
        <v>19655427</v>
      </c>
      <c r="P311" s="27">
        <f t="shared" si="45"/>
        <v>19655427</v>
      </c>
    </row>
    <row r="312" spans="1:16" ht="45" hidden="1">
      <c r="A312" s="25" t="s">
        <v>632</v>
      </c>
      <c r="B312" s="25" t="s">
        <v>55</v>
      </c>
      <c r="C312" s="25" t="s">
        <v>45</v>
      </c>
      <c r="D312" s="31" t="s">
        <v>56</v>
      </c>
      <c r="E312" s="27">
        <f t="shared" si="43"/>
        <v>0</v>
      </c>
      <c r="F312" s="27"/>
      <c r="G312" s="27"/>
      <c r="H312" s="27"/>
      <c r="I312" s="27"/>
      <c r="J312" s="27">
        <f t="shared" si="44"/>
        <v>19655427</v>
      </c>
      <c r="K312" s="27"/>
      <c r="L312" s="27"/>
      <c r="M312" s="27"/>
      <c r="N312" s="27">
        <f>O312</f>
        <v>19655427</v>
      </c>
      <c r="O312" s="27">
        <f>59800427-15015228-22752827-2376945</f>
        <v>19655427</v>
      </c>
      <c r="P312" s="27">
        <f t="shared" si="45"/>
        <v>19655427</v>
      </c>
    </row>
    <row r="313" spans="1:16" ht="26.25" hidden="1">
      <c r="A313" s="28" t="s">
        <v>633</v>
      </c>
      <c r="B313" s="28" t="s">
        <v>58</v>
      </c>
      <c r="C313" s="28"/>
      <c r="D313" s="33" t="s">
        <v>59</v>
      </c>
      <c r="E313" s="27">
        <f t="shared" si="43"/>
        <v>377582635</v>
      </c>
      <c r="F313" s="30">
        <f>F314</f>
        <v>377582635</v>
      </c>
      <c r="G313" s="30">
        <f>G314</f>
        <v>0</v>
      </c>
      <c r="H313" s="30">
        <f>H314</f>
        <v>0</v>
      </c>
      <c r="I313" s="30">
        <f>I314</f>
        <v>0</v>
      </c>
      <c r="J313" s="27">
        <f t="shared" si="44"/>
        <v>0</v>
      </c>
      <c r="K313" s="30">
        <f>K314</f>
        <v>0</v>
      </c>
      <c r="L313" s="30">
        <f>L314</f>
        <v>0</v>
      </c>
      <c r="M313" s="30">
        <f>M314</f>
        <v>0</v>
      </c>
      <c r="N313" s="30">
        <f>N314</f>
        <v>0</v>
      </c>
      <c r="O313" s="30">
        <f>O314</f>
        <v>0</v>
      </c>
      <c r="P313" s="27">
        <f t="shared" si="45"/>
        <v>377582635</v>
      </c>
    </row>
    <row r="314" spans="1:16" hidden="1">
      <c r="A314" s="35" t="s">
        <v>634</v>
      </c>
      <c r="B314" s="35" t="s">
        <v>66</v>
      </c>
      <c r="C314" s="35"/>
      <c r="D314" s="36" t="s">
        <v>67</v>
      </c>
      <c r="E314" s="27">
        <f>F314+I314</f>
        <v>377582635</v>
      </c>
      <c r="F314" s="37">
        <f>F315+F318</f>
        <v>377582635</v>
      </c>
      <c r="G314" s="37">
        <f>G315+G318</f>
        <v>0</v>
      </c>
      <c r="H314" s="37">
        <f>H315+H318</f>
        <v>0</v>
      </c>
      <c r="I314" s="37">
        <f>I315+I318</f>
        <v>0</v>
      </c>
      <c r="J314" s="27">
        <f t="shared" si="44"/>
        <v>0</v>
      </c>
      <c r="K314" s="37">
        <f>K315+K318</f>
        <v>0</v>
      </c>
      <c r="L314" s="37">
        <f>L315+L318</f>
        <v>0</v>
      </c>
      <c r="M314" s="37">
        <f>M315+M318</f>
        <v>0</v>
      </c>
      <c r="N314" s="37">
        <f>N315+N318</f>
        <v>0</v>
      </c>
      <c r="O314" s="37">
        <f>O315+O318</f>
        <v>0</v>
      </c>
      <c r="P314" s="27">
        <f t="shared" si="45"/>
        <v>377582635</v>
      </c>
    </row>
    <row r="315" spans="1:16" s="118" customFormat="1" ht="60" hidden="1">
      <c r="A315" s="18" t="s">
        <v>635</v>
      </c>
      <c r="B315" s="18" t="s">
        <v>73</v>
      </c>
      <c r="C315" s="18" t="s">
        <v>70</v>
      </c>
      <c r="D315" s="39" t="s">
        <v>74</v>
      </c>
      <c r="E315" s="27">
        <f t="shared" si="43"/>
        <v>377207232</v>
      </c>
      <c r="F315" s="20">
        <f>400000000+29607232-22400000-30000000</f>
        <v>377207232</v>
      </c>
      <c r="G315" s="20"/>
      <c r="H315" s="20"/>
      <c r="I315" s="20"/>
      <c r="J315" s="27">
        <f t="shared" si="44"/>
        <v>0</v>
      </c>
      <c r="K315" s="20"/>
      <c r="L315" s="20"/>
      <c r="M315" s="20"/>
      <c r="N315" s="20"/>
      <c r="O315" s="20"/>
      <c r="P315" s="27">
        <f t="shared" si="45"/>
        <v>377207232</v>
      </c>
    </row>
    <row r="316" spans="1:16" s="118" customFormat="1" ht="60" hidden="1">
      <c r="A316" s="18"/>
      <c r="B316" s="18"/>
      <c r="C316" s="18"/>
      <c r="D316" s="39" t="s">
        <v>636</v>
      </c>
      <c r="E316" s="27">
        <f t="shared" si="43"/>
        <v>400000000</v>
      </c>
      <c r="F316" s="20">
        <v>400000000</v>
      </c>
      <c r="G316" s="20"/>
      <c r="H316" s="20"/>
      <c r="I316" s="20"/>
      <c r="J316" s="27"/>
      <c r="K316" s="20"/>
      <c r="L316" s="20"/>
      <c r="M316" s="20"/>
      <c r="N316" s="20"/>
      <c r="O316" s="20"/>
      <c r="P316" s="27"/>
    </row>
    <row r="317" spans="1:16" s="118" customFormat="1" hidden="1">
      <c r="A317" s="18"/>
      <c r="B317" s="18"/>
      <c r="C317" s="18"/>
      <c r="D317" s="39" t="s">
        <v>637</v>
      </c>
      <c r="E317" s="27">
        <f t="shared" si="43"/>
        <v>29607232</v>
      </c>
      <c r="F317" s="20">
        <v>29607232</v>
      </c>
      <c r="G317" s="20"/>
      <c r="H317" s="20"/>
      <c r="I317" s="20"/>
      <c r="J317" s="27"/>
      <c r="K317" s="20"/>
      <c r="L317" s="20"/>
      <c r="M317" s="20"/>
      <c r="N317" s="20"/>
      <c r="O317" s="20"/>
      <c r="P317" s="27"/>
    </row>
    <row r="318" spans="1:16" ht="75" hidden="1">
      <c r="A318" s="25" t="s">
        <v>638</v>
      </c>
      <c r="B318" s="25" t="s">
        <v>82</v>
      </c>
      <c r="C318" s="80" t="s">
        <v>70</v>
      </c>
      <c r="D318" s="31" t="s">
        <v>639</v>
      </c>
      <c r="E318" s="27">
        <f t="shared" si="43"/>
        <v>375403</v>
      </c>
      <c r="F318" s="27">
        <v>375403</v>
      </c>
      <c r="G318" s="27"/>
      <c r="H318" s="27"/>
      <c r="I318" s="27"/>
      <c r="J318" s="27">
        <f t="shared" si="44"/>
        <v>0</v>
      </c>
      <c r="K318" s="27"/>
      <c r="L318" s="27"/>
      <c r="M318" s="27"/>
      <c r="N318" s="27"/>
      <c r="O318" s="27"/>
      <c r="P318" s="27">
        <f t="shared" si="45"/>
        <v>375403</v>
      </c>
    </row>
    <row r="319" spans="1:16" hidden="1">
      <c r="A319" s="28" t="s">
        <v>640</v>
      </c>
      <c r="B319" s="28" t="s">
        <v>102</v>
      </c>
      <c r="C319" s="28"/>
      <c r="D319" s="71" t="s">
        <v>103</v>
      </c>
      <c r="E319" s="27">
        <f>F319+I319</f>
        <v>0</v>
      </c>
      <c r="F319" s="30">
        <f>F320</f>
        <v>0</v>
      </c>
      <c r="G319" s="30">
        <f>G320</f>
        <v>0</v>
      </c>
      <c r="H319" s="30">
        <f>H320</f>
        <v>0</v>
      </c>
      <c r="I319" s="30">
        <f>I320</f>
        <v>0</v>
      </c>
      <c r="J319" s="27">
        <f>K319+N319</f>
        <v>0</v>
      </c>
      <c r="K319" s="30">
        <f>K320</f>
        <v>0</v>
      </c>
      <c r="L319" s="30">
        <f>L320</f>
        <v>0</v>
      </c>
      <c r="M319" s="30">
        <f>M320</f>
        <v>0</v>
      </c>
      <c r="N319" s="30">
        <f>N320</f>
        <v>0</v>
      </c>
      <c r="O319" s="30">
        <f>O320</f>
        <v>0</v>
      </c>
      <c r="P319" s="27">
        <f>E319+J319</f>
        <v>0</v>
      </c>
    </row>
    <row r="320" spans="1:16" ht="45" hidden="1">
      <c r="A320" s="25" t="s">
        <v>641</v>
      </c>
      <c r="B320" s="25" t="s">
        <v>224</v>
      </c>
      <c r="C320" s="25" t="s">
        <v>225</v>
      </c>
      <c r="D320" s="74" t="s">
        <v>226</v>
      </c>
      <c r="E320" s="27">
        <f>F320+I320</f>
        <v>0</v>
      </c>
      <c r="F320" s="27"/>
      <c r="G320" s="27"/>
      <c r="H320" s="27"/>
      <c r="I320" s="27"/>
      <c r="J320" s="27">
        <f>K320+N320</f>
        <v>0</v>
      </c>
      <c r="K320" s="27"/>
      <c r="L320" s="27"/>
      <c r="M320" s="27"/>
      <c r="N320" s="27"/>
      <c r="O320" s="27"/>
      <c r="P320" s="27">
        <f>E320+J320</f>
        <v>0</v>
      </c>
    </row>
    <row r="321" spans="1:16" ht="60" hidden="1">
      <c r="A321" s="14" t="s">
        <v>642</v>
      </c>
      <c r="B321" s="14" t="s">
        <v>643</v>
      </c>
      <c r="C321" s="14"/>
      <c r="D321" s="15" t="s">
        <v>644</v>
      </c>
      <c r="E321" s="16">
        <f>F321+I321</f>
        <v>389950861</v>
      </c>
      <c r="F321" s="16">
        <f>F322</f>
        <v>389950861</v>
      </c>
      <c r="G321" s="16">
        <f>G322</f>
        <v>2606052</v>
      </c>
      <c r="H321" s="16">
        <f>H322</f>
        <v>123407</v>
      </c>
      <c r="I321" s="16">
        <f>I322</f>
        <v>0</v>
      </c>
      <c r="J321" s="16">
        <f>K321+N321</f>
        <v>306584984</v>
      </c>
      <c r="K321" s="16">
        <f>K322</f>
        <v>0</v>
      </c>
      <c r="L321" s="16">
        <f>L322</f>
        <v>0</v>
      </c>
      <c r="M321" s="16">
        <f>M322</f>
        <v>0</v>
      </c>
      <c r="N321" s="16">
        <f>N322</f>
        <v>306584984</v>
      </c>
      <c r="O321" s="16">
        <f>O322</f>
        <v>305584984</v>
      </c>
      <c r="P321" s="50">
        <f>E321+J321</f>
        <v>696535845</v>
      </c>
    </row>
    <row r="322" spans="1:16" ht="60" hidden="1">
      <c r="A322" s="18" t="s">
        <v>645</v>
      </c>
      <c r="B322" s="38"/>
      <c r="C322" s="38"/>
      <c r="D322" s="26" t="s">
        <v>646</v>
      </c>
      <c r="E322" s="20">
        <f>F322+I322</f>
        <v>389950861</v>
      </c>
      <c r="F322" s="20">
        <f>F323+F325+F330+F332+F334+F336+F338+F340+F344</f>
        <v>389950861</v>
      </c>
      <c r="G322" s="20">
        <f>G323+G325+G330+G332+G334+G336+G338+G340+G344</f>
        <v>2606052</v>
      </c>
      <c r="H322" s="20">
        <f>H323+H325+H330+H332+H334+H336+H338+H340+H344</f>
        <v>123407</v>
      </c>
      <c r="I322" s="20">
        <f>I323+I325+I330+I332+I334+I336+I338+I340+I344</f>
        <v>0</v>
      </c>
      <c r="J322" s="20">
        <f>K322+N322</f>
        <v>306584984</v>
      </c>
      <c r="K322" s="20">
        <f>K323+K325+K330+K332+K334+K336+K338+K340+K344</f>
        <v>0</v>
      </c>
      <c r="L322" s="20">
        <f>L323+L325+L330+L332+L334+L336+L338+L340+L344</f>
        <v>0</v>
      </c>
      <c r="M322" s="20">
        <f>M323+M325+M330+M332+M334+M336+M338+M340+M344</f>
        <v>0</v>
      </c>
      <c r="N322" s="20">
        <f>N323+N325+N330+N332+N334+N336+N338+N340+N344</f>
        <v>306584984</v>
      </c>
      <c r="O322" s="20">
        <f>O323+O325+O330+O332+O334+O336+O338+O340+O344</f>
        <v>305584984</v>
      </c>
      <c r="P322" s="20">
        <f>E322+J322</f>
        <v>696535845</v>
      </c>
    </row>
    <row r="323" spans="1:16" hidden="1">
      <c r="A323" s="28" t="s">
        <v>647</v>
      </c>
      <c r="B323" s="22" t="s">
        <v>21</v>
      </c>
      <c r="C323" s="22"/>
      <c r="D323" s="23" t="s">
        <v>22</v>
      </c>
      <c r="E323" s="20">
        <f t="shared" ref="E323:E386" si="48">F323+I323</f>
        <v>4778550</v>
      </c>
      <c r="F323" s="24">
        <f>F324</f>
        <v>4778550</v>
      </c>
      <c r="G323" s="24">
        <f>G324</f>
        <v>2606052</v>
      </c>
      <c r="H323" s="24">
        <f>H324</f>
        <v>123407</v>
      </c>
      <c r="I323" s="24">
        <f>I324</f>
        <v>0</v>
      </c>
      <c r="J323" s="20">
        <f t="shared" ref="J323:J386" si="49">K323+N323</f>
        <v>350000</v>
      </c>
      <c r="K323" s="24">
        <f>K324</f>
        <v>0</v>
      </c>
      <c r="L323" s="24">
        <f>L324</f>
        <v>0</v>
      </c>
      <c r="M323" s="24">
        <f>M324</f>
        <v>0</v>
      </c>
      <c r="N323" s="24">
        <f>N324</f>
        <v>350000</v>
      </c>
      <c r="O323" s="24">
        <f>O324</f>
        <v>350000</v>
      </c>
      <c r="P323" s="20">
        <f t="shared" ref="P323:P386" si="50">E323+J323</f>
        <v>5128550</v>
      </c>
    </row>
    <row r="324" spans="1:16" ht="45" hidden="1">
      <c r="A324" s="25" t="s">
        <v>648</v>
      </c>
      <c r="B324" s="25" t="s">
        <v>116</v>
      </c>
      <c r="C324" s="25" t="s">
        <v>25</v>
      </c>
      <c r="D324" s="26" t="s">
        <v>649</v>
      </c>
      <c r="E324" s="20">
        <f t="shared" si="48"/>
        <v>4778550</v>
      </c>
      <c r="F324" s="27">
        <f>3684244+(1094306)</f>
        <v>4778550</v>
      </c>
      <c r="G324" s="27">
        <v>2606052</v>
      </c>
      <c r="H324" s="27">
        <v>123407</v>
      </c>
      <c r="I324" s="27"/>
      <c r="J324" s="20">
        <f t="shared" si="49"/>
        <v>350000</v>
      </c>
      <c r="K324" s="27"/>
      <c r="L324" s="27"/>
      <c r="M324" s="27"/>
      <c r="N324" s="27">
        <f>O324</f>
        <v>350000</v>
      </c>
      <c r="O324" s="27">
        <v>350000</v>
      </c>
      <c r="P324" s="20">
        <f t="shared" si="50"/>
        <v>5128550</v>
      </c>
    </row>
    <row r="325" spans="1:16" ht="26.25" hidden="1">
      <c r="A325" s="28" t="s">
        <v>650</v>
      </c>
      <c r="B325" s="28" t="s">
        <v>168</v>
      </c>
      <c r="C325" s="28"/>
      <c r="D325" s="29" t="s">
        <v>169</v>
      </c>
      <c r="E325" s="20">
        <f t="shared" si="48"/>
        <v>295000</v>
      </c>
      <c r="F325" s="30">
        <f>F326+F327</f>
        <v>295000</v>
      </c>
      <c r="G325" s="30">
        <f>G326+G327</f>
        <v>0</v>
      </c>
      <c r="H325" s="30">
        <f>H326+H327</f>
        <v>0</v>
      </c>
      <c r="I325" s="30">
        <f>I326+I327</f>
        <v>0</v>
      </c>
      <c r="J325" s="20">
        <f t="shared" si="49"/>
        <v>0</v>
      </c>
      <c r="K325" s="30">
        <f>K326+K327</f>
        <v>0</v>
      </c>
      <c r="L325" s="30">
        <f>L326+L327</f>
        <v>0</v>
      </c>
      <c r="M325" s="30">
        <f>M326+M327</f>
        <v>0</v>
      </c>
      <c r="N325" s="30">
        <f>N326+N327</f>
        <v>0</v>
      </c>
      <c r="O325" s="30">
        <f>O326+O327</f>
        <v>0</v>
      </c>
      <c r="P325" s="20">
        <f t="shared" si="50"/>
        <v>295000</v>
      </c>
    </row>
    <row r="326" spans="1:16" ht="30" hidden="1">
      <c r="A326" s="25" t="s">
        <v>651</v>
      </c>
      <c r="B326" s="25" t="s">
        <v>187</v>
      </c>
      <c r="C326" s="25" t="s">
        <v>188</v>
      </c>
      <c r="D326" s="31" t="s">
        <v>189</v>
      </c>
      <c r="E326" s="20">
        <f>F326+I326</f>
        <v>0</v>
      </c>
      <c r="F326" s="27"/>
      <c r="G326" s="27"/>
      <c r="H326" s="27"/>
      <c r="I326" s="27"/>
      <c r="J326" s="20">
        <f>K326+N326</f>
        <v>0</v>
      </c>
      <c r="K326" s="27"/>
      <c r="L326" s="27"/>
      <c r="M326" s="27"/>
      <c r="N326" s="27"/>
      <c r="O326" s="27"/>
      <c r="P326" s="20">
        <f>E326+J326</f>
        <v>0</v>
      </c>
    </row>
    <row r="327" spans="1:16" ht="26.25" hidden="1">
      <c r="A327" s="35" t="s">
        <v>652</v>
      </c>
      <c r="B327" s="35" t="s">
        <v>239</v>
      </c>
      <c r="C327" s="35"/>
      <c r="D327" s="119" t="s">
        <v>240</v>
      </c>
      <c r="E327" s="20">
        <f t="shared" si="48"/>
        <v>295000</v>
      </c>
      <c r="F327" s="37">
        <f>F328+F329</f>
        <v>295000</v>
      </c>
      <c r="G327" s="37">
        <f>G328+G329</f>
        <v>0</v>
      </c>
      <c r="H327" s="37">
        <f>H328+H329</f>
        <v>0</v>
      </c>
      <c r="I327" s="37">
        <f>I328+I329</f>
        <v>0</v>
      </c>
      <c r="J327" s="20">
        <f t="shared" si="49"/>
        <v>0</v>
      </c>
      <c r="K327" s="37">
        <f>K328+K329</f>
        <v>0</v>
      </c>
      <c r="L327" s="37">
        <f>L328+L329</f>
        <v>0</v>
      </c>
      <c r="M327" s="37">
        <f>M328+M329</f>
        <v>0</v>
      </c>
      <c r="N327" s="37">
        <f>N328+N329</f>
        <v>0</v>
      </c>
      <c r="O327" s="37">
        <f>O328+O329</f>
        <v>0</v>
      </c>
      <c r="P327" s="20">
        <f t="shared" si="50"/>
        <v>295000</v>
      </c>
    </row>
    <row r="328" spans="1:16" ht="39" hidden="1">
      <c r="A328" s="25" t="s">
        <v>653</v>
      </c>
      <c r="B328" s="25" t="s">
        <v>242</v>
      </c>
      <c r="C328" s="12"/>
      <c r="D328" s="72" t="s">
        <v>243</v>
      </c>
      <c r="E328" s="20">
        <f>F328+I328</f>
        <v>0</v>
      </c>
      <c r="F328" s="27"/>
      <c r="G328" s="27"/>
      <c r="H328" s="27"/>
      <c r="I328" s="27"/>
      <c r="J328" s="20">
        <f>K328+N328</f>
        <v>0</v>
      </c>
      <c r="K328" s="27"/>
      <c r="L328" s="27"/>
      <c r="M328" s="27"/>
      <c r="N328" s="27"/>
      <c r="O328" s="27"/>
      <c r="P328" s="20">
        <f>E328+J328</f>
        <v>0</v>
      </c>
    </row>
    <row r="329" spans="1:16" hidden="1">
      <c r="A329" s="25" t="s">
        <v>654</v>
      </c>
      <c r="B329" s="25" t="s">
        <v>655</v>
      </c>
      <c r="C329" s="25" t="s">
        <v>139</v>
      </c>
      <c r="D329" s="72" t="s">
        <v>656</v>
      </c>
      <c r="E329" s="20">
        <f t="shared" si="48"/>
        <v>295000</v>
      </c>
      <c r="F329" s="27">
        <v>295000</v>
      </c>
      <c r="G329" s="27"/>
      <c r="H329" s="27"/>
      <c r="I329" s="27"/>
      <c r="J329" s="20">
        <f t="shared" si="49"/>
        <v>0</v>
      </c>
      <c r="K329" s="27"/>
      <c r="L329" s="27"/>
      <c r="M329" s="27"/>
      <c r="N329" s="27"/>
      <c r="O329" s="27"/>
      <c r="P329" s="20">
        <f t="shared" si="50"/>
        <v>295000</v>
      </c>
    </row>
    <row r="330" spans="1:16" ht="26.25" hidden="1">
      <c r="A330" s="28" t="s">
        <v>657</v>
      </c>
      <c r="B330" s="28" t="s">
        <v>598</v>
      </c>
      <c r="C330" s="28"/>
      <c r="D330" s="23" t="s">
        <v>599</v>
      </c>
      <c r="E330" s="20">
        <f t="shared" si="48"/>
        <v>116386127</v>
      </c>
      <c r="F330" s="30">
        <f>F331</f>
        <v>116386127</v>
      </c>
      <c r="G330" s="30">
        <f>G331</f>
        <v>0</v>
      </c>
      <c r="H330" s="30">
        <f>H331</f>
        <v>0</v>
      </c>
      <c r="I330" s="30">
        <f>I331</f>
        <v>0</v>
      </c>
      <c r="J330" s="20">
        <f t="shared" si="49"/>
        <v>6440729</v>
      </c>
      <c r="K330" s="30">
        <f>K331</f>
        <v>0</v>
      </c>
      <c r="L330" s="30">
        <f>L331</f>
        <v>0</v>
      </c>
      <c r="M330" s="30">
        <f>M331</f>
        <v>0</v>
      </c>
      <c r="N330" s="30">
        <f>N331</f>
        <v>6440729</v>
      </c>
      <c r="O330" s="30">
        <f>O331</f>
        <v>6440729</v>
      </c>
      <c r="P330" s="20">
        <f t="shared" si="50"/>
        <v>122826856</v>
      </c>
    </row>
    <row r="331" spans="1:16" hidden="1">
      <c r="A331" s="28" t="s">
        <v>658</v>
      </c>
      <c r="B331" s="28" t="s">
        <v>659</v>
      </c>
      <c r="C331" s="28" t="s">
        <v>618</v>
      </c>
      <c r="D331" s="33" t="s">
        <v>660</v>
      </c>
      <c r="E331" s="20">
        <f t="shared" si="48"/>
        <v>116386127</v>
      </c>
      <c r="F331" s="30">
        <f>115449432+936695</f>
        <v>116386127</v>
      </c>
      <c r="G331" s="30"/>
      <c r="H331" s="30"/>
      <c r="I331" s="30"/>
      <c r="J331" s="20">
        <f t="shared" si="49"/>
        <v>6440729</v>
      </c>
      <c r="K331" s="30"/>
      <c r="L331" s="30"/>
      <c r="M331" s="30"/>
      <c r="N331" s="30">
        <f>O331</f>
        <v>6440729</v>
      </c>
      <c r="O331" s="30">
        <f>6160729+((280000))</f>
        <v>6440729</v>
      </c>
      <c r="P331" s="20">
        <f t="shared" si="50"/>
        <v>122826856</v>
      </c>
    </row>
    <row r="332" spans="1:16" hidden="1">
      <c r="A332" s="28" t="s">
        <v>661</v>
      </c>
      <c r="B332" s="28" t="s">
        <v>41</v>
      </c>
      <c r="C332" s="28"/>
      <c r="D332" s="33" t="s">
        <v>336</v>
      </c>
      <c r="E332" s="20">
        <f t="shared" si="48"/>
        <v>0</v>
      </c>
      <c r="F332" s="30">
        <f>F333</f>
        <v>0</v>
      </c>
      <c r="G332" s="30">
        <f>G333</f>
        <v>0</v>
      </c>
      <c r="H332" s="30">
        <f>H333</f>
        <v>0</v>
      </c>
      <c r="I332" s="30">
        <f>I333</f>
        <v>0</v>
      </c>
      <c r="J332" s="20">
        <f t="shared" si="49"/>
        <v>104308112</v>
      </c>
      <c r="K332" s="30">
        <f>K333</f>
        <v>0</v>
      </c>
      <c r="L332" s="30">
        <f>L333</f>
        <v>0</v>
      </c>
      <c r="M332" s="30">
        <f>M333</f>
        <v>0</v>
      </c>
      <c r="N332" s="30">
        <f>N333</f>
        <v>104308112</v>
      </c>
      <c r="O332" s="30">
        <f>O333</f>
        <v>104308112</v>
      </c>
      <c r="P332" s="20">
        <f t="shared" si="50"/>
        <v>104308112</v>
      </c>
    </row>
    <row r="333" spans="1:16" ht="45" hidden="1">
      <c r="A333" s="25" t="s">
        <v>662</v>
      </c>
      <c r="B333" s="25" t="s">
        <v>44</v>
      </c>
      <c r="C333" s="25" t="s">
        <v>45</v>
      </c>
      <c r="D333" s="31" t="s">
        <v>46</v>
      </c>
      <c r="E333" s="20">
        <f t="shared" si="48"/>
        <v>0</v>
      </c>
      <c r="F333" s="27"/>
      <c r="G333" s="27"/>
      <c r="H333" s="27"/>
      <c r="I333" s="27"/>
      <c r="J333" s="20">
        <f t="shared" si="49"/>
        <v>104308112</v>
      </c>
      <c r="K333" s="27"/>
      <c r="L333" s="27"/>
      <c r="M333" s="27"/>
      <c r="N333" s="27">
        <f>O333</f>
        <v>104308112</v>
      </c>
      <c r="O333" s="27">
        <f>103430612+((877500))</f>
        <v>104308112</v>
      </c>
      <c r="P333" s="20">
        <f t="shared" si="50"/>
        <v>104308112</v>
      </c>
    </row>
    <row r="334" spans="1:16" ht="51.75" hidden="1">
      <c r="A334" s="28" t="s">
        <v>663</v>
      </c>
      <c r="B334" s="28" t="s">
        <v>664</v>
      </c>
      <c r="C334" s="28"/>
      <c r="D334" s="29" t="s">
        <v>665</v>
      </c>
      <c r="E334" s="20">
        <f t="shared" si="48"/>
        <v>267571468</v>
      </c>
      <c r="F334" s="30">
        <f>F335</f>
        <v>267571468</v>
      </c>
      <c r="G334" s="30">
        <f>G335</f>
        <v>0</v>
      </c>
      <c r="H334" s="30">
        <f>H335</f>
        <v>0</v>
      </c>
      <c r="I334" s="30">
        <f>I335</f>
        <v>0</v>
      </c>
      <c r="J334" s="20">
        <f t="shared" si="49"/>
        <v>184486143</v>
      </c>
      <c r="K334" s="30">
        <f>K335</f>
        <v>0</v>
      </c>
      <c r="L334" s="30">
        <f>L335</f>
        <v>0</v>
      </c>
      <c r="M334" s="30">
        <f>M335</f>
        <v>0</v>
      </c>
      <c r="N334" s="30">
        <f>N335</f>
        <v>184486143</v>
      </c>
      <c r="O334" s="30">
        <f>O335</f>
        <v>184486143</v>
      </c>
      <c r="P334" s="20">
        <f t="shared" si="50"/>
        <v>452057611</v>
      </c>
    </row>
    <row r="335" spans="1:16" ht="30" hidden="1">
      <c r="A335" s="25" t="s">
        <v>666</v>
      </c>
      <c r="B335" s="25" t="s">
        <v>667</v>
      </c>
      <c r="C335" s="25" t="s">
        <v>668</v>
      </c>
      <c r="D335" s="31" t="s">
        <v>669</v>
      </c>
      <c r="E335" s="20">
        <f t="shared" si="48"/>
        <v>267571468</v>
      </c>
      <c r="F335" s="27">
        <f>274027093-5683925-771700</f>
        <v>267571468</v>
      </c>
      <c r="G335" s="27"/>
      <c r="H335" s="27"/>
      <c r="I335" s="27"/>
      <c r="J335" s="20">
        <f t="shared" si="49"/>
        <v>184486143</v>
      </c>
      <c r="K335" s="27"/>
      <c r="L335" s="27"/>
      <c r="M335" s="27"/>
      <c r="N335" s="27">
        <f>O335</f>
        <v>184486143</v>
      </c>
      <c r="O335" s="27">
        <f>192147458+987450-508360-66674-8073731</f>
        <v>184486143</v>
      </c>
      <c r="P335" s="20">
        <f t="shared" si="50"/>
        <v>452057611</v>
      </c>
    </row>
    <row r="336" spans="1:16" ht="26.25" hidden="1">
      <c r="A336" s="28" t="s">
        <v>670</v>
      </c>
      <c r="B336" s="28" t="s">
        <v>52</v>
      </c>
      <c r="C336" s="28"/>
      <c r="D336" s="33" t="s">
        <v>53</v>
      </c>
      <c r="E336" s="20">
        <f t="shared" si="48"/>
        <v>0</v>
      </c>
      <c r="F336" s="30">
        <f>F337</f>
        <v>0</v>
      </c>
      <c r="G336" s="30">
        <f>G337</f>
        <v>0</v>
      </c>
      <c r="H336" s="30">
        <f>H337</f>
        <v>0</v>
      </c>
      <c r="I336" s="30">
        <f>I337</f>
        <v>0</v>
      </c>
      <c r="J336" s="20">
        <f t="shared" si="49"/>
        <v>10000000</v>
      </c>
      <c r="K336" s="30">
        <f>K337</f>
        <v>0</v>
      </c>
      <c r="L336" s="30">
        <f>L337</f>
        <v>0</v>
      </c>
      <c r="M336" s="30">
        <f>M337</f>
        <v>0</v>
      </c>
      <c r="N336" s="30">
        <f>N337</f>
        <v>10000000</v>
      </c>
      <c r="O336" s="30">
        <f>O337</f>
        <v>10000000</v>
      </c>
      <c r="P336" s="20">
        <f t="shared" si="50"/>
        <v>10000000</v>
      </c>
    </row>
    <row r="337" spans="1:16" ht="45" hidden="1">
      <c r="A337" s="25" t="s">
        <v>671</v>
      </c>
      <c r="B337" s="25" t="s">
        <v>55</v>
      </c>
      <c r="C337" s="25" t="s">
        <v>45</v>
      </c>
      <c r="D337" s="31" t="s">
        <v>56</v>
      </c>
      <c r="E337" s="20">
        <f t="shared" si="48"/>
        <v>0</v>
      </c>
      <c r="F337" s="27"/>
      <c r="G337" s="27"/>
      <c r="H337" s="27"/>
      <c r="I337" s="27"/>
      <c r="J337" s="20">
        <f t="shared" si="49"/>
        <v>10000000</v>
      </c>
      <c r="K337" s="27"/>
      <c r="L337" s="27"/>
      <c r="M337" s="27"/>
      <c r="N337" s="27">
        <f>O337</f>
        <v>10000000</v>
      </c>
      <c r="O337" s="27">
        <v>10000000</v>
      </c>
      <c r="P337" s="20">
        <f t="shared" si="50"/>
        <v>10000000</v>
      </c>
    </row>
    <row r="338" spans="1:16" hidden="1">
      <c r="A338" s="120" t="s">
        <v>672</v>
      </c>
      <c r="B338" s="120" t="s">
        <v>209</v>
      </c>
      <c r="C338" s="120"/>
      <c r="D338" s="121" t="s">
        <v>210</v>
      </c>
      <c r="E338" s="20">
        <f t="shared" si="48"/>
        <v>0</v>
      </c>
      <c r="F338" s="70">
        <f>F339</f>
        <v>0</v>
      </c>
      <c r="G338" s="70">
        <f>G339</f>
        <v>0</v>
      </c>
      <c r="H338" s="70">
        <f>H339</f>
        <v>0</v>
      </c>
      <c r="I338" s="70">
        <f>I339</f>
        <v>0</v>
      </c>
      <c r="J338" s="20">
        <f t="shared" si="49"/>
        <v>0</v>
      </c>
      <c r="K338" s="70">
        <f>K339</f>
        <v>0</v>
      </c>
      <c r="L338" s="70">
        <f>L339</f>
        <v>0</v>
      </c>
      <c r="M338" s="70">
        <f>M339</f>
        <v>0</v>
      </c>
      <c r="N338" s="70">
        <f>N339</f>
        <v>0</v>
      </c>
      <c r="O338" s="70">
        <f>O339</f>
        <v>0</v>
      </c>
      <c r="P338" s="20">
        <f t="shared" si="50"/>
        <v>0</v>
      </c>
    </row>
    <row r="339" spans="1:16" ht="30" hidden="1">
      <c r="A339" s="25" t="s">
        <v>673</v>
      </c>
      <c r="B339" s="25" t="s">
        <v>212</v>
      </c>
      <c r="C339" s="25" t="s">
        <v>213</v>
      </c>
      <c r="D339" s="39" t="s">
        <v>214</v>
      </c>
      <c r="E339" s="20">
        <f t="shared" si="48"/>
        <v>0</v>
      </c>
      <c r="F339" s="27"/>
      <c r="G339" s="27"/>
      <c r="H339" s="27"/>
      <c r="I339" s="27"/>
      <c r="J339" s="20">
        <f t="shared" si="49"/>
        <v>0</v>
      </c>
      <c r="K339" s="27"/>
      <c r="L339" s="27"/>
      <c r="M339" s="27"/>
      <c r="N339" s="27"/>
      <c r="O339" s="27"/>
      <c r="P339" s="20">
        <f t="shared" si="50"/>
        <v>0</v>
      </c>
    </row>
    <row r="340" spans="1:16" ht="26.25" hidden="1">
      <c r="A340" s="28" t="s">
        <v>674</v>
      </c>
      <c r="B340" s="28" t="s">
        <v>58</v>
      </c>
      <c r="C340" s="28"/>
      <c r="D340" s="33" t="s">
        <v>59</v>
      </c>
      <c r="E340" s="20">
        <f t="shared" si="48"/>
        <v>919716</v>
      </c>
      <c r="F340" s="30">
        <f>F341</f>
        <v>919716</v>
      </c>
      <c r="G340" s="30">
        <f>G341</f>
        <v>0</v>
      </c>
      <c r="H340" s="30">
        <f>H341</f>
        <v>0</v>
      </c>
      <c r="I340" s="30">
        <f>I341</f>
        <v>0</v>
      </c>
      <c r="J340" s="20">
        <f t="shared" si="49"/>
        <v>0</v>
      </c>
      <c r="K340" s="30">
        <f>K341</f>
        <v>0</v>
      </c>
      <c r="L340" s="30">
        <f>L341</f>
        <v>0</v>
      </c>
      <c r="M340" s="30">
        <f>M341</f>
        <v>0</v>
      </c>
      <c r="N340" s="30">
        <f>N341</f>
        <v>0</v>
      </c>
      <c r="O340" s="30">
        <f>O341</f>
        <v>0</v>
      </c>
      <c r="P340" s="20">
        <f t="shared" si="50"/>
        <v>919716</v>
      </c>
    </row>
    <row r="341" spans="1:16" hidden="1">
      <c r="A341" s="35" t="s">
        <v>675</v>
      </c>
      <c r="B341" s="35" t="s">
        <v>66</v>
      </c>
      <c r="C341" s="35"/>
      <c r="D341" s="36" t="s">
        <v>67</v>
      </c>
      <c r="E341" s="20">
        <f t="shared" si="48"/>
        <v>919716</v>
      </c>
      <c r="F341" s="37">
        <f>F342+F343</f>
        <v>919716</v>
      </c>
      <c r="G341" s="37">
        <f>G342+G343</f>
        <v>0</v>
      </c>
      <c r="H341" s="37">
        <f>H342+H343</f>
        <v>0</v>
      </c>
      <c r="I341" s="37">
        <f>I342+I343</f>
        <v>0</v>
      </c>
      <c r="J341" s="20">
        <f t="shared" si="49"/>
        <v>0</v>
      </c>
      <c r="K341" s="37">
        <f>K342+K343</f>
        <v>0</v>
      </c>
      <c r="L341" s="37">
        <f>L342+L343</f>
        <v>0</v>
      </c>
      <c r="M341" s="37">
        <f>M342+M343</f>
        <v>0</v>
      </c>
      <c r="N341" s="37">
        <f>N342+N343</f>
        <v>0</v>
      </c>
      <c r="O341" s="37">
        <f>O342+O343</f>
        <v>0</v>
      </c>
      <c r="P341" s="20">
        <f t="shared" si="50"/>
        <v>919716</v>
      </c>
    </row>
    <row r="342" spans="1:16" ht="90" hidden="1">
      <c r="A342" s="25" t="s">
        <v>676</v>
      </c>
      <c r="B342" s="25" t="s">
        <v>85</v>
      </c>
      <c r="C342" s="25" t="s">
        <v>70</v>
      </c>
      <c r="D342" s="31" t="s">
        <v>677</v>
      </c>
      <c r="E342" s="20">
        <f t="shared" si="48"/>
        <v>919716</v>
      </c>
      <c r="F342" s="27">
        <f>534916+384800</f>
        <v>919716</v>
      </c>
      <c r="G342" s="27"/>
      <c r="H342" s="27"/>
      <c r="I342" s="27"/>
      <c r="J342" s="20">
        <f t="shared" si="49"/>
        <v>0</v>
      </c>
      <c r="K342" s="27"/>
      <c r="L342" s="27"/>
      <c r="M342" s="27"/>
      <c r="N342" s="27"/>
      <c r="O342" s="27"/>
      <c r="P342" s="20">
        <f t="shared" si="50"/>
        <v>919716</v>
      </c>
    </row>
    <row r="343" spans="1:16" ht="75" hidden="1">
      <c r="A343" s="25" t="s">
        <v>678</v>
      </c>
      <c r="B343" s="25" t="s">
        <v>76</v>
      </c>
      <c r="C343" s="25" t="s">
        <v>70</v>
      </c>
      <c r="D343" s="31" t="s">
        <v>77</v>
      </c>
      <c r="E343" s="20">
        <f t="shared" si="48"/>
        <v>0</v>
      </c>
      <c r="F343" s="27"/>
      <c r="G343" s="27"/>
      <c r="H343" s="27"/>
      <c r="I343" s="27"/>
      <c r="J343" s="20">
        <f t="shared" si="49"/>
        <v>0</v>
      </c>
      <c r="K343" s="27"/>
      <c r="L343" s="27"/>
      <c r="M343" s="27"/>
      <c r="N343" s="27"/>
      <c r="O343" s="27"/>
      <c r="P343" s="20">
        <f t="shared" si="50"/>
        <v>0</v>
      </c>
    </row>
    <row r="344" spans="1:16" hidden="1">
      <c r="A344" s="28" t="s">
        <v>679</v>
      </c>
      <c r="B344" s="28" t="s">
        <v>102</v>
      </c>
      <c r="C344" s="28"/>
      <c r="D344" s="71" t="s">
        <v>103</v>
      </c>
      <c r="E344" s="20">
        <f t="shared" si="48"/>
        <v>0</v>
      </c>
      <c r="F344" s="30">
        <f>F345</f>
        <v>0</v>
      </c>
      <c r="G344" s="30">
        <f>G345</f>
        <v>0</v>
      </c>
      <c r="H344" s="30">
        <f>H345</f>
        <v>0</v>
      </c>
      <c r="I344" s="30">
        <f>I345</f>
        <v>0</v>
      </c>
      <c r="J344" s="20">
        <f t="shared" si="49"/>
        <v>1000000</v>
      </c>
      <c r="K344" s="30">
        <f>K345</f>
        <v>0</v>
      </c>
      <c r="L344" s="30">
        <f>L345</f>
        <v>0</v>
      </c>
      <c r="M344" s="30">
        <f>M345</f>
        <v>0</v>
      </c>
      <c r="N344" s="30">
        <f>N345</f>
        <v>1000000</v>
      </c>
      <c r="O344" s="30">
        <f>O345</f>
        <v>0</v>
      </c>
      <c r="P344" s="20">
        <f t="shared" si="50"/>
        <v>1000000</v>
      </c>
    </row>
    <row r="345" spans="1:16" ht="45" hidden="1">
      <c r="A345" s="25" t="s">
        <v>680</v>
      </c>
      <c r="B345" s="25" t="s">
        <v>224</v>
      </c>
      <c r="C345" s="25" t="s">
        <v>225</v>
      </c>
      <c r="D345" s="74" t="s">
        <v>226</v>
      </c>
      <c r="E345" s="20">
        <f t="shared" si="48"/>
        <v>0</v>
      </c>
      <c r="F345" s="27"/>
      <c r="G345" s="27"/>
      <c r="H345" s="27"/>
      <c r="I345" s="27"/>
      <c r="J345" s="20">
        <f t="shared" si="49"/>
        <v>1000000</v>
      </c>
      <c r="K345" s="27"/>
      <c r="L345" s="27"/>
      <c r="M345" s="27"/>
      <c r="N345" s="27">
        <v>1000000</v>
      </c>
      <c r="O345" s="27"/>
      <c r="P345" s="20">
        <f t="shared" si="50"/>
        <v>1000000</v>
      </c>
    </row>
    <row r="346" spans="1:16" ht="45" hidden="1">
      <c r="A346" s="14" t="s">
        <v>681</v>
      </c>
      <c r="B346" s="14" t="s">
        <v>682</v>
      </c>
      <c r="C346" s="14"/>
      <c r="D346" s="15" t="s">
        <v>683</v>
      </c>
      <c r="E346" s="16">
        <f t="shared" si="48"/>
        <v>5685944</v>
      </c>
      <c r="F346" s="16">
        <f>F347</f>
        <v>5685944</v>
      </c>
      <c r="G346" s="16">
        <f>G347</f>
        <v>3483559</v>
      </c>
      <c r="H346" s="16">
        <f>H347</f>
        <v>202144</v>
      </c>
      <c r="I346" s="16">
        <f>I347</f>
        <v>0</v>
      </c>
      <c r="J346" s="16">
        <f t="shared" si="49"/>
        <v>0</v>
      </c>
      <c r="K346" s="16">
        <f>K347</f>
        <v>0</v>
      </c>
      <c r="L346" s="16">
        <f>L347</f>
        <v>0</v>
      </c>
      <c r="M346" s="16">
        <f>M347</f>
        <v>0</v>
      </c>
      <c r="N346" s="16">
        <f>N347</f>
        <v>0</v>
      </c>
      <c r="O346" s="16">
        <f>O347</f>
        <v>0</v>
      </c>
      <c r="P346" s="50">
        <f t="shared" si="50"/>
        <v>5685944</v>
      </c>
    </row>
    <row r="347" spans="1:16" ht="45" hidden="1">
      <c r="A347" s="18" t="s">
        <v>684</v>
      </c>
      <c r="B347" s="38"/>
      <c r="C347" s="38"/>
      <c r="D347" s="19" t="s">
        <v>683</v>
      </c>
      <c r="E347" s="20">
        <f t="shared" si="48"/>
        <v>5685944</v>
      </c>
      <c r="F347" s="20">
        <f>F348+F350</f>
        <v>5685944</v>
      </c>
      <c r="G347" s="20">
        <f>G348+G350</f>
        <v>3483559</v>
      </c>
      <c r="H347" s="20">
        <f>H348+H350</f>
        <v>202144</v>
      </c>
      <c r="I347" s="20">
        <f>I348+I350</f>
        <v>0</v>
      </c>
      <c r="J347" s="20">
        <f t="shared" si="49"/>
        <v>0</v>
      </c>
      <c r="K347" s="20">
        <f>K348+K350</f>
        <v>0</v>
      </c>
      <c r="L347" s="20">
        <f>L348+L350</f>
        <v>0</v>
      </c>
      <c r="M347" s="20">
        <f>M348+M350</f>
        <v>0</v>
      </c>
      <c r="N347" s="20">
        <f>N348+N350</f>
        <v>0</v>
      </c>
      <c r="O347" s="20">
        <f>O348+O350</f>
        <v>0</v>
      </c>
      <c r="P347" s="20">
        <f t="shared" si="50"/>
        <v>5685944</v>
      </c>
    </row>
    <row r="348" spans="1:16" hidden="1">
      <c r="A348" s="28" t="s">
        <v>685</v>
      </c>
      <c r="B348" s="22" t="s">
        <v>21</v>
      </c>
      <c r="C348" s="22"/>
      <c r="D348" s="23" t="s">
        <v>22</v>
      </c>
      <c r="E348" s="20">
        <f t="shared" si="48"/>
        <v>5685944</v>
      </c>
      <c r="F348" s="24">
        <f>F349</f>
        <v>5685944</v>
      </c>
      <c r="G348" s="24">
        <f>G349</f>
        <v>3483559</v>
      </c>
      <c r="H348" s="24">
        <f>H349</f>
        <v>202144</v>
      </c>
      <c r="I348" s="24">
        <f>I349</f>
        <v>0</v>
      </c>
      <c r="J348" s="20">
        <f t="shared" si="49"/>
        <v>0</v>
      </c>
      <c r="K348" s="24">
        <f>K349</f>
        <v>0</v>
      </c>
      <c r="L348" s="24">
        <f>L349</f>
        <v>0</v>
      </c>
      <c r="M348" s="24">
        <f>M349</f>
        <v>0</v>
      </c>
      <c r="N348" s="24">
        <f>N349</f>
        <v>0</v>
      </c>
      <c r="O348" s="24">
        <f>O349</f>
        <v>0</v>
      </c>
      <c r="P348" s="20">
        <f t="shared" si="50"/>
        <v>5685944</v>
      </c>
    </row>
    <row r="349" spans="1:16" ht="60" hidden="1">
      <c r="A349" s="25" t="s">
        <v>686</v>
      </c>
      <c r="B349" s="25" t="s">
        <v>116</v>
      </c>
      <c r="C349" s="25" t="s">
        <v>25</v>
      </c>
      <c r="D349" s="26" t="s">
        <v>687</v>
      </c>
      <c r="E349" s="20">
        <f t="shared" si="48"/>
        <v>5685944</v>
      </c>
      <c r="F349" s="27">
        <v>5685944</v>
      </c>
      <c r="G349" s="27">
        <v>3483559</v>
      </c>
      <c r="H349" s="27">
        <v>202144</v>
      </c>
      <c r="I349" s="27"/>
      <c r="J349" s="20">
        <f t="shared" si="49"/>
        <v>0</v>
      </c>
      <c r="K349" s="27"/>
      <c r="L349" s="27"/>
      <c r="M349" s="27"/>
      <c r="N349" s="27"/>
      <c r="O349" s="27"/>
      <c r="P349" s="20">
        <f t="shared" si="50"/>
        <v>5685944</v>
      </c>
    </row>
    <row r="350" spans="1:16" ht="26.25" hidden="1">
      <c r="A350" s="28" t="s">
        <v>688</v>
      </c>
      <c r="B350" s="28" t="s">
        <v>58</v>
      </c>
      <c r="C350" s="28"/>
      <c r="D350" s="29" t="s">
        <v>59</v>
      </c>
      <c r="E350" s="20">
        <f t="shared" si="48"/>
        <v>0</v>
      </c>
      <c r="F350" s="30">
        <f>F351</f>
        <v>0</v>
      </c>
      <c r="G350" s="30">
        <f t="shared" ref="G350:I351" si="51">G351</f>
        <v>0</v>
      </c>
      <c r="H350" s="30">
        <f t="shared" si="51"/>
        <v>0</v>
      </c>
      <c r="I350" s="30">
        <f t="shared" si="51"/>
        <v>0</v>
      </c>
      <c r="J350" s="20">
        <f t="shared" si="49"/>
        <v>0</v>
      </c>
      <c r="K350" s="30">
        <f t="shared" ref="K350:O351" si="52">K351</f>
        <v>0</v>
      </c>
      <c r="L350" s="30">
        <f t="shared" si="52"/>
        <v>0</v>
      </c>
      <c r="M350" s="30">
        <f t="shared" si="52"/>
        <v>0</v>
      </c>
      <c r="N350" s="30">
        <f t="shared" si="52"/>
        <v>0</v>
      </c>
      <c r="O350" s="30">
        <f t="shared" si="52"/>
        <v>0</v>
      </c>
      <c r="P350" s="20">
        <f t="shared" si="50"/>
        <v>0</v>
      </c>
    </row>
    <row r="351" spans="1:16" hidden="1">
      <c r="A351" s="35" t="s">
        <v>689</v>
      </c>
      <c r="B351" s="35" t="s">
        <v>66</v>
      </c>
      <c r="C351" s="35"/>
      <c r="D351" s="122" t="s">
        <v>67</v>
      </c>
      <c r="E351" s="20">
        <f t="shared" si="48"/>
        <v>0</v>
      </c>
      <c r="F351" s="37">
        <f>F352</f>
        <v>0</v>
      </c>
      <c r="G351" s="37">
        <f t="shared" si="51"/>
        <v>0</v>
      </c>
      <c r="H351" s="37">
        <f t="shared" si="51"/>
        <v>0</v>
      </c>
      <c r="I351" s="37">
        <f t="shared" si="51"/>
        <v>0</v>
      </c>
      <c r="J351" s="20">
        <f t="shared" si="49"/>
        <v>0</v>
      </c>
      <c r="K351" s="37">
        <f t="shared" si="52"/>
        <v>0</v>
      </c>
      <c r="L351" s="37">
        <f t="shared" si="52"/>
        <v>0</v>
      </c>
      <c r="M351" s="37">
        <f t="shared" si="52"/>
        <v>0</v>
      </c>
      <c r="N351" s="37">
        <f t="shared" si="52"/>
        <v>0</v>
      </c>
      <c r="O351" s="37">
        <f t="shared" si="52"/>
        <v>0</v>
      </c>
      <c r="P351" s="20">
        <f t="shared" si="50"/>
        <v>0</v>
      </c>
    </row>
    <row r="352" spans="1:16" ht="90" hidden="1">
      <c r="A352" s="25" t="s">
        <v>690</v>
      </c>
      <c r="B352" s="25" t="s">
        <v>82</v>
      </c>
      <c r="C352" s="25" t="s">
        <v>70</v>
      </c>
      <c r="D352" s="26" t="s">
        <v>83</v>
      </c>
      <c r="E352" s="20">
        <f t="shared" si="48"/>
        <v>0</v>
      </c>
      <c r="F352" s="27"/>
      <c r="G352" s="27"/>
      <c r="H352" s="27"/>
      <c r="I352" s="27"/>
      <c r="J352" s="20">
        <f t="shared" si="49"/>
        <v>0</v>
      </c>
      <c r="K352" s="27"/>
      <c r="L352" s="27"/>
      <c r="M352" s="27"/>
      <c r="N352" s="27"/>
      <c r="O352" s="27"/>
      <c r="P352" s="20">
        <f t="shared" si="50"/>
        <v>0</v>
      </c>
    </row>
    <row r="353" spans="1:16" ht="45" hidden="1">
      <c r="A353" s="14" t="s">
        <v>691</v>
      </c>
      <c r="B353" s="14" t="s">
        <v>692</v>
      </c>
      <c r="C353" s="14"/>
      <c r="D353" s="15" t="s">
        <v>693</v>
      </c>
      <c r="E353" s="16">
        <f t="shared" si="48"/>
        <v>6402516</v>
      </c>
      <c r="F353" s="16">
        <f>F354</f>
        <v>6402516</v>
      </c>
      <c r="G353" s="16">
        <f>G354</f>
        <v>3320922</v>
      </c>
      <c r="H353" s="16">
        <f>H354</f>
        <v>293830</v>
      </c>
      <c r="I353" s="16">
        <f>I354</f>
        <v>0</v>
      </c>
      <c r="J353" s="16">
        <f t="shared" si="49"/>
        <v>3127560</v>
      </c>
      <c r="K353" s="16">
        <f>K354</f>
        <v>0</v>
      </c>
      <c r="L353" s="16">
        <f>L354</f>
        <v>0</v>
      </c>
      <c r="M353" s="16">
        <f>M354</f>
        <v>0</v>
      </c>
      <c r="N353" s="16">
        <f>N354</f>
        <v>3127560</v>
      </c>
      <c r="O353" s="16">
        <f>O354</f>
        <v>3127560</v>
      </c>
      <c r="P353" s="50">
        <f t="shared" si="50"/>
        <v>9530076</v>
      </c>
    </row>
    <row r="354" spans="1:16" ht="45" hidden="1">
      <c r="A354" s="18" t="s">
        <v>694</v>
      </c>
      <c r="B354" s="38"/>
      <c r="C354" s="38"/>
      <c r="D354" s="19" t="s">
        <v>693</v>
      </c>
      <c r="E354" s="20">
        <f t="shared" si="48"/>
        <v>6402516</v>
      </c>
      <c r="F354" s="20">
        <f>F355+F357+F358</f>
        <v>6402516</v>
      </c>
      <c r="G354" s="20">
        <f>G355+G357+G358</f>
        <v>3320922</v>
      </c>
      <c r="H354" s="20">
        <f>H355+H357+H358</f>
        <v>293830</v>
      </c>
      <c r="I354" s="20">
        <f>I355+I357+I358</f>
        <v>0</v>
      </c>
      <c r="J354" s="20">
        <f t="shared" si="49"/>
        <v>3127560</v>
      </c>
      <c r="K354" s="20">
        <f>K355+K357+K358</f>
        <v>0</v>
      </c>
      <c r="L354" s="20">
        <f>L355+L357+L358</f>
        <v>0</v>
      </c>
      <c r="M354" s="20">
        <f>M355+M357+M358</f>
        <v>0</v>
      </c>
      <c r="N354" s="20">
        <f>N355+N357+N358</f>
        <v>3127560</v>
      </c>
      <c r="O354" s="20">
        <f>O355+O357+O358</f>
        <v>3127560</v>
      </c>
      <c r="P354" s="20">
        <f t="shared" si="50"/>
        <v>9530076</v>
      </c>
    </row>
    <row r="355" spans="1:16" hidden="1">
      <c r="A355" s="28" t="s">
        <v>695</v>
      </c>
      <c r="B355" s="22" t="s">
        <v>21</v>
      </c>
      <c r="C355" s="22"/>
      <c r="D355" s="23" t="s">
        <v>22</v>
      </c>
      <c r="E355" s="20">
        <f t="shared" si="48"/>
        <v>5012516</v>
      </c>
      <c r="F355" s="24">
        <f>F356</f>
        <v>5012516</v>
      </c>
      <c r="G355" s="24">
        <f>G356</f>
        <v>3320922</v>
      </c>
      <c r="H355" s="24">
        <f>H356</f>
        <v>293830</v>
      </c>
      <c r="I355" s="24">
        <f>I356</f>
        <v>0</v>
      </c>
      <c r="J355" s="20">
        <f t="shared" si="49"/>
        <v>0</v>
      </c>
      <c r="K355" s="24">
        <f>K356</f>
        <v>0</v>
      </c>
      <c r="L355" s="24">
        <f>L356</f>
        <v>0</v>
      </c>
      <c r="M355" s="24">
        <f>M356</f>
        <v>0</v>
      </c>
      <c r="N355" s="24">
        <f>N356</f>
        <v>0</v>
      </c>
      <c r="O355" s="24">
        <f>O356</f>
        <v>0</v>
      </c>
      <c r="P355" s="20">
        <f t="shared" si="50"/>
        <v>5012516</v>
      </c>
    </row>
    <row r="356" spans="1:16" ht="45" hidden="1">
      <c r="A356" s="25" t="s">
        <v>696</v>
      </c>
      <c r="B356" s="25" t="s">
        <v>116</v>
      </c>
      <c r="C356" s="25" t="s">
        <v>25</v>
      </c>
      <c r="D356" s="26" t="s">
        <v>697</v>
      </c>
      <c r="E356" s="20">
        <f t="shared" si="48"/>
        <v>5012516</v>
      </c>
      <c r="F356" s="27">
        <v>5012516</v>
      </c>
      <c r="G356" s="27">
        <v>3320922</v>
      </c>
      <c r="H356" s="27">
        <v>293830</v>
      </c>
      <c r="I356" s="27"/>
      <c r="J356" s="20">
        <f t="shared" si="49"/>
        <v>0</v>
      </c>
      <c r="K356" s="27"/>
      <c r="L356" s="27"/>
      <c r="M356" s="27"/>
      <c r="N356" s="27"/>
      <c r="O356" s="27"/>
      <c r="P356" s="20">
        <f t="shared" si="50"/>
        <v>5012516</v>
      </c>
    </row>
    <row r="357" spans="1:16" ht="39" hidden="1">
      <c r="A357" s="28" t="s">
        <v>698</v>
      </c>
      <c r="B357" s="28" t="s">
        <v>699</v>
      </c>
      <c r="C357" s="28" t="s">
        <v>700</v>
      </c>
      <c r="D357" s="29" t="s">
        <v>701</v>
      </c>
      <c r="E357" s="20">
        <f t="shared" si="48"/>
        <v>0</v>
      </c>
      <c r="F357" s="30"/>
      <c r="G357" s="30"/>
      <c r="H357" s="30"/>
      <c r="I357" s="30"/>
      <c r="J357" s="20">
        <f t="shared" si="49"/>
        <v>2357560</v>
      </c>
      <c r="K357" s="30"/>
      <c r="L357" s="30"/>
      <c r="M357" s="30"/>
      <c r="N357" s="30">
        <f>O357</f>
        <v>2357560</v>
      </c>
      <c r="O357" s="30">
        <v>2357560</v>
      </c>
      <c r="P357" s="20">
        <f t="shared" si="50"/>
        <v>2357560</v>
      </c>
    </row>
    <row r="358" spans="1:16" ht="26.25" hidden="1">
      <c r="A358" s="28" t="s">
        <v>702</v>
      </c>
      <c r="B358" s="28" t="s">
        <v>58</v>
      </c>
      <c r="C358" s="28"/>
      <c r="D358" s="29" t="s">
        <v>59</v>
      </c>
      <c r="E358" s="20">
        <f t="shared" si="48"/>
        <v>1390000</v>
      </c>
      <c r="F358" s="30">
        <f>F359</f>
        <v>1390000</v>
      </c>
      <c r="G358" s="30">
        <f>G359</f>
        <v>0</v>
      </c>
      <c r="H358" s="30">
        <f>H359</f>
        <v>0</v>
      </c>
      <c r="I358" s="30">
        <f>I359</f>
        <v>0</v>
      </c>
      <c r="J358" s="20">
        <f t="shared" si="49"/>
        <v>770000</v>
      </c>
      <c r="K358" s="30">
        <f>K359</f>
        <v>0</v>
      </c>
      <c r="L358" s="30">
        <f>L359</f>
        <v>0</v>
      </c>
      <c r="M358" s="30">
        <f>M359</f>
        <v>0</v>
      </c>
      <c r="N358" s="30">
        <f>N359</f>
        <v>770000</v>
      </c>
      <c r="O358" s="30">
        <f>O359</f>
        <v>770000</v>
      </c>
      <c r="P358" s="20">
        <f t="shared" si="50"/>
        <v>2160000</v>
      </c>
    </row>
    <row r="359" spans="1:16" hidden="1">
      <c r="A359" s="35" t="s">
        <v>703</v>
      </c>
      <c r="B359" s="35" t="s">
        <v>66</v>
      </c>
      <c r="C359" s="35"/>
      <c r="D359" s="122" t="s">
        <v>67</v>
      </c>
      <c r="E359" s="20">
        <f t="shared" si="48"/>
        <v>1390000</v>
      </c>
      <c r="F359" s="37">
        <f>F360+F361</f>
        <v>1390000</v>
      </c>
      <c r="G359" s="37">
        <f>G360+G361</f>
        <v>0</v>
      </c>
      <c r="H359" s="37">
        <f>H360+H361</f>
        <v>0</v>
      </c>
      <c r="I359" s="37">
        <f>I360+I361</f>
        <v>0</v>
      </c>
      <c r="J359" s="20">
        <f t="shared" si="49"/>
        <v>770000</v>
      </c>
      <c r="K359" s="37">
        <f>K360+K361</f>
        <v>0</v>
      </c>
      <c r="L359" s="37">
        <f>L360+L361</f>
        <v>0</v>
      </c>
      <c r="M359" s="37">
        <f>M360+M361</f>
        <v>0</v>
      </c>
      <c r="N359" s="37">
        <f>N360+N361</f>
        <v>770000</v>
      </c>
      <c r="O359" s="37">
        <f>O360+O361</f>
        <v>770000</v>
      </c>
      <c r="P359" s="20">
        <f t="shared" si="50"/>
        <v>2160000</v>
      </c>
    </row>
    <row r="360" spans="1:16" ht="75" hidden="1">
      <c r="A360" s="115" t="s">
        <v>704</v>
      </c>
      <c r="B360" s="25" t="s">
        <v>79</v>
      </c>
      <c r="C360" s="25" t="s">
        <v>70</v>
      </c>
      <c r="D360" s="26" t="s">
        <v>80</v>
      </c>
      <c r="E360" s="20">
        <f t="shared" si="48"/>
        <v>1390000</v>
      </c>
      <c r="F360" s="27">
        <v>1390000</v>
      </c>
      <c r="G360" s="27"/>
      <c r="H360" s="27"/>
      <c r="I360" s="27"/>
      <c r="J360" s="20">
        <f t="shared" si="49"/>
        <v>770000</v>
      </c>
      <c r="K360" s="27"/>
      <c r="L360" s="27"/>
      <c r="M360" s="27"/>
      <c r="N360" s="27">
        <f>O360</f>
        <v>770000</v>
      </c>
      <c r="O360" s="27">
        <v>770000</v>
      </c>
      <c r="P360" s="20">
        <f t="shared" si="50"/>
        <v>2160000</v>
      </c>
    </row>
    <row r="361" spans="1:16" ht="105" hidden="1">
      <c r="A361" s="18" t="s">
        <v>705</v>
      </c>
      <c r="B361" s="18" t="s">
        <v>73</v>
      </c>
      <c r="C361" s="38"/>
      <c r="D361" s="39" t="s">
        <v>706</v>
      </c>
      <c r="E361" s="20">
        <f t="shared" si="48"/>
        <v>0</v>
      </c>
      <c r="F361" s="27"/>
      <c r="G361" s="27"/>
      <c r="H361" s="27"/>
      <c r="I361" s="27"/>
      <c r="J361" s="20">
        <f t="shared" si="49"/>
        <v>0</v>
      </c>
      <c r="K361" s="27"/>
      <c r="L361" s="27"/>
      <c r="M361" s="27"/>
      <c r="N361" s="27"/>
      <c r="O361" s="27"/>
      <c r="P361" s="20">
        <f t="shared" si="50"/>
        <v>0</v>
      </c>
    </row>
    <row r="362" spans="1:16" s="21" customFormat="1" ht="60" hidden="1">
      <c r="A362" s="14" t="s">
        <v>707</v>
      </c>
      <c r="B362" s="14" t="s">
        <v>708</v>
      </c>
      <c r="C362" s="14"/>
      <c r="D362" s="15" t="s">
        <v>709</v>
      </c>
      <c r="E362" s="16">
        <f t="shared" si="48"/>
        <v>2443243</v>
      </c>
      <c r="F362" s="16">
        <f>F363</f>
        <v>2443243</v>
      </c>
      <c r="G362" s="16">
        <f t="shared" ref="G362:I364" si="53">G363</f>
        <v>1508274</v>
      </c>
      <c r="H362" s="16">
        <f t="shared" si="53"/>
        <v>65413</v>
      </c>
      <c r="I362" s="16">
        <f t="shared" si="53"/>
        <v>0</v>
      </c>
      <c r="J362" s="16">
        <f t="shared" si="49"/>
        <v>0</v>
      </c>
      <c r="K362" s="16">
        <f t="shared" ref="K362:O364" si="54">K363</f>
        <v>0</v>
      </c>
      <c r="L362" s="16">
        <f t="shared" si="54"/>
        <v>0</v>
      </c>
      <c r="M362" s="16">
        <f t="shared" si="54"/>
        <v>0</v>
      </c>
      <c r="N362" s="16">
        <f t="shared" si="54"/>
        <v>0</v>
      </c>
      <c r="O362" s="16">
        <f t="shared" si="54"/>
        <v>0</v>
      </c>
      <c r="P362" s="50">
        <f t="shared" si="50"/>
        <v>2443243</v>
      </c>
    </row>
    <row r="363" spans="1:16" s="21" customFormat="1" ht="60" hidden="1">
      <c r="A363" s="18" t="s">
        <v>710</v>
      </c>
      <c r="B363" s="38"/>
      <c r="C363" s="38"/>
      <c r="D363" s="26" t="s">
        <v>709</v>
      </c>
      <c r="E363" s="27">
        <f t="shared" si="48"/>
        <v>2443243</v>
      </c>
      <c r="F363" s="27">
        <f>F364</f>
        <v>2443243</v>
      </c>
      <c r="G363" s="27">
        <f t="shared" si="53"/>
        <v>1508274</v>
      </c>
      <c r="H363" s="27">
        <f t="shared" si="53"/>
        <v>65413</v>
      </c>
      <c r="I363" s="27">
        <f t="shared" si="53"/>
        <v>0</v>
      </c>
      <c r="J363" s="27">
        <f t="shared" si="49"/>
        <v>0</v>
      </c>
      <c r="K363" s="27">
        <f t="shared" si="54"/>
        <v>0</v>
      </c>
      <c r="L363" s="27">
        <f t="shared" si="54"/>
        <v>0</v>
      </c>
      <c r="M363" s="27">
        <f t="shared" si="54"/>
        <v>0</v>
      </c>
      <c r="N363" s="27">
        <f t="shared" si="54"/>
        <v>0</v>
      </c>
      <c r="O363" s="27">
        <f t="shared" si="54"/>
        <v>0</v>
      </c>
      <c r="P363" s="27">
        <f t="shared" si="50"/>
        <v>2443243</v>
      </c>
    </row>
    <row r="364" spans="1:16" s="21" customFormat="1" hidden="1">
      <c r="A364" s="28" t="s">
        <v>711</v>
      </c>
      <c r="B364" s="22" t="s">
        <v>21</v>
      </c>
      <c r="C364" s="22"/>
      <c r="D364" s="23" t="s">
        <v>22</v>
      </c>
      <c r="E364" s="27">
        <f t="shared" si="48"/>
        <v>2443243</v>
      </c>
      <c r="F364" s="30">
        <f>F365</f>
        <v>2443243</v>
      </c>
      <c r="G364" s="30">
        <f t="shared" si="53"/>
        <v>1508274</v>
      </c>
      <c r="H364" s="30">
        <f t="shared" si="53"/>
        <v>65413</v>
      </c>
      <c r="I364" s="30">
        <f t="shared" si="53"/>
        <v>0</v>
      </c>
      <c r="J364" s="27">
        <f t="shared" si="49"/>
        <v>0</v>
      </c>
      <c r="K364" s="30">
        <f t="shared" si="54"/>
        <v>0</v>
      </c>
      <c r="L364" s="30">
        <f t="shared" si="54"/>
        <v>0</v>
      </c>
      <c r="M364" s="30">
        <f t="shared" si="54"/>
        <v>0</v>
      </c>
      <c r="N364" s="30">
        <f t="shared" si="54"/>
        <v>0</v>
      </c>
      <c r="O364" s="30">
        <f t="shared" si="54"/>
        <v>0</v>
      </c>
      <c r="P364" s="27">
        <f t="shared" si="50"/>
        <v>2443243</v>
      </c>
    </row>
    <row r="365" spans="1:16" s="21" customFormat="1" ht="60" hidden="1">
      <c r="A365" s="25" t="s">
        <v>712</v>
      </c>
      <c r="B365" s="25" t="s">
        <v>116</v>
      </c>
      <c r="C365" s="25" t="s">
        <v>25</v>
      </c>
      <c r="D365" s="26" t="s">
        <v>713</v>
      </c>
      <c r="E365" s="27">
        <f t="shared" si="48"/>
        <v>2443243</v>
      </c>
      <c r="F365" s="27">
        <v>2443243</v>
      </c>
      <c r="G365" s="27">
        <v>1508274</v>
      </c>
      <c r="H365" s="27">
        <v>65413</v>
      </c>
      <c r="I365" s="27"/>
      <c r="J365" s="27">
        <f t="shared" si="49"/>
        <v>0</v>
      </c>
      <c r="K365" s="27"/>
      <c r="L365" s="27"/>
      <c r="M365" s="27"/>
      <c r="N365" s="27"/>
      <c r="O365" s="27"/>
      <c r="P365" s="27">
        <f t="shared" si="50"/>
        <v>2443243</v>
      </c>
    </row>
    <row r="366" spans="1:16" s="21" customFormat="1" ht="30" hidden="1">
      <c r="A366" s="14" t="s">
        <v>714</v>
      </c>
      <c r="B366" s="14" t="s">
        <v>715</v>
      </c>
      <c r="C366" s="14"/>
      <c r="D366" s="15" t="s">
        <v>716</v>
      </c>
      <c r="E366" s="16">
        <f t="shared" si="48"/>
        <v>1914417</v>
      </c>
      <c r="F366" s="16">
        <f>F367</f>
        <v>1914417</v>
      </c>
      <c r="G366" s="16">
        <f t="shared" ref="G366:I368" si="55">G367</f>
        <v>1326875</v>
      </c>
      <c r="H366" s="16">
        <f t="shared" si="55"/>
        <v>22540</v>
      </c>
      <c r="I366" s="16">
        <f t="shared" si="55"/>
        <v>0</v>
      </c>
      <c r="J366" s="16">
        <f t="shared" si="49"/>
        <v>0</v>
      </c>
      <c r="K366" s="16">
        <f t="shared" ref="K366:O368" si="56">K367</f>
        <v>0</v>
      </c>
      <c r="L366" s="16">
        <f t="shared" si="56"/>
        <v>0</v>
      </c>
      <c r="M366" s="16">
        <f t="shared" si="56"/>
        <v>0</v>
      </c>
      <c r="N366" s="16">
        <f t="shared" si="56"/>
        <v>0</v>
      </c>
      <c r="O366" s="16">
        <f t="shared" si="56"/>
        <v>0</v>
      </c>
      <c r="P366" s="50">
        <f t="shared" si="50"/>
        <v>1914417</v>
      </c>
    </row>
    <row r="367" spans="1:16" s="21" customFormat="1" ht="30" hidden="1">
      <c r="A367" s="18" t="s">
        <v>717</v>
      </c>
      <c r="B367" s="38"/>
      <c r="C367" s="38"/>
      <c r="D367" s="19" t="s">
        <v>716</v>
      </c>
      <c r="E367" s="27">
        <f t="shared" si="48"/>
        <v>1914417</v>
      </c>
      <c r="F367" s="27">
        <f>F368</f>
        <v>1914417</v>
      </c>
      <c r="G367" s="27">
        <f t="shared" si="55"/>
        <v>1326875</v>
      </c>
      <c r="H367" s="27">
        <f t="shared" si="55"/>
        <v>22540</v>
      </c>
      <c r="I367" s="27">
        <f t="shared" si="55"/>
        <v>0</v>
      </c>
      <c r="J367" s="27">
        <f t="shared" si="49"/>
        <v>0</v>
      </c>
      <c r="K367" s="27">
        <f t="shared" si="56"/>
        <v>0</v>
      </c>
      <c r="L367" s="27">
        <f t="shared" si="56"/>
        <v>0</v>
      </c>
      <c r="M367" s="27">
        <f t="shared" si="56"/>
        <v>0</v>
      </c>
      <c r="N367" s="27">
        <f t="shared" si="56"/>
        <v>0</v>
      </c>
      <c r="O367" s="27">
        <f t="shared" si="56"/>
        <v>0</v>
      </c>
      <c r="P367" s="27">
        <f t="shared" si="50"/>
        <v>1914417</v>
      </c>
    </row>
    <row r="368" spans="1:16" s="21" customFormat="1" hidden="1">
      <c r="A368" s="28" t="s">
        <v>718</v>
      </c>
      <c r="B368" s="22" t="s">
        <v>21</v>
      </c>
      <c r="C368" s="22"/>
      <c r="D368" s="23" t="s">
        <v>22</v>
      </c>
      <c r="E368" s="27">
        <f t="shared" si="48"/>
        <v>1914417</v>
      </c>
      <c r="F368" s="30">
        <f>F369</f>
        <v>1914417</v>
      </c>
      <c r="G368" s="30">
        <f t="shared" si="55"/>
        <v>1326875</v>
      </c>
      <c r="H368" s="30">
        <f t="shared" si="55"/>
        <v>22540</v>
      </c>
      <c r="I368" s="30">
        <f t="shared" si="55"/>
        <v>0</v>
      </c>
      <c r="J368" s="27">
        <f t="shared" si="49"/>
        <v>0</v>
      </c>
      <c r="K368" s="30">
        <f t="shared" si="56"/>
        <v>0</v>
      </c>
      <c r="L368" s="30">
        <f t="shared" si="56"/>
        <v>0</v>
      </c>
      <c r="M368" s="30">
        <f t="shared" si="56"/>
        <v>0</v>
      </c>
      <c r="N368" s="30">
        <f t="shared" si="56"/>
        <v>0</v>
      </c>
      <c r="O368" s="30">
        <f t="shared" si="56"/>
        <v>0</v>
      </c>
      <c r="P368" s="27">
        <f t="shared" si="50"/>
        <v>1914417</v>
      </c>
    </row>
    <row r="369" spans="1:16" s="21" customFormat="1" ht="75" hidden="1">
      <c r="A369" s="25" t="s">
        <v>719</v>
      </c>
      <c r="B369" s="25" t="s">
        <v>116</v>
      </c>
      <c r="C369" s="25" t="s">
        <v>25</v>
      </c>
      <c r="D369" s="26" t="s">
        <v>720</v>
      </c>
      <c r="E369" s="27">
        <f t="shared" si="48"/>
        <v>1914417</v>
      </c>
      <c r="F369" s="27">
        <v>1914417</v>
      </c>
      <c r="G369" s="27">
        <v>1326875</v>
      </c>
      <c r="H369" s="27">
        <v>22540</v>
      </c>
      <c r="I369" s="27"/>
      <c r="J369" s="27">
        <f t="shared" si="49"/>
        <v>0</v>
      </c>
      <c r="K369" s="27"/>
      <c r="L369" s="27"/>
      <c r="M369" s="27"/>
      <c r="N369" s="27"/>
      <c r="O369" s="27"/>
      <c r="P369" s="27">
        <f t="shared" si="50"/>
        <v>1914417</v>
      </c>
    </row>
    <row r="370" spans="1:16" ht="45" hidden="1">
      <c r="A370" s="14" t="s">
        <v>721</v>
      </c>
      <c r="B370" s="14" t="s">
        <v>722</v>
      </c>
      <c r="C370" s="14"/>
      <c r="D370" s="123" t="s">
        <v>723</v>
      </c>
      <c r="E370" s="16">
        <f t="shared" si="48"/>
        <v>3142900</v>
      </c>
      <c r="F370" s="16">
        <f>F371</f>
        <v>3142900</v>
      </c>
      <c r="G370" s="16">
        <f>G371</f>
        <v>2303266</v>
      </c>
      <c r="H370" s="16">
        <f>H371</f>
        <v>98958</v>
      </c>
      <c r="I370" s="16">
        <f>I371</f>
        <v>0</v>
      </c>
      <c r="J370" s="16">
        <f t="shared" si="49"/>
        <v>0</v>
      </c>
      <c r="K370" s="16">
        <f>K371</f>
        <v>0</v>
      </c>
      <c r="L370" s="16">
        <f>L371</f>
        <v>0</v>
      </c>
      <c r="M370" s="16">
        <f>M371</f>
        <v>0</v>
      </c>
      <c r="N370" s="16">
        <f>N371</f>
        <v>0</v>
      </c>
      <c r="O370" s="16">
        <f>O371</f>
        <v>0</v>
      </c>
      <c r="P370" s="16">
        <f t="shared" si="50"/>
        <v>3142900</v>
      </c>
    </row>
    <row r="371" spans="1:16" ht="45" hidden="1">
      <c r="A371" s="25" t="s">
        <v>724</v>
      </c>
      <c r="B371" s="12"/>
      <c r="C371" s="12"/>
      <c r="D371" s="19" t="s">
        <v>723</v>
      </c>
      <c r="E371" s="27">
        <f t="shared" si="48"/>
        <v>3142900</v>
      </c>
      <c r="F371" s="27">
        <f>F372+F374</f>
        <v>3142900</v>
      </c>
      <c r="G371" s="27">
        <f>G372+G374</f>
        <v>2303266</v>
      </c>
      <c r="H371" s="27">
        <f>H372+H374</f>
        <v>98958</v>
      </c>
      <c r="I371" s="27">
        <f>I372+I374</f>
        <v>0</v>
      </c>
      <c r="J371" s="27">
        <f t="shared" si="49"/>
        <v>0</v>
      </c>
      <c r="K371" s="27">
        <f>K372+K374</f>
        <v>0</v>
      </c>
      <c r="L371" s="27">
        <f>L372+L374</f>
        <v>0</v>
      </c>
      <c r="M371" s="27">
        <f>M372+M374</f>
        <v>0</v>
      </c>
      <c r="N371" s="27">
        <f>N372+N374</f>
        <v>0</v>
      </c>
      <c r="O371" s="27">
        <f>O372+O374</f>
        <v>0</v>
      </c>
      <c r="P371" s="27">
        <f t="shared" si="50"/>
        <v>3142900</v>
      </c>
    </row>
    <row r="372" spans="1:16" hidden="1">
      <c r="A372" s="28" t="s">
        <v>725</v>
      </c>
      <c r="B372" s="28" t="s">
        <v>21</v>
      </c>
      <c r="C372" s="28"/>
      <c r="D372" s="23" t="s">
        <v>22</v>
      </c>
      <c r="E372" s="27">
        <f t="shared" si="48"/>
        <v>3142900</v>
      </c>
      <c r="F372" s="30">
        <f>F373</f>
        <v>3142900</v>
      </c>
      <c r="G372" s="30">
        <f>G373</f>
        <v>2303266</v>
      </c>
      <c r="H372" s="30">
        <f>H373</f>
        <v>98958</v>
      </c>
      <c r="I372" s="30">
        <f>I373</f>
        <v>0</v>
      </c>
      <c r="J372" s="27">
        <f t="shared" si="49"/>
        <v>0</v>
      </c>
      <c r="K372" s="30">
        <f>K373</f>
        <v>0</v>
      </c>
      <c r="L372" s="30">
        <f>L373</f>
        <v>0</v>
      </c>
      <c r="M372" s="30">
        <f>M373</f>
        <v>0</v>
      </c>
      <c r="N372" s="30">
        <f>N373</f>
        <v>0</v>
      </c>
      <c r="O372" s="30">
        <f>O373</f>
        <v>0</v>
      </c>
      <c r="P372" s="27">
        <f t="shared" si="50"/>
        <v>3142900</v>
      </c>
    </row>
    <row r="373" spans="1:16" ht="30" hidden="1">
      <c r="A373" s="25" t="s">
        <v>726</v>
      </c>
      <c r="B373" s="25" t="s">
        <v>116</v>
      </c>
      <c r="C373" s="25" t="s">
        <v>25</v>
      </c>
      <c r="D373" s="26" t="s">
        <v>727</v>
      </c>
      <c r="E373" s="27">
        <f t="shared" si="48"/>
        <v>3142900</v>
      </c>
      <c r="F373" s="27">
        <v>3142900</v>
      </c>
      <c r="G373" s="27">
        <v>2303266</v>
      </c>
      <c r="H373" s="27">
        <v>98958</v>
      </c>
      <c r="I373" s="27"/>
      <c r="J373" s="27">
        <f t="shared" si="49"/>
        <v>0</v>
      </c>
      <c r="K373" s="27"/>
      <c r="L373" s="27"/>
      <c r="M373" s="27"/>
      <c r="N373" s="27"/>
      <c r="O373" s="27"/>
      <c r="P373" s="27">
        <f t="shared" si="50"/>
        <v>3142900</v>
      </c>
    </row>
    <row r="374" spans="1:16" ht="39" hidden="1">
      <c r="A374" s="28" t="s">
        <v>728</v>
      </c>
      <c r="B374" s="28" t="s">
        <v>729</v>
      </c>
      <c r="C374" s="28"/>
      <c r="D374" s="33" t="s">
        <v>730</v>
      </c>
      <c r="E374" s="27">
        <f t="shared" si="48"/>
        <v>0</v>
      </c>
      <c r="F374" s="30">
        <f>F375</f>
        <v>0</v>
      </c>
      <c r="G374" s="30">
        <f>G375</f>
        <v>0</v>
      </c>
      <c r="H374" s="30">
        <f>H375</f>
        <v>0</v>
      </c>
      <c r="I374" s="30">
        <f>I375</f>
        <v>0</v>
      </c>
      <c r="J374" s="27">
        <f t="shared" si="49"/>
        <v>0</v>
      </c>
      <c r="K374" s="30">
        <f>K375</f>
        <v>0</v>
      </c>
      <c r="L374" s="30">
        <f>L375</f>
        <v>0</v>
      </c>
      <c r="M374" s="30">
        <f>M375</f>
        <v>0</v>
      </c>
      <c r="N374" s="30">
        <f>N375</f>
        <v>0</v>
      </c>
      <c r="O374" s="30">
        <f>O375</f>
        <v>0</v>
      </c>
      <c r="P374" s="27">
        <f t="shared" si="50"/>
        <v>0</v>
      </c>
    </row>
    <row r="375" spans="1:16" ht="30" hidden="1">
      <c r="A375" s="25" t="s">
        <v>731</v>
      </c>
      <c r="B375" s="25" t="s">
        <v>732</v>
      </c>
      <c r="C375" s="25" t="s">
        <v>733</v>
      </c>
      <c r="D375" s="31" t="s">
        <v>734</v>
      </c>
      <c r="E375" s="27">
        <f t="shared" si="48"/>
        <v>0</v>
      </c>
      <c r="F375" s="27"/>
      <c r="G375" s="27"/>
      <c r="H375" s="27"/>
      <c r="I375" s="27"/>
      <c r="J375" s="27">
        <f t="shared" si="49"/>
        <v>0</v>
      </c>
      <c r="K375" s="27"/>
      <c r="L375" s="27"/>
      <c r="M375" s="27"/>
      <c r="N375" s="27"/>
      <c r="O375" s="27"/>
      <c r="P375" s="27">
        <f t="shared" si="50"/>
        <v>0</v>
      </c>
    </row>
    <row r="376" spans="1:16" ht="45" hidden="1">
      <c r="A376" s="14" t="s">
        <v>735</v>
      </c>
      <c r="B376" s="14" t="s">
        <v>736</v>
      </c>
      <c r="C376" s="14"/>
      <c r="D376" s="15" t="s">
        <v>737</v>
      </c>
      <c r="E376" s="16">
        <f t="shared" si="48"/>
        <v>1833973</v>
      </c>
      <c r="F376" s="16">
        <f>F377</f>
        <v>1833973</v>
      </c>
      <c r="G376" s="16">
        <f>G377</f>
        <v>1304632</v>
      </c>
      <c r="H376" s="16">
        <f>H377</f>
        <v>60025</v>
      </c>
      <c r="I376" s="16">
        <f>I377</f>
        <v>0</v>
      </c>
      <c r="J376" s="16">
        <f t="shared" si="49"/>
        <v>26292589</v>
      </c>
      <c r="K376" s="16">
        <f>K377</f>
        <v>658000</v>
      </c>
      <c r="L376" s="16">
        <f>L377</f>
        <v>0</v>
      </c>
      <c r="M376" s="16">
        <f>M377</f>
        <v>0</v>
      </c>
      <c r="N376" s="16">
        <f>N377</f>
        <v>25634589</v>
      </c>
      <c r="O376" s="16">
        <f>O377</f>
        <v>10000000</v>
      </c>
      <c r="P376" s="50">
        <f t="shared" si="50"/>
        <v>28126562</v>
      </c>
    </row>
    <row r="377" spans="1:16" ht="45" hidden="1">
      <c r="A377" s="18" t="s">
        <v>738</v>
      </c>
      <c r="B377" s="38"/>
      <c r="C377" s="38"/>
      <c r="D377" s="19" t="s">
        <v>737</v>
      </c>
      <c r="E377" s="20">
        <f t="shared" si="48"/>
        <v>1833973</v>
      </c>
      <c r="F377" s="20">
        <f>F378+F380+F382+F384+F387+F389+F392</f>
        <v>1833973</v>
      </c>
      <c r="G377" s="20">
        <f>G378+G380+G382+G384+G387+G389+G392</f>
        <v>1304632</v>
      </c>
      <c r="H377" s="20">
        <f>H378+H380+H382+H384+H387+H389+H392</f>
        <v>60025</v>
      </c>
      <c r="I377" s="20">
        <f>I378+I380+I382+I384+I387+I389+I392</f>
        <v>0</v>
      </c>
      <c r="J377" s="20">
        <f t="shared" si="49"/>
        <v>26292589</v>
      </c>
      <c r="K377" s="20">
        <f>K378+K380+K382+K384+K387+K389+K392</f>
        <v>658000</v>
      </c>
      <c r="L377" s="20">
        <f>L378+L380+L382+L384+L387+L389+L392</f>
        <v>0</v>
      </c>
      <c r="M377" s="20">
        <f>M378+M380+M382+M384+M387+M389+M392</f>
        <v>0</v>
      </c>
      <c r="N377" s="20">
        <f>N378+N380+N382+N384+N387+N389+N392</f>
        <v>25634589</v>
      </c>
      <c r="O377" s="20">
        <f>O378+O380+O382+O384+O387+O389+O392</f>
        <v>10000000</v>
      </c>
      <c r="P377" s="20">
        <f t="shared" si="50"/>
        <v>28126562</v>
      </c>
    </row>
    <row r="378" spans="1:16" hidden="1">
      <c r="A378" s="28" t="s">
        <v>739</v>
      </c>
      <c r="B378" s="22" t="s">
        <v>21</v>
      </c>
      <c r="C378" s="22"/>
      <c r="D378" s="23" t="s">
        <v>22</v>
      </c>
      <c r="E378" s="20">
        <f t="shared" si="48"/>
        <v>1833973</v>
      </c>
      <c r="F378" s="24">
        <f>F379</f>
        <v>1833973</v>
      </c>
      <c r="G378" s="24">
        <f>G379</f>
        <v>1304632</v>
      </c>
      <c r="H378" s="24">
        <f>H379</f>
        <v>60025</v>
      </c>
      <c r="I378" s="24">
        <f>I379</f>
        <v>0</v>
      </c>
      <c r="J378" s="20">
        <f t="shared" si="49"/>
        <v>0</v>
      </c>
      <c r="K378" s="24">
        <f>K379</f>
        <v>0</v>
      </c>
      <c r="L378" s="24">
        <f>L379</f>
        <v>0</v>
      </c>
      <c r="M378" s="24">
        <f>M379</f>
        <v>0</v>
      </c>
      <c r="N378" s="24">
        <f>N379</f>
        <v>0</v>
      </c>
      <c r="O378" s="24">
        <f>O379</f>
        <v>0</v>
      </c>
      <c r="P378" s="20">
        <f t="shared" si="50"/>
        <v>1833973</v>
      </c>
    </row>
    <row r="379" spans="1:16" ht="60" hidden="1">
      <c r="A379" s="25" t="s">
        <v>740</v>
      </c>
      <c r="B379" s="25" t="s">
        <v>116</v>
      </c>
      <c r="C379" s="25" t="s">
        <v>25</v>
      </c>
      <c r="D379" s="26" t="s">
        <v>741</v>
      </c>
      <c r="E379" s="20">
        <f t="shared" si="48"/>
        <v>1833973</v>
      </c>
      <c r="F379" s="27">
        <v>1833973</v>
      </c>
      <c r="G379" s="27">
        <v>1304632</v>
      </c>
      <c r="H379" s="27">
        <v>60025</v>
      </c>
      <c r="I379" s="27"/>
      <c r="J379" s="20">
        <f t="shared" si="49"/>
        <v>0</v>
      </c>
      <c r="K379" s="27"/>
      <c r="L379" s="27"/>
      <c r="M379" s="27"/>
      <c r="N379" s="27"/>
      <c r="O379" s="27"/>
      <c r="P379" s="20">
        <f t="shared" si="50"/>
        <v>1833973</v>
      </c>
    </row>
    <row r="380" spans="1:16" hidden="1">
      <c r="A380" s="28" t="s">
        <v>742</v>
      </c>
      <c r="B380" s="28" t="s">
        <v>41</v>
      </c>
      <c r="C380" s="28"/>
      <c r="D380" s="33" t="s">
        <v>336</v>
      </c>
      <c r="E380" s="20">
        <f t="shared" si="48"/>
        <v>0</v>
      </c>
      <c r="F380" s="30">
        <f>F381</f>
        <v>0</v>
      </c>
      <c r="G380" s="30">
        <f>G381</f>
        <v>0</v>
      </c>
      <c r="H380" s="30">
        <f>H381</f>
        <v>0</v>
      </c>
      <c r="I380" s="30">
        <f>I381</f>
        <v>0</v>
      </c>
      <c r="J380" s="20">
        <f t="shared" si="49"/>
        <v>10000000</v>
      </c>
      <c r="K380" s="30">
        <f>K381</f>
        <v>0</v>
      </c>
      <c r="L380" s="30">
        <f>L381</f>
        <v>0</v>
      </c>
      <c r="M380" s="30">
        <f>M381</f>
        <v>0</v>
      </c>
      <c r="N380" s="30">
        <f>N381</f>
        <v>10000000</v>
      </c>
      <c r="O380" s="30">
        <f>O381</f>
        <v>10000000</v>
      </c>
      <c r="P380" s="20">
        <f t="shared" si="50"/>
        <v>10000000</v>
      </c>
    </row>
    <row r="381" spans="1:16" ht="45" hidden="1">
      <c r="A381" s="25" t="s">
        <v>743</v>
      </c>
      <c r="B381" s="25" t="s">
        <v>44</v>
      </c>
      <c r="C381" s="25" t="s">
        <v>45</v>
      </c>
      <c r="D381" s="31" t="s">
        <v>46</v>
      </c>
      <c r="E381" s="20">
        <f t="shared" si="48"/>
        <v>0</v>
      </c>
      <c r="F381" s="27"/>
      <c r="G381" s="27"/>
      <c r="H381" s="27"/>
      <c r="I381" s="27"/>
      <c r="J381" s="20">
        <f t="shared" si="49"/>
        <v>10000000</v>
      </c>
      <c r="K381" s="27"/>
      <c r="L381" s="27"/>
      <c r="M381" s="27"/>
      <c r="N381" s="27">
        <f>O381</f>
        <v>10000000</v>
      </c>
      <c r="O381" s="27">
        <v>10000000</v>
      </c>
      <c r="P381" s="20">
        <f t="shared" si="50"/>
        <v>10000000</v>
      </c>
    </row>
    <row r="382" spans="1:16" ht="26.25" hidden="1">
      <c r="A382" s="28" t="s">
        <v>744</v>
      </c>
      <c r="B382" s="28" t="s">
        <v>52</v>
      </c>
      <c r="C382" s="28"/>
      <c r="D382" s="33" t="s">
        <v>53</v>
      </c>
      <c r="E382" s="20">
        <f t="shared" si="48"/>
        <v>0</v>
      </c>
      <c r="F382" s="30">
        <f>F383</f>
        <v>0</v>
      </c>
      <c r="G382" s="30">
        <f>G383</f>
        <v>0</v>
      </c>
      <c r="H382" s="30">
        <f>H383</f>
        <v>0</v>
      </c>
      <c r="I382" s="30">
        <f>I383</f>
        <v>0</v>
      </c>
      <c r="J382" s="20">
        <f t="shared" si="49"/>
        <v>0</v>
      </c>
      <c r="K382" s="30">
        <f>K383</f>
        <v>0</v>
      </c>
      <c r="L382" s="30">
        <f>L383</f>
        <v>0</v>
      </c>
      <c r="M382" s="30">
        <f>M383</f>
        <v>0</v>
      </c>
      <c r="N382" s="30">
        <f>N383</f>
        <v>0</v>
      </c>
      <c r="O382" s="30">
        <f>O383</f>
        <v>0</v>
      </c>
      <c r="P382" s="20">
        <f t="shared" si="50"/>
        <v>0</v>
      </c>
    </row>
    <row r="383" spans="1:16" ht="45" hidden="1">
      <c r="A383" s="25" t="s">
        <v>745</v>
      </c>
      <c r="B383" s="25" t="s">
        <v>746</v>
      </c>
      <c r="C383" s="25"/>
      <c r="D383" s="31" t="s">
        <v>56</v>
      </c>
      <c r="E383" s="20">
        <f t="shared" si="48"/>
        <v>0</v>
      </c>
      <c r="F383" s="27"/>
      <c r="G383" s="27"/>
      <c r="H383" s="27"/>
      <c r="I383" s="27"/>
      <c r="J383" s="20">
        <f t="shared" si="49"/>
        <v>0</v>
      </c>
      <c r="K383" s="27"/>
      <c r="L383" s="27"/>
      <c r="M383" s="27"/>
      <c r="N383" s="27"/>
      <c r="O383" s="27"/>
      <c r="P383" s="20">
        <f t="shared" si="50"/>
        <v>0</v>
      </c>
    </row>
    <row r="384" spans="1:16" ht="39" hidden="1">
      <c r="A384" s="28" t="s">
        <v>747</v>
      </c>
      <c r="B384" s="28" t="s">
        <v>748</v>
      </c>
      <c r="C384" s="28"/>
      <c r="D384" s="33" t="s">
        <v>749</v>
      </c>
      <c r="E384" s="20">
        <f t="shared" si="48"/>
        <v>0</v>
      </c>
      <c r="F384" s="30">
        <f t="shared" ref="F384:I385" si="57">F385</f>
        <v>0</v>
      </c>
      <c r="G384" s="30">
        <f t="shared" si="57"/>
        <v>0</v>
      </c>
      <c r="H384" s="30">
        <f t="shared" si="57"/>
        <v>0</v>
      </c>
      <c r="I384" s="30">
        <f t="shared" si="57"/>
        <v>0</v>
      </c>
      <c r="J384" s="20">
        <f t="shared" si="49"/>
        <v>0</v>
      </c>
      <c r="K384" s="30">
        <f t="shared" ref="K384:O385" si="58">K385</f>
        <v>0</v>
      </c>
      <c r="L384" s="30">
        <f t="shared" si="58"/>
        <v>0</v>
      </c>
      <c r="M384" s="30">
        <f t="shared" si="58"/>
        <v>0</v>
      </c>
      <c r="N384" s="30">
        <f t="shared" si="58"/>
        <v>0</v>
      </c>
      <c r="O384" s="30">
        <f t="shared" si="58"/>
        <v>0</v>
      </c>
      <c r="P384" s="20">
        <f t="shared" si="50"/>
        <v>0</v>
      </c>
    </row>
    <row r="385" spans="1:16" ht="39" hidden="1">
      <c r="A385" s="28" t="s">
        <v>750</v>
      </c>
      <c r="B385" s="28" t="s">
        <v>751</v>
      </c>
      <c r="C385" s="28"/>
      <c r="D385" s="33" t="s">
        <v>226</v>
      </c>
      <c r="E385" s="20">
        <f t="shared" si="48"/>
        <v>0</v>
      </c>
      <c r="F385" s="30">
        <f t="shared" si="57"/>
        <v>0</v>
      </c>
      <c r="G385" s="30">
        <f t="shared" si="57"/>
        <v>0</v>
      </c>
      <c r="H385" s="30">
        <f t="shared" si="57"/>
        <v>0</v>
      </c>
      <c r="I385" s="30">
        <f t="shared" si="57"/>
        <v>0</v>
      </c>
      <c r="J385" s="20">
        <f t="shared" si="49"/>
        <v>0</v>
      </c>
      <c r="K385" s="30">
        <f t="shared" si="58"/>
        <v>0</v>
      </c>
      <c r="L385" s="30">
        <f t="shared" si="58"/>
        <v>0</v>
      </c>
      <c r="M385" s="30">
        <f t="shared" si="58"/>
        <v>0</v>
      </c>
      <c r="N385" s="30">
        <f t="shared" si="58"/>
        <v>0</v>
      </c>
      <c r="O385" s="30">
        <f t="shared" si="58"/>
        <v>0</v>
      </c>
      <c r="P385" s="20">
        <f t="shared" si="50"/>
        <v>0</v>
      </c>
    </row>
    <row r="386" spans="1:16" ht="30" hidden="1">
      <c r="A386" s="25" t="s">
        <v>752</v>
      </c>
      <c r="B386" s="25" t="s">
        <v>753</v>
      </c>
      <c r="C386" s="25" t="s">
        <v>225</v>
      </c>
      <c r="D386" s="26" t="s">
        <v>754</v>
      </c>
      <c r="E386" s="20">
        <f t="shared" si="48"/>
        <v>0</v>
      </c>
      <c r="F386" s="27"/>
      <c r="G386" s="27"/>
      <c r="H386" s="27"/>
      <c r="I386" s="27"/>
      <c r="J386" s="20">
        <f t="shared" si="49"/>
        <v>0</v>
      </c>
      <c r="K386" s="27"/>
      <c r="L386" s="27"/>
      <c r="M386" s="27"/>
      <c r="N386" s="27"/>
      <c r="O386" s="27"/>
      <c r="P386" s="20">
        <f t="shared" si="50"/>
        <v>0</v>
      </c>
    </row>
    <row r="387" spans="1:16" hidden="1">
      <c r="A387" s="120" t="s">
        <v>755</v>
      </c>
      <c r="B387" s="120" t="s">
        <v>209</v>
      </c>
      <c r="C387" s="120"/>
      <c r="D387" s="124" t="s">
        <v>210</v>
      </c>
      <c r="E387" s="20">
        <f t="shared" ref="E387:E415" si="59">F387+I387</f>
        <v>0</v>
      </c>
      <c r="F387" s="70">
        <f>F388</f>
        <v>0</v>
      </c>
      <c r="G387" s="70">
        <f>G388</f>
        <v>0</v>
      </c>
      <c r="H387" s="70">
        <f>H388</f>
        <v>0</v>
      </c>
      <c r="I387" s="70">
        <f>I388</f>
        <v>0</v>
      </c>
      <c r="J387" s="20">
        <f t="shared" ref="J387:J422" si="60">K387+N387</f>
        <v>0</v>
      </c>
      <c r="K387" s="70">
        <f>K388</f>
        <v>0</v>
      </c>
      <c r="L387" s="70">
        <f>L388</f>
        <v>0</v>
      </c>
      <c r="M387" s="70">
        <f>M388</f>
        <v>0</v>
      </c>
      <c r="N387" s="70">
        <f>N388</f>
        <v>0</v>
      </c>
      <c r="O387" s="70">
        <f>O388</f>
        <v>0</v>
      </c>
      <c r="P387" s="20">
        <f t="shared" ref="P387:P415" si="61">E387+J387</f>
        <v>0</v>
      </c>
    </row>
    <row r="388" spans="1:16" ht="30" hidden="1">
      <c r="A388" s="25" t="s">
        <v>756</v>
      </c>
      <c r="B388" s="25" t="s">
        <v>212</v>
      </c>
      <c r="C388" s="25" t="s">
        <v>213</v>
      </c>
      <c r="D388" s="39" t="s">
        <v>214</v>
      </c>
      <c r="E388" s="20">
        <f t="shared" si="59"/>
        <v>0</v>
      </c>
      <c r="F388" s="27"/>
      <c r="G388" s="27"/>
      <c r="H388" s="27"/>
      <c r="I388" s="27"/>
      <c r="J388" s="20">
        <f t="shared" si="60"/>
        <v>0</v>
      </c>
      <c r="K388" s="27"/>
      <c r="L388" s="27"/>
      <c r="M388" s="27"/>
      <c r="N388" s="27"/>
      <c r="O388" s="27"/>
      <c r="P388" s="20">
        <f t="shared" si="61"/>
        <v>0</v>
      </c>
    </row>
    <row r="389" spans="1:16" ht="26.25" hidden="1">
      <c r="A389" s="28" t="s">
        <v>757</v>
      </c>
      <c r="B389" s="28" t="s">
        <v>58</v>
      </c>
      <c r="C389" s="28"/>
      <c r="D389" s="29" t="s">
        <v>59</v>
      </c>
      <c r="E389" s="20">
        <f t="shared" si="59"/>
        <v>0</v>
      </c>
      <c r="F389" s="30">
        <f>F390</f>
        <v>0</v>
      </c>
      <c r="G389" s="30">
        <f t="shared" ref="G389:I390" si="62">G390</f>
        <v>0</v>
      </c>
      <c r="H389" s="30">
        <f t="shared" si="62"/>
        <v>0</v>
      </c>
      <c r="I389" s="30">
        <f t="shared" si="62"/>
        <v>0</v>
      </c>
      <c r="J389" s="20">
        <f t="shared" si="60"/>
        <v>0</v>
      </c>
      <c r="K389" s="30">
        <f t="shared" ref="K389:O390" si="63">K390</f>
        <v>0</v>
      </c>
      <c r="L389" s="30">
        <f t="shared" si="63"/>
        <v>0</v>
      </c>
      <c r="M389" s="30">
        <f t="shared" si="63"/>
        <v>0</v>
      </c>
      <c r="N389" s="30">
        <f t="shared" si="63"/>
        <v>0</v>
      </c>
      <c r="O389" s="30">
        <f t="shared" si="63"/>
        <v>0</v>
      </c>
      <c r="P389" s="20">
        <f t="shared" si="61"/>
        <v>0</v>
      </c>
    </row>
    <row r="390" spans="1:16" hidden="1">
      <c r="A390" s="120" t="s">
        <v>758</v>
      </c>
      <c r="B390" s="120" t="s">
        <v>66</v>
      </c>
      <c r="C390" s="120"/>
      <c r="D390" s="125" t="s">
        <v>67</v>
      </c>
      <c r="E390" s="20">
        <f t="shared" si="59"/>
        <v>0</v>
      </c>
      <c r="F390" s="70">
        <f>F391</f>
        <v>0</v>
      </c>
      <c r="G390" s="70">
        <f t="shared" si="62"/>
        <v>0</v>
      </c>
      <c r="H390" s="70">
        <f t="shared" si="62"/>
        <v>0</v>
      </c>
      <c r="I390" s="70">
        <f t="shared" si="62"/>
        <v>0</v>
      </c>
      <c r="J390" s="20">
        <f t="shared" si="60"/>
        <v>0</v>
      </c>
      <c r="K390" s="70">
        <f t="shared" si="63"/>
        <v>0</v>
      </c>
      <c r="L390" s="70">
        <f t="shared" si="63"/>
        <v>0</v>
      </c>
      <c r="M390" s="70">
        <f t="shared" si="63"/>
        <v>0</v>
      </c>
      <c r="N390" s="70">
        <f t="shared" si="63"/>
        <v>0</v>
      </c>
      <c r="O390" s="70">
        <f t="shared" si="63"/>
        <v>0</v>
      </c>
      <c r="P390" s="20">
        <f t="shared" si="61"/>
        <v>0</v>
      </c>
    </row>
    <row r="391" spans="1:16" ht="105" hidden="1">
      <c r="A391" s="25" t="s">
        <v>759</v>
      </c>
      <c r="B391" s="25" t="s">
        <v>73</v>
      </c>
      <c r="C391" s="25"/>
      <c r="D391" s="39" t="s">
        <v>706</v>
      </c>
      <c r="E391" s="20">
        <f t="shared" si="59"/>
        <v>0</v>
      </c>
      <c r="F391" s="27"/>
      <c r="G391" s="27"/>
      <c r="H391" s="27"/>
      <c r="I391" s="27"/>
      <c r="J391" s="20">
        <f t="shared" si="60"/>
        <v>0</v>
      </c>
      <c r="K391" s="27"/>
      <c r="L391" s="27"/>
      <c r="M391" s="27"/>
      <c r="N391" s="27"/>
      <c r="O391" s="27"/>
      <c r="P391" s="20">
        <f t="shared" si="61"/>
        <v>0</v>
      </c>
    </row>
    <row r="392" spans="1:16" hidden="1">
      <c r="A392" s="28" t="s">
        <v>760</v>
      </c>
      <c r="B392" s="28" t="s">
        <v>102</v>
      </c>
      <c r="C392" s="28"/>
      <c r="D392" s="71" t="s">
        <v>103</v>
      </c>
      <c r="E392" s="20">
        <f t="shared" si="59"/>
        <v>0</v>
      </c>
      <c r="F392" s="30">
        <f>F393+F394</f>
        <v>0</v>
      </c>
      <c r="G392" s="30">
        <f>G393+G394</f>
        <v>0</v>
      </c>
      <c r="H392" s="30">
        <f>H393+H394</f>
        <v>0</v>
      </c>
      <c r="I392" s="30">
        <f>I393+I394</f>
        <v>0</v>
      </c>
      <c r="J392" s="20">
        <f t="shared" si="60"/>
        <v>16292589</v>
      </c>
      <c r="K392" s="30">
        <f>K393+K394</f>
        <v>658000</v>
      </c>
      <c r="L392" s="30">
        <f>L393+L394</f>
        <v>0</v>
      </c>
      <c r="M392" s="30">
        <f>M393+M394</f>
        <v>0</v>
      </c>
      <c r="N392" s="30">
        <f>N393+N394</f>
        <v>15634589</v>
      </c>
      <c r="O392" s="30">
        <f>O393+O394</f>
        <v>0</v>
      </c>
      <c r="P392" s="20">
        <f t="shared" si="61"/>
        <v>16292589</v>
      </c>
    </row>
    <row r="393" spans="1:16" ht="45" hidden="1">
      <c r="A393" s="25" t="s">
        <v>761</v>
      </c>
      <c r="B393" s="25" t="s">
        <v>224</v>
      </c>
      <c r="C393" s="25" t="s">
        <v>225</v>
      </c>
      <c r="D393" s="74" t="s">
        <v>226</v>
      </c>
      <c r="E393" s="20">
        <f t="shared" si="59"/>
        <v>0</v>
      </c>
      <c r="F393" s="27"/>
      <c r="G393" s="27"/>
      <c r="H393" s="27"/>
      <c r="I393" s="27"/>
      <c r="J393" s="20">
        <f t="shared" si="60"/>
        <v>16292589</v>
      </c>
      <c r="K393" s="27">
        <v>658000</v>
      </c>
      <c r="L393" s="27"/>
      <c r="M393" s="27"/>
      <c r="N393" s="27">
        <v>15634589</v>
      </c>
      <c r="O393" s="27"/>
      <c r="P393" s="20">
        <f t="shared" si="61"/>
        <v>16292589</v>
      </c>
    </row>
    <row r="394" spans="1:16" ht="77.25" hidden="1">
      <c r="A394" s="35" t="s">
        <v>762</v>
      </c>
      <c r="B394" s="34" t="s">
        <v>105</v>
      </c>
      <c r="C394" s="34"/>
      <c r="D394" s="122" t="s">
        <v>106</v>
      </c>
      <c r="E394" s="20">
        <f t="shared" si="59"/>
        <v>0</v>
      </c>
      <c r="F394" s="27">
        <f>F395</f>
        <v>0</v>
      </c>
      <c r="G394" s="27">
        <f>G395</f>
        <v>0</v>
      </c>
      <c r="H394" s="27">
        <f>H395</f>
        <v>0</v>
      </c>
      <c r="I394" s="27">
        <f>I395</f>
        <v>0</v>
      </c>
      <c r="J394" s="20">
        <f t="shared" si="60"/>
        <v>0</v>
      </c>
      <c r="K394" s="27">
        <f>K395</f>
        <v>0</v>
      </c>
      <c r="L394" s="27">
        <f>L395</f>
        <v>0</v>
      </c>
      <c r="M394" s="27">
        <f>M395</f>
        <v>0</v>
      </c>
      <c r="N394" s="27">
        <f>N395</f>
        <v>0</v>
      </c>
      <c r="O394" s="27">
        <f>O395</f>
        <v>0</v>
      </c>
      <c r="P394" s="20">
        <f t="shared" si="61"/>
        <v>0</v>
      </c>
    </row>
    <row r="395" spans="1:16" ht="30" hidden="1">
      <c r="A395" s="80" t="s">
        <v>763</v>
      </c>
      <c r="B395" s="80" t="s">
        <v>108</v>
      </c>
      <c r="C395" s="80"/>
      <c r="D395" s="31" t="s">
        <v>109</v>
      </c>
      <c r="E395" s="20">
        <f t="shared" si="59"/>
        <v>0</v>
      </c>
      <c r="F395" s="27"/>
      <c r="G395" s="27"/>
      <c r="H395" s="27"/>
      <c r="I395" s="27"/>
      <c r="J395" s="20">
        <f t="shared" si="60"/>
        <v>0</v>
      </c>
      <c r="K395" s="27"/>
      <c r="L395" s="27"/>
      <c r="M395" s="27"/>
      <c r="N395" s="27"/>
      <c r="O395" s="27"/>
      <c r="P395" s="20">
        <f t="shared" si="61"/>
        <v>0</v>
      </c>
    </row>
    <row r="396" spans="1:16" ht="60" hidden="1">
      <c r="A396" s="14" t="s">
        <v>764</v>
      </c>
      <c r="B396" s="14" t="s">
        <v>765</v>
      </c>
      <c r="C396" s="14"/>
      <c r="D396" s="15" t="s">
        <v>766</v>
      </c>
      <c r="E396" s="16">
        <f t="shared" si="59"/>
        <v>61820084</v>
      </c>
      <c r="F396" s="16">
        <f>F397</f>
        <v>61820084</v>
      </c>
      <c r="G396" s="16">
        <f>G397</f>
        <v>1377076</v>
      </c>
      <c r="H396" s="16">
        <f>H397</f>
        <v>33563</v>
      </c>
      <c r="I396" s="16">
        <f>I397</f>
        <v>0</v>
      </c>
      <c r="J396" s="16">
        <f t="shared" si="60"/>
        <v>382776117</v>
      </c>
      <c r="K396" s="16">
        <f>K397</f>
        <v>0</v>
      </c>
      <c r="L396" s="16">
        <f>L397</f>
        <v>0</v>
      </c>
      <c r="M396" s="16">
        <f>M397</f>
        <v>0</v>
      </c>
      <c r="N396" s="16">
        <f>N397</f>
        <v>382776117</v>
      </c>
      <c r="O396" s="16">
        <f>O397</f>
        <v>382776117</v>
      </c>
      <c r="P396" s="50">
        <f t="shared" si="61"/>
        <v>444596201</v>
      </c>
    </row>
    <row r="397" spans="1:16" ht="60" hidden="1">
      <c r="A397" s="25" t="s">
        <v>767</v>
      </c>
      <c r="B397" s="12"/>
      <c r="C397" s="12"/>
      <c r="D397" s="26" t="s">
        <v>766</v>
      </c>
      <c r="E397" s="27">
        <f t="shared" si="59"/>
        <v>61820084</v>
      </c>
      <c r="F397" s="27">
        <f>F398+F400+F402+F404+F408+F410+F412</f>
        <v>61820084</v>
      </c>
      <c r="G397" s="27">
        <f>G398+G400+G402+G404+G408+G410+G412</f>
        <v>1377076</v>
      </c>
      <c r="H397" s="27">
        <f>H398+H400+H402+H404+H408+H410+H412</f>
        <v>33563</v>
      </c>
      <c r="I397" s="27">
        <f>I398+I400+I402+I404+I408+I410+I412</f>
        <v>0</v>
      </c>
      <c r="J397" s="27">
        <f t="shared" si="60"/>
        <v>382776117</v>
      </c>
      <c r="K397" s="27">
        <f>K398+K400+K402+K404+K408+K410+K412</f>
        <v>0</v>
      </c>
      <c r="L397" s="27">
        <f>L398+L400+L402+L404+L408+L410+L412</f>
        <v>0</v>
      </c>
      <c r="M397" s="27">
        <f>M398+M400+M402+M404+M408+M410+M412</f>
        <v>0</v>
      </c>
      <c r="N397" s="27">
        <f>N398+N400+N402+N404+N408+N410+N412</f>
        <v>382776117</v>
      </c>
      <c r="O397" s="27">
        <f>O398+O400+O402+O404+O408+O410+O412</f>
        <v>382776117</v>
      </c>
      <c r="P397" s="27">
        <f t="shared" si="61"/>
        <v>444596201</v>
      </c>
    </row>
    <row r="398" spans="1:16" hidden="1">
      <c r="A398" s="28" t="s">
        <v>768</v>
      </c>
      <c r="B398" s="28" t="s">
        <v>21</v>
      </c>
      <c r="C398" s="28"/>
      <c r="D398" s="29" t="s">
        <v>22</v>
      </c>
      <c r="E398" s="27">
        <f t="shared" si="59"/>
        <v>1820084</v>
      </c>
      <c r="F398" s="30">
        <f>F399</f>
        <v>1820084</v>
      </c>
      <c r="G398" s="30">
        <f>G399</f>
        <v>1377076</v>
      </c>
      <c r="H398" s="30">
        <f>H399</f>
        <v>33563</v>
      </c>
      <c r="I398" s="30">
        <f>I399</f>
        <v>0</v>
      </c>
      <c r="J398" s="27">
        <f t="shared" si="60"/>
        <v>0</v>
      </c>
      <c r="K398" s="30">
        <f>K399</f>
        <v>0</v>
      </c>
      <c r="L398" s="30">
        <f>L399</f>
        <v>0</v>
      </c>
      <c r="M398" s="30">
        <f>M399</f>
        <v>0</v>
      </c>
      <c r="N398" s="30">
        <f>N399</f>
        <v>0</v>
      </c>
      <c r="O398" s="30">
        <f>O399</f>
        <v>0</v>
      </c>
      <c r="P398" s="27">
        <f t="shared" si="61"/>
        <v>1820084</v>
      </c>
    </row>
    <row r="399" spans="1:16" ht="30" hidden="1">
      <c r="A399" s="25" t="s">
        <v>769</v>
      </c>
      <c r="B399" s="25" t="s">
        <v>116</v>
      </c>
      <c r="C399" s="25" t="s">
        <v>25</v>
      </c>
      <c r="D399" s="26" t="s">
        <v>770</v>
      </c>
      <c r="E399" s="27">
        <f t="shared" si="59"/>
        <v>1820084</v>
      </c>
      <c r="F399" s="27">
        <v>1820084</v>
      </c>
      <c r="G399" s="27">
        <v>1377076</v>
      </c>
      <c r="H399" s="27">
        <v>33563</v>
      </c>
      <c r="I399" s="27"/>
      <c r="J399" s="27">
        <f t="shared" si="60"/>
        <v>0</v>
      </c>
      <c r="K399" s="27"/>
      <c r="L399" s="27"/>
      <c r="M399" s="27"/>
      <c r="N399" s="27"/>
      <c r="O399" s="27"/>
      <c r="P399" s="27">
        <f t="shared" si="61"/>
        <v>1820084</v>
      </c>
    </row>
    <row r="400" spans="1:16" hidden="1">
      <c r="A400" s="28" t="s">
        <v>771</v>
      </c>
      <c r="B400" s="28" t="s">
        <v>41</v>
      </c>
      <c r="C400" s="28"/>
      <c r="D400" s="29" t="s">
        <v>336</v>
      </c>
      <c r="E400" s="27">
        <f t="shared" si="59"/>
        <v>0</v>
      </c>
      <c r="F400" s="30">
        <f>F401</f>
        <v>0</v>
      </c>
      <c r="G400" s="30">
        <f>G401</f>
        <v>0</v>
      </c>
      <c r="H400" s="30">
        <f>H401</f>
        <v>0</v>
      </c>
      <c r="I400" s="30">
        <f>I401</f>
        <v>0</v>
      </c>
      <c r="J400" s="27">
        <f t="shared" si="60"/>
        <v>288944407</v>
      </c>
      <c r="K400" s="30">
        <f>K401</f>
        <v>0</v>
      </c>
      <c r="L400" s="30">
        <f>L401</f>
        <v>0</v>
      </c>
      <c r="M400" s="30">
        <f>M401</f>
        <v>0</v>
      </c>
      <c r="N400" s="30">
        <f>N401</f>
        <v>288944407</v>
      </c>
      <c r="O400" s="30">
        <f>O401</f>
        <v>288944407</v>
      </c>
      <c r="P400" s="27">
        <f t="shared" si="61"/>
        <v>288944407</v>
      </c>
    </row>
    <row r="401" spans="1:16" ht="45" hidden="1">
      <c r="A401" s="25" t="s">
        <v>772</v>
      </c>
      <c r="B401" s="25" t="s">
        <v>44</v>
      </c>
      <c r="C401" s="25" t="s">
        <v>45</v>
      </c>
      <c r="D401" s="31" t="s">
        <v>46</v>
      </c>
      <c r="E401" s="27">
        <f t="shared" si="59"/>
        <v>0</v>
      </c>
      <c r="F401" s="27"/>
      <c r="G401" s="27"/>
      <c r="H401" s="27"/>
      <c r="I401" s="27"/>
      <c r="J401" s="27">
        <f t="shared" si="60"/>
        <v>288944407</v>
      </c>
      <c r="K401" s="27"/>
      <c r="L401" s="27"/>
      <c r="M401" s="27"/>
      <c r="N401" s="27">
        <f>O401</f>
        <v>288944407</v>
      </c>
      <c r="O401" s="27">
        <f>1571658+205000000+196372000-400000-20000000-45972000-27627251-20000000</f>
        <v>288944407</v>
      </c>
      <c r="P401" s="27">
        <f t="shared" si="61"/>
        <v>288944407</v>
      </c>
    </row>
    <row r="402" spans="1:16" ht="51.75" hidden="1">
      <c r="A402" s="28" t="s">
        <v>773</v>
      </c>
      <c r="B402" s="28" t="s">
        <v>664</v>
      </c>
      <c r="C402" s="28"/>
      <c r="D402" s="33" t="s">
        <v>665</v>
      </c>
      <c r="E402" s="27">
        <f t="shared" si="59"/>
        <v>58800000</v>
      </c>
      <c r="F402" s="30">
        <f>F403</f>
        <v>58800000</v>
      </c>
      <c r="G402" s="30">
        <f>G403</f>
        <v>0</v>
      </c>
      <c r="H402" s="30">
        <f>H403</f>
        <v>0</v>
      </c>
      <c r="I402" s="30">
        <f>I403</f>
        <v>0</v>
      </c>
      <c r="J402" s="27">
        <f t="shared" si="60"/>
        <v>0</v>
      </c>
      <c r="K402" s="30">
        <f>K403</f>
        <v>0</v>
      </c>
      <c r="L402" s="30">
        <f>L403</f>
        <v>0</v>
      </c>
      <c r="M402" s="30">
        <f>M403</f>
        <v>0</v>
      </c>
      <c r="N402" s="30">
        <f>N403</f>
        <v>0</v>
      </c>
      <c r="O402" s="30">
        <f>O403</f>
        <v>0</v>
      </c>
      <c r="P402" s="27">
        <f t="shared" si="61"/>
        <v>58800000</v>
      </c>
    </row>
    <row r="403" spans="1:16" ht="30" hidden="1">
      <c r="A403" s="25" t="s">
        <v>774</v>
      </c>
      <c r="B403" s="25" t="s">
        <v>775</v>
      </c>
      <c r="C403" s="25" t="s">
        <v>776</v>
      </c>
      <c r="D403" s="74" t="s">
        <v>777</v>
      </c>
      <c r="E403" s="27">
        <f t="shared" si="59"/>
        <v>58800000</v>
      </c>
      <c r="F403" s="27">
        <f>60000000-1200000</f>
        <v>58800000</v>
      </c>
      <c r="G403" s="27"/>
      <c r="H403" s="27"/>
      <c r="I403" s="27"/>
      <c r="J403" s="27">
        <f t="shared" si="60"/>
        <v>0</v>
      </c>
      <c r="K403" s="27"/>
      <c r="L403" s="27"/>
      <c r="M403" s="27"/>
      <c r="N403" s="27"/>
      <c r="O403" s="27"/>
      <c r="P403" s="27">
        <f t="shared" si="61"/>
        <v>58800000</v>
      </c>
    </row>
    <row r="404" spans="1:16" ht="26.25" hidden="1">
      <c r="A404" s="35" t="s">
        <v>778</v>
      </c>
      <c r="B404" s="35" t="s">
        <v>779</v>
      </c>
      <c r="C404" s="35"/>
      <c r="D404" s="36" t="s">
        <v>780</v>
      </c>
      <c r="E404" s="27">
        <f t="shared" si="59"/>
        <v>1200000</v>
      </c>
      <c r="F404" s="37">
        <f>F405+F406+F407</f>
        <v>1200000</v>
      </c>
      <c r="G404" s="37">
        <f>G405+G406+G407</f>
        <v>0</v>
      </c>
      <c r="H404" s="37">
        <f>H405+H406+H407</f>
        <v>0</v>
      </c>
      <c r="I404" s="37">
        <f>I405+I406+I407</f>
        <v>0</v>
      </c>
      <c r="J404" s="27">
        <f t="shared" si="60"/>
        <v>20000000</v>
      </c>
      <c r="K404" s="37">
        <f>K405+K406+K407</f>
        <v>0</v>
      </c>
      <c r="L404" s="37">
        <f>L405+L406+L407</f>
        <v>0</v>
      </c>
      <c r="M404" s="37">
        <f>M405+M406+M407</f>
        <v>0</v>
      </c>
      <c r="N404" s="37">
        <f>N405+N406+N407</f>
        <v>20000000</v>
      </c>
      <c r="O404" s="37">
        <f>O405+O406+O407</f>
        <v>20000000</v>
      </c>
      <c r="P404" s="27">
        <f t="shared" si="61"/>
        <v>21200000</v>
      </c>
    </row>
    <row r="405" spans="1:16" ht="45" hidden="1">
      <c r="A405" s="25" t="s">
        <v>781</v>
      </c>
      <c r="B405" s="25" t="s">
        <v>782</v>
      </c>
      <c r="C405" s="25" t="s">
        <v>783</v>
      </c>
      <c r="D405" s="26" t="s">
        <v>784</v>
      </c>
      <c r="E405" s="27">
        <f t="shared" si="59"/>
        <v>0</v>
      </c>
      <c r="F405" s="27"/>
      <c r="G405" s="27"/>
      <c r="H405" s="27"/>
      <c r="I405" s="27"/>
      <c r="J405" s="27">
        <f t="shared" si="60"/>
        <v>0</v>
      </c>
      <c r="K405" s="27"/>
      <c r="L405" s="27"/>
      <c r="M405" s="27"/>
      <c r="N405" s="27"/>
      <c r="O405" s="27"/>
      <c r="P405" s="27">
        <f t="shared" si="61"/>
        <v>0</v>
      </c>
    </row>
    <row r="406" spans="1:16" ht="30" hidden="1">
      <c r="A406" s="25" t="s">
        <v>785</v>
      </c>
      <c r="B406" s="25" t="s">
        <v>786</v>
      </c>
      <c r="C406" s="25" t="s">
        <v>783</v>
      </c>
      <c r="D406" s="26" t="s">
        <v>787</v>
      </c>
      <c r="E406" s="27">
        <f t="shared" si="59"/>
        <v>0</v>
      </c>
      <c r="F406" s="27"/>
      <c r="G406" s="27"/>
      <c r="H406" s="27"/>
      <c r="I406" s="27"/>
      <c r="J406" s="27">
        <f t="shared" si="60"/>
        <v>20000000</v>
      </c>
      <c r="K406" s="27"/>
      <c r="L406" s="27"/>
      <c r="M406" s="27"/>
      <c r="N406" s="27">
        <f>O406</f>
        <v>20000000</v>
      </c>
      <c r="O406" s="27">
        <f>20000000</f>
        <v>20000000</v>
      </c>
      <c r="P406" s="27">
        <f t="shared" si="61"/>
        <v>20000000</v>
      </c>
    </row>
    <row r="407" spans="1:16" ht="45" hidden="1">
      <c r="A407" s="25" t="s">
        <v>788</v>
      </c>
      <c r="B407" s="25" t="s">
        <v>789</v>
      </c>
      <c r="C407" s="25" t="s">
        <v>783</v>
      </c>
      <c r="D407" s="26" t="s">
        <v>790</v>
      </c>
      <c r="E407" s="27">
        <f t="shared" si="59"/>
        <v>1200000</v>
      </c>
      <c r="F407" s="27">
        <v>1200000</v>
      </c>
      <c r="G407" s="27"/>
      <c r="H407" s="27"/>
      <c r="I407" s="27"/>
      <c r="J407" s="27">
        <f t="shared" si="60"/>
        <v>0</v>
      </c>
      <c r="K407" s="27"/>
      <c r="L407" s="27"/>
      <c r="M407" s="27"/>
      <c r="N407" s="27"/>
      <c r="O407" s="27"/>
      <c r="P407" s="27">
        <f t="shared" si="61"/>
        <v>1200000</v>
      </c>
    </row>
    <row r="408" spans="1:16" ht="26.25" hidden="1">
      <c r="A408" s="34" t="s">
        <v>791</v>
      </c>
      <c r="B408" s="34" t="s">
        <v>792</v>
      </c>
      <c r="C408" s="34"/>
      <c r="D408" s="67" t="s">
        <v>793</v>
      </c>
      <c r="E408" s="27">
        <f t="shared" si="59"/>
        <v>0</v>
      </c>
      <c r="F408" s="37">
        <f>F409</f>
        <v>0</v>
      </c>
      <c r="G408" s="37">
        <f>G409</f>
        <v>0</v>
      </c>
      <c r="H408" s="37">
        <f>H409</f>
        <v>0</v>
      </c>
      <c r="I408" s="37">
        <f>I409</f>
        <v>0</v>
      </c>
      <c r="J408" s="27">
        <f t="shared" si="60"/>
        <v>0</v>
      </c>
      <c r="K408" s="37">
        <f>K409</f>
        <v>0</v>
      </c>
      <c r="L408" s="37">
        <f>L409</f>
        <v>0</v>
      </c>
      <c r="M408" s="37">
        <f>M409</f>
        <v>0</v>
      </c>
      <c r="N408" s="37">
        <f>N409</f>
        <v>0</v>
      </c>
      <c r="O408" s="37">
        <f>O409</f>
        <v>0</v>
      </c>
      <c r="P408" s="27">
        <f t="shared" si="61"/>
        <v>0</v>
      </c>
    </row>
    <row r="409" spans="1:16" ht="45" hidden="1">
      <c r="A409" s="18" t="s">
        <v>794</v>
      </c>
      <c r="B409" s="18" t="s">
        <v>795</v>
      </c>
      <c r="C409" s="18"/>
      <c r="D409" s="39" t="s">
        <v>796</v>
      </c>
      <c r="E409" s="27">
        <f t="shared" si="59"/>
        <v>0</v>
      </c>
      <c r="F409" s="43"/>
      <c r="G409" s="43"/>
      <c r="H409" s="43"/>
      <c r="I409" s="43"/>
      <c r="J409" s="27">
        <f t="shared" si="60"/>
        <v>0</v>
      </c>
      <c r="K409" s="43"/>
      <c r="L409" s="43"/>
      <c r="M409" s="43"/>
      <c r="N409" s="43"/>
      <c r="O409" s="43"/>
      <c r="P409" s="27">
        <f t="shared" si="61"/>
        <v>0</v>
      </c>
    </row>
    <row r="410" spans="1:16" ht="26.25" hidden="1">
      <c r="A410" s="28" t="s">
        <v>797</v>
      </c>
      <c r="B410" s="22" t="s">
        <v>52</v>
      </c>
      <c r="C410" s="22"/>
      <c r="D410" s="71" t="s">
        <v>53</v>
      </c>
      <c r="E410" s="27">
        <f t="shared" si="59"/>
        <v>0</v>
      </c>
      <c r="F410" s="30">
        <f>F411</f>
        <v>0</v>
      </c>
      <c r="G410" s="30">
        <f>G411</f>
        <v>0</v>
      </c>
      <c r="H410" s="30">
        <f>H411</f>
        <v>0</v>
      </c>
      <c r="I410" s="30">
        <f>I411</f>
        <v>0</v>
      </c>
      <c r="J410" s="27">
        <f t="shared" si="60"/>
        <v>73831710</v>
      </c>
      <c r="K410" s="30">
        <f>K411</f>
        <v>0</v>
      </c>
      <c r="L410" s="30">
        <f>L411</f>
        <v>0</v>
      </c>
      <c r="M410" s="30">
        <f>M411</f>
        <v>0</v>
      </c>
      <c r="N410" s="30">
        <f>N411</f>
        <v>73831710</v>
      </c>
      <c r="O410" s="30">
        <f>O411</f>
        <v>73831710</v>
      </c>
      <c r="P410" s="27">
        <f t="shared" si="61"/>
        <v>73831710</v>
      </c>
    </row>
    <row r="411" spans="1:16" ht="45" hidden="1">
      <c r="A411" s="25" t="s">
        <v>798</v>
      </c>
      <c r="B411" s="25" t="s">
        <v>55</v>
      </c>
      <c r="C411" s="25" t="s">
        <v>45</v>
      </c>
      <c r="D411" s="31" t="s">
        <v>56</v>
      </c>
      <c r="E411" s="27">
        <f t="shared" si="59"/>
        <v>0</v>
      </c>
      <c r="F411" s="27"/>
      <c r="G411" s="27"/>
      <c r="H411" s="27"/>
      <c r="I411" s="27"/>
      <c r="J411" s="27">
        <f t="shared" si="60"/>
        <v>73831710</v>
      </c>
      <c r="K411" s="27"/>
      <c r="L411" s="27"/>
      <c r="M411" s="27"/>
      <c r="N411" s="27">
        <f>O411</f>
        <v>73831710</v>
      </c>
      <c r="O411" s="27">
        <f>73323350+508360</f>
        <v>73831710</v>
      </c>
      <c r="P411" s="27">
        <f t="shared" si="61"/>
        <v>73831710</v>
      </c>
    </row>
    <row r="412" spans="1:16" ht="26.25" hidden="1">
      <c r="A412" s="28" t="s">
        <v>757</v>
      </c>
      <c r="B412" s="28" t="s">
        <v>58</v>
      </c>
      <c r="C412" s="28"/>
      <c r="D412" s="29" t="s">
        <v>59</v>
      </c>
      <c r="E412" s="27">
        <f t="shared" si="59"/>
        <v>0</v>
      </c>
      <c r="F412" s="30">
        <f>F413</f>
        <v>0</v>
      </c>
      <c r="G412" s="30">
        <f>G413</f>
        <v>0</v>
      </c>
      <c r="H412" s="30">
        <f>H413</f>
        <v>0</v>
      </c>
      <c r="I412" s="30">
        <f>I413</f>
        <v>0</v>
      </c>
      <c r="J412" s="27">
        <f t="shared" si="60"/>
        <v>0</v>
      </c>
      <c r="K412" s="30">
        <f>K413</f>
        <v>0</v>
      </c>
      <c r="L412" s="30">
        <f>L413</f>
        <v>0</v>
      </c>
      <c r="M412" s="30">
        <f>M413</f>
        <v>0</v>
      </c>
      <c r="N412" s="30">
        <f>N413</f>
        <v>0</v>
      </c>
      <c r="O412" s="30">
        <f>O413</f>
        <v>0</v>
      </c>
      <c r="P412" s="27">
        <f t="shared" si="61"/>
        <v>0</v>
      </c>
    </row>
    <row r="413" spans="1:16" hidden="1">
      <c r="A413" s="101" t="s">
        <v>799</v>
      </c>
      <c r="B413" s="101" t="s">
        <v>66</v>
      </c>
      <c r="C413" s="101"/>
      <c r="D413" s="126" t="s">
        <v>67</v>
      </c>
      <c r="E413" s="27">
        <f t="shared" si="59"/>
        <v>0</v>
      </c>
      <c r="F413" s="27">
        <f>F414+F415</f>
        <v>0</v>
      </c>
      <c r="G413" s="27">
        <f>G414+G415</f>
        <v>0</v>
      </c>
      <c r="H413" s="27">
        <f>H414+H415</f>
        <v>0</v>
      </c>
      <c r="I413" s="27">
        <f>I414+I415</f>
        <v>0</v>
      </c>
      <c r="J413" s="27">
        <f t="shared" si="60"/>
        <v>0</v>
      </c>
      <c r="K413" s="27">
        <f>K414+K415</f>
        <v>0</v>
      </c>
      <c r="L413" s="27">
        <f>L414+L415</f>
        <v>0</v>
      </c>
      <c r="M413" s="27">
        <f>M414+M415</f>
        <v>0</v>
      </c>
      <c r="N413" s="27">
        <f>N414+N415</f>
        <v>0</v>
      </c>
      <c r="O413" s="27">
        <f>O414+O415</f>
        <v>0</v>
      </c>
      <c r="P413" s="27">
        <f t="shared" si="61"/>
        <v>0</v>
      </c>
    </row>
    <row r="414" spans="1:16" ht="105" hidden="1">
      <c r="A414" s="80" t="s">
        <v>800</v>
      </c>
      <c r="B414" s="80" t="s">
        <v>73</v>
      </c>
      <c r="C414" s="80"/>
      <c r="D414" s="39" t="s">
        <v>706</v>
      </c>
      <c r="E414" s="27">
        <f t="shared" si="59"/>
        <v>0</v>
      </c>
      <c r="F414" s="27"/>
      <c r="G414" s="27"/>
      <c r="H414" s="27"/>
      <c r="I414" s="27"/>
      <c r="J414" s="27">
        <f t="shared" si="60"/>
        <v>0</v>
      </c>
      <c r="K414" s="27"/>
      <c r="L414" s="27"/>
      <c r="M414" s="27"/>
      <c r="N414" s="27"/>
      <c r="O414" s="27"/>
      <c r="P414" s="27">
        <f t="shared" si="61"/>
        <v>0</v>
      </c>
    </row>
    <row r="415" spans="1:16" ht="90" hidden="1">
      <c r="A415" s="80" t="s">
        <v>801</v>
      </c>
      <c r="B415" s="80" t="s">
        <v>85</v>
      </c>
      <c r="C415" s="80"/>
      <c r="D415" s="31" t="s">
        <v>86</v>
      </c>
      <c r="E415" s="27">
        <f t="shared" si="59"/>
        <v>0</v>
      </c>
      <c r="F415" s="27"/>
      <c r="G415" s="27"/>
      <c r="H415" s="27"/>
      <c r="I415" s="27"/>
      <c r="J415" s="27">
        <f t="shared" si="60"/>
        <v>0</v>
      </c>
      <c r="K415" s="27"/>
      <c r="L415" s="27"/>
      <c r="M415" s="27"/>
      <c r="N415" s="27"/>
      <c r="O415" s="27"/>
      <c r="P415" s="27">
        <f t="shared" si="61"/>
        <v>0</v>
      </c>
    </row>
    <row r="416" spans="1:16" ht="90" hidden="1">
      <c r="A416" s="14" t="s">
        <v>802</v>
      </c>
      <c r="B416" s="14" t="s">
        <v>803</v>
      </c>
      <c r="C416" s="14"/>
      <c r="D416" s="15" t="s">
        <v>804</v>
      </c>
      <c r="E416" s="16">
        <f>F416+I416</f>
        <v>12855024</v>
      </c>
      <c r="F416" s="16">
        <f>F417</f>
        <v>12855024</v>
      </c>
      <c r="G416" s="16">
        <f>G417</f>
        <v>9245522</v>
      </c>
      <c r="H416" s="16">
        <f>H417</f>
        <v>205439</v>
      </c>
      <c r="I416" s="16">
        <f>I417</f>
        <v>0</v>
      </c>
      <c r="J416" s="16">
        <f t="shared" si="60"/>
        <v>214188</v>
      </c>
      <c r="K416" s="16">
        <f>K417</f>
        <v>177355</v>
      </c>
      <c r="L416" s="16">
        <f>L417</f>
        <v>65526</v>
      </c>
      <c r="M416" s="16">
        <f>M417</f>
        <v>59</v>
      </c>
      <c r="N416" s="16">
        <f>N417</f>
        <v>36833</v>
      </c>
      <c r="O416" s="16">
        <f>O417</f>
        <v>0</v>
      </c>
      <c r="P416" s="50">
        <f>E416+J416</f>
        <v>13069212</v>
      </c>
    </row>
    <row r="417" spans="1:16" ht="90" hidden="1">
      <c r="A417" s="18" t="s">
        <v>805</v>
      </c>
      <c r="B417" s="38"/>
      <c r="C417" s="38"/>
      <c r="D417" s="19" t="s">
        <v>804</v>
      </c>
      <c r="E417" s="20">
        <f>F417+I417</f>
        <v>12855024</v>
      </c>
      <c r="F417" s="20">
        <f>F418+F420</f>
        <v>12855024</v>
      </c>
      <c r="G417" s="20">
        <f>G418+G420</f>
        <v>9245522</v>
      </c>
      <c r="H417" s="20">
        <f>H418+H420</f>
        <v>205439</v>
      </c>
      <c r="I417" s="20">
        <f>I418+I420</f>
        <v>0</v>
      </c>
      <c r="J417" s="20">
        <f t="shared" si="60"/>
        <v>214188</v>
      </c>
      <c r="K417" s="20">
        <f>K418+K420</f>
        <v>177355</v>
      </c>
      <c r="L417" s="20">
        <f>L418+L420</f>
        <v>65526</v>
      </c>
      <c r="M417" s="20">
        <f>M418+M420</f>
        <v>59</v>
      </c>
      <c r="N417" s="20">
        <f>N418+N420</f>
        <v>36833</v>
      </c>
      <c r="O417" s="20">
        <f>O418+O420</f>
        <v>0</v>
      </c>
      <c r="P417" s="20">
        <f>E417+J417</f>
        <v>13069212</v>
      </c>
    </row>
    <row r="418" spans="1:16" hidden="1">
      <c r="A418" s="28" t="s">
        <v>806</v>
      </c>
      <c r="B418" s="22" t="s">
        <v>21</v>
      </c>
      <c r="C418" s="22"/>
      <c r="D418" s="23" t="s">
        <v>22</v>
      </c>
      <c r="E418" s="20">
        <f t="shared" ref="E418:E423" si="64">F418+I418</f>
        <v>3204268</v>
      </c>
      <c r="F418" s="24">
        <f>F419</f>
        <v>3204268</v>
      </c>
      <c r="G418" s="24">
        <f>G419</f>
        <v>2444781</v>
      </c>
      <c r="H418" s="24">
        <f>H419</f>
        <v>96141</v>
      </c>
      <c r="I418" s="24">
        <f>I419</f>
        <v>0</v>
      </c>
      <c r="J418" s="20">
        <f t="shared" si="60"/>
        <v>0</v>
      </c>
      <c r="K418" s="24">
        <f>K419</f>
        <v>0</v>
      </c>
      <c r="L418" s="24">
        <f>L419</f>
        <v>0</v>
      </c>
      <c r="M418" s="24">
        <f>M419</f>
        <v>0</v>
      </c>
      <c r="N418" s="24">
        <f>N419</f>
        <v>0</v>
      </c>
      <c r="O418" s="24">
        <f>O419</f>
        <v>0</v>
      </c>
      <c r="P418" s="20">
        <f t="shared" ref="P418:P423" si="65">E418+J418</f>
        <v>3204268</v>
      </c>
    </row>
    <row r="419" spans="1:16" ht="75" hidden="1">
      <c r="A419" s="25" t="s">
        <v>807</v>
      </c>
      <c r="B419" s="25" t="s">
        <v>116</v>
      </c>
      <c r="C419" s="25" t="s">
        <v>25</v>
      </c>
      <c r="D419" s="26" t="s">
        <v>808</v>
      </c>
      <c r="E419" s="20">
        <f t="shared" si="64"/>
        <v>3204268</v>
      </c>
      <c r="F419" s="27">
        <v>3204268</v>
      </c>
      <c r="G419" s="27">
        <v>2444781</v>
      </c>
      <c r="H419" s="27">
        <v>96141</v>
      </c>
      <c r="I419" s="27"/>
      <c r="J419" s="20">
        <f t="shared" si="60"/>
        <v>0</v>
      </c>
      <c r="K419" s="27"/>
      <c r="L419" s="27"/>
      <c r="M419" s="27"/>
      <c r="N419" s="27"/>
      <c r="O419" s="27"/>
      <c r="P419" s="20">
        <f t="shared" si="65"/>
        <v>3204268</v>
      </c>
    </row>
    <row r="420" spans="1:16" ht="39" hidden="1">
      <c r="A420" s="28" t="s">
        <v>809</v>
      </c>
      <c r="B420" s="28" t="s">
        <v>810</v>
      </c>
      <c r="C420" s="28"/>
      <c r="D420" s="29" t="s">
        <v>811</v>
      </c>
      <c r="E420" s="20">
        <f t="shared" si="64"/>
        <v>9650756</v>
      </c>
      <c r="F420" s="30">
        <f>F421+F422+F423</f>
        <v>9650756</v>
      </c>
      <c r="G420" s="30">
        <f>G421+G422+G423</f>
        <v>6800741</v>
      </c>
      <c r="H420" s="30">
        <f>H421+H422+H423</f>
        <v>109298</v>
      </c>
      <c r="I420" s="30">
        <f>I421+I422+I423</f>
        <v>0</v>
      </c>
      <c r="J420" s="20">
        <f t="shared" si="60"/>
        <v>214188</v>
      </c>
      <c r="K420" s="30">
        <f>K421+K422+K423</f>
        <v>177355</v>
      </c>
      <c r="L420" s="30">
        <f>L421+L422+L423</f>
        <v>65526</v>
      </c>
      <c r="M420" s="30">
        <f>M421+M422+M423</f>
        <v>59</v>
      </c>
      <c r="N420" s="30">
        <f>N421+N422+N423</f>
        <v>36833</v>
      </c>
      <c r="O420" s="30">
        <f>O421+O422+O423</f>
        <v>0</v>
      </c>
      <c r="P420" s="20">
        <f t="shared" si="65"/>
        <v>9864944</v>
      </c>
    </row>
    <row r="421" spans="1:16" s="17" customFormat="1" ht="60" hidden="1">
      <c r="A421" s="25" t="s">
        <v>812</v>
      </c>
      <c r="B421" s="25" t="s">
        <v>813</v>
      </c>
      <c r="C421" s="25" t="s">
        <v>814</v>
      </c>
      <c r="D421" s="31" t="s">
        <v>815</v>
      </c>
      <c r="E421" s="20">
        <f t="shared" si="64"/>
        <v>4662123</v>
      </c>
      <c r="F421" s="27">
        <f>1219293+3421085+21745</f>
        <v>4662123</v>
      </c>
      <c r="G421" s="27">
        <v>3421085</v>
      </c>
      <c r="H421" s="27">
        <v>21745</v>
      </c>
      <c r="I421" s="27"/>
      <c r="J421" s="20">
        <f t="shared" si="60"/>
        <v>93043</v>
      </c>
      <c r="K421" s="27">
        <f>49490+43553</f>
        <v>93043</v>
      </c>
      <c r="L421" s="27">
        <v>43553</v>
      </c>
      <c r="M421" s="27"/>
      <c r="N421" s="27"/>
      <c r="O421" s="27"/>
      <c r="P421" s="20">
        <f t="shared" si="65"/>
        <v>4755166</v>
      </c>
    </row>
    <row r="422" spans="1:16" s="17" customFormat="1" ht="75" hidden="1">
      <c r="A422" s="25" t="s">
        <v>816</v>
      </c>
      <c r="B422" s="25" t="s">
        <v>817</v>
      </c>
      <c r="C422" s="25" t="s">
        <v>818</v>
      </c>
      <c r="D422" s="31" t="s">
        <v>819</v>
      </c>
      <c r="E422" s="20"/>
      <c r="F422" s="27"/>
      <c r="G422" s="27"/>
      <c r="H422" s="27"/>
      <c r="I422" s="27"/>
      <c r="J422" s="20">
        <f t="shared" si="60"/>
        <v>0</v>
      </c>
      <c r="K422" s="27"/>
      <c r="L422" s="27"/>
      <c r="M422" s="27"/>
      <c r="N422" s="27"/>
      <c r="O422" s="27"/>
      <c r="P422" s="20"/>
    </row>
    <row r="423" spans="1:16" ht="30" hidden="1">
      <c r="A423" s="25" t="s">
        <v>820</v>
      </c>
      <c r="B423" s="25" t="s">
        <v>821</v>
      </c>
      <c r="C423" s="25" t="s">
        <v>814</v>
      </c>
      <c r="D423" s="31" t="s">
        <v>822</v>
      </c>
      <c r="E423" s="20">
        <f t="shared" si="64"/>
        <v>4988633</v>
      </c>
      <c r="F423" s="27">
        <f>1521424+3379656+87553</f>
        <v>4988633</v>
      </c>
      <c r="G423" s="27">
        <v>3379656</v>
      </c>
      <c r="H423" s="27">
        <v>87553</v>
      </c>
      <c r="I423" s="27"/>
      <c r="J423" s="20">
        <f>K423+N423</f>
        <v>121145</v>
      </c>
      <c r="K423" s="27">
        <f>62280+21973+59</f>
        <v>84312</v>
      </c>
      <c r="L423" s="27">
        <v>21973</v>
      </c>
      <c r="M423" s="27">
        <v>59</v>
      </c>
      <c r="N423" s="27">
        <f>O423+36833</f>
        <v>36833</v>
      </c>
      <c r="O423" s="27"/>
      <c r="P423" s="20">
        <f t="shared" si="65"/>
        <v>5109778</v>
      </c>
    </row>
    <row r="424" spans="1:16" ht="45" hidden="1">
      <c r="A424" s="14" t="s">
        <v>823</v>
      </c>
      <c r="B424" s="14" t="s">
        <v>824</v>
      </c>
      <c r="C424" s="14"/>
      <c r="D424" s="15" t="s">
        <v>825</v>
      </c>
      <c r="E424" s="16">
        <f>F424+I424</f>
        <v>9528779</v>
      </c>
      <c r="F424" s="16">
        <f>F425</f>
        <v>9528779</v>
      </c>
      <c r="G424" s="16">
        <f>G425</f>
        <v>3212703</v>
      </c>
      <c r="H424" s="16">
        <f>H425</f>
        <v>117496</v>
      </c>
      <c r="I424" s="16">
        <f>I425</f>
        <v>0</v>
      </c>
      <c r="J424" s="16">
        <f>K424+N424</f>
        <v>0</v>
      </c>
      <c r="K424" s="16">
        <f>K425</f>
        <v>0</v>
      </c>
      <c r="L424" s="16">
        <f>L425</f>
        <v>0</v>
      </c>
      <c r="M424" s="16">
        <f>M425</f>
        <v>0</v>
      </c>
      <c r="N424" s="16">
        <f>N425</f>
        <v>0</v>
      </c>
      <c r="O424" s="16">
        <f>O425</f>
        <v>0</v>
      </c>
      <c r="P424" s="50">
        <f>E424+J424</f>
        <v>9528779</v>
      </c>
    </row>
    <row r="425" spans="1:16" ht="45" hidden="1">
      <c r="A425" s="18" t="s">
        <v>826</v>
      </c>
      <c r="B425" s="38"/>
      <c r="C425" s="38"/>
      <c r="D425" s="19" t="s">
        <v>825</v>
      </c>
      <c r="E425" s="20">
        <f>F425+I425</f>
        <v>9528779</v>
      </c>
      <c r="F425" s="20">
        <f>F426+F428+F430+F431+F435+F438+F433</f>
        <v>9528779</v>
      </c>
      <c r="G425" s="20">
        <f>G426+G428+G430+G431+G435+G438+G433</f>
        <v>3212703</v>
      </c>
      <c r="H425" s="20">
        <f>H426+H428+H430+H431+H435+H438+H433</f>
        <v>117496</v>
      </c>
      <c r="I425" s="20">
        <f>I426+I428+I430+I431+I435+I438+I433</f>
        <v>0</v>
      </c>
      <c r="J425" s="20">
        <f>K425+N425</f>
        <v>0</v>
      </c>
      <c r="K425" s="20">
        <f>K426+K428+K430+K431+K435+K438+K433</f>
        <v>0</v>
      </c>
      <c r="L425" s="20">
        <f>L426+L428+L430+L431+L435+L438+L433</f>
        <v>0</v>
      </c>
      <c r="M425" s="20">
        <f>M426+M428+M430+M431+M435+M438+M433</f>
        <v>0</v>
      </c>
      <c r="N425" s="20">
        <f>N426+N428+N430+N431+N435+N438+N433</f>
        <v>0</v>
      </c>
      <c r="O425" s="20">
        <f>O426+O428+O430+O431+O435+O438+O433</f>
        <v>0</v>
      </c>
      <c r="P425" s="20">
        <f>E425+J425</f>
        <v>9528779</v>
      </c>
    </row>
    <row r="426" spans="1:16" hidden="1">
      <c r="A426" s="28" t="s">
        <v>827</v>
      </c>
      <c r="B426" s="22" t="s">
        <v>21</v>
      </c>
      <c r="C426" s="22"/>
      <c r="D426" s="23" t="s">
        <v>22</v>
      </c>
      <c r="E426" s="20">
        <f t="shared" ref="E426:E439" si="66">F426+I426</f>
        <v>4441248</v>
      </c>
      <c r="F426" s="24">
        <f>F427</f>
        <v>4441248</v>
      </c>
      <c r="G426" s="24">
        <f>G427</f>
        <v>3212703</v>
      </c>
      <c r="H426" s="24">
        <f>H427</f>
        <v>117496</v>
      </c>
      <c r="I426" s="24">
        <f>I427</f>
        <v>0</v>
      </c>
      <c r="J426" s="20">
        <f t="shared" ref="J426:J456" si="67">K426+N426</f>
        <v>0</v>
      </c>
      <c r="K426" s="24">
        <f>K427</f>
        <v>0</v>
      </c>
      <c r="L426" s="24">
        <f>L427</f>
        <v>0</v>
      </c>
      <c r="M426" s="24">
        <f>M427</f>
        <v>0</v>
      </c>
      <c r="N426" s="24">
        <f>N427</f>
        <v>0</v>
      </c>
      <c r="O426" s="24">
        <f>O427</f>
        <v>0</v>
      </c>
      <c r="P426" s="20">
        <f t="shared" ref="P426:P456" si="68">E426+J426</f>
        <v>4441248</v>
      </c>
    </row>
    <row r="427" spans="1:16" ht="45" hidden="1">
      <c r="A427" s="25" t="s">
        <v>828</v>
      </c>
      <c r="B427" s="25" t="s">
        <v>116</v>
      </c>
      <c r="C427" s="25" t="s">
        <v>25</v>
      </c>
      <c r="D427" s="26" t="s">
        <v>829</v>
      </c>
      <c r="E427" s="20">
        <f>F427+I427</f>
        <v>4441248</v>
      </c>
      <c r="F427" s="27">
        <v>4441248</v>
      </c>
      <c r="G427" s="27">
        <v>3212703</v>
      </c>
      <c r="H427" s="27">
        <v>117496</v>
      </c>
      <c r="I427" s="27"/>
      <c r="J427" s="20">
        <f t="shared" si="67"/>
        <v>0</v>
      </c>
      <c r="K427" s="27"/>
      <c r="L427" s="27"/>
      <c r="M427" s="27"/>
      <c r="N427" s="27"/>
      <c r="O427" s="27"/>
      <c r="P427" s="20">
        <f t="shared" si="68"/>
        <v>4441248</v>
      </c>
    </row>
    <row r="428" spans="1:16" hidden="1">
      <c r="A428" s="28" t="s">
        <v>830</v>
      </c>
      <c r="B428" s="28" t="s">
        <v>41</v>
      </c>
      <c r="C428" s="28"/>
      <c r="D428" s="29" t="s">
        <v>336</v>
      </c>
      <c r="E428" s="20">
        <f t="shared" si="66"/>
        <v>0</v>
      </c>
      <c r="F428" s="30">
        <f>F429</f>
        <v>0</v>
      </c>
      <c r="G428" s="30">
        <f>G429</f>
        <v>0</v>
      </c>
      <c r="H428" s="30">
        <f>H429</f>
        <v>0</v>
      </c>
      <c r="I428" s="30">
        <f>I429</f>
        <v>0</v>
      </c>
      <c r="J428" s="20">
        <f t="shared" si="67"/>
        <v>0</v>
      </c>
      <c r="K428" s="30">
        <f>K429</f>
        <v>0</v>
      </c>
      <c r="L428" s="30">
        <f>L429</f>
        <v>0</v>
      </c>
      <c r="M428" s="30">
        <f>M429</f>
        <v>0</v>
      </c>
      <c r="N428" s="30">
        <f>N429</f>
        <v>0</v>
      </c>
      <c r="O428" s="30">
        <f>O429</f>
        <v>0</v>
      </c>
      <c r="P428" s="20">
        <f t="shared" si="68"/>
        <v>0</v>
      </c>
    </row>
    <row r="429" spans="1:16" ht="45" hidden="1">
      <c r="A429" s="25" t="s">
        <v>831</v>
      </c>
      <c r="B429" s="25" t="s">
        <v>44</v>
      </c>
      <c r="C429" s="25" t="s">
        <v>45</v>
      </c>
      <c r="D429" s="31" t="s">
        <v>46</v>
      </c>
      <c r="E429" s="20">
        <f t="shared" si="66"/>
        <v>0</v>
      </c>
      <c r="F429" s="27"/>
      <c r="G429" s="27"/>
      <c r="H429" s="27"/>
      <c r="I429" s="27"/>
      <c r="J429" s="20">
        <f t="shared" si="67"/>
        <v>0</v>
      </c>
      <c r="K429" s="27"/>
      <c r="L429" s="27"/>
      <c r="M429" s="27"/>
      <c r="N429" s="27"/>
      <c r="O429" s="27"/>
      <c r="P429" s="20">
        <f t="shared" si="68"/>
        <v>0</v>
      </c>
    </row>
    <row r="430" spans="1:16" ht="105" hidden="1">
      <c r="A430" s="25" t="s">
        <v>832</v>
      </c>
      <c r="B430" s="25" t="s">
        <v>629</v>
      </c>
      <c r="C430" s="25" t="s">
        <v>618</v>
      </c>
      <c r="D430" s="26" t="s">
        <v>630</v>
      </c>
      <c r="E430" s="20">
        <f t="shared" si="66"/>
        <v>0</v>
      </c>
      <c r="F430" s="27"/>
      <c r="G430" s="27"/>
      <c r="H430" s="27"/>
      <c r="I430" s="27"/>
      <c r="J430" s="20">
        <f t="shared" si="67"/>
        <v>0</v>
      </c>
      <c r="K430" s="27"/>
      <c r="L430" s="27"/>
      <c r="M430" s="27"/>
      <c r="N430" s="27"/>
      <c r="O430" s="27"/>
      <c r="P430" s="20">
        <f t="shared" si="68"/>
        <v>0</v>
      </c>
    </row>
    <row r="431" spans="1:16" ht="26.25" hidden="1">
      <c r="A431" s="28" t="s">
        <v>833</v>
      </c>
      <c r="B431" s="22" t="s">
        <v>52</v>
      </c>
      <c r="C431" s="22"/>
      <c r="D431" s="71" t="s">
        <v>53</v>
      </c>
      <c r="E431" s="20">
        <f t="shared" si="66"/>
        <v>0</v>
      </c>
      <c r="F431" s="27">
        <f>F432</f>
        <v>0</v>
      </c>
      <c r="G431" s="27">
        <f>G432</f>
        <v>0</v>
      </c>
      <c r="H431" s="27">
        <f>H432</f>
        <v>0</v>
      </c>
      <c r="I431" s="27">
        <f>I432</f>
        <v>0</v>
      </c>
      <c r="J431" s="20">
        <f t="shared" si="67"/>
        <v>0</v>
      </c>
      <c r="K431" s="27">
        <f>K432</f>
        <v>0</v>
      </c>
      <c r="L431" s="27">
        <f>L432</f>
        <v>0</v>
      </c>
      <c r="M431" s="27">
        <f>M432</f>
        <v>0</v>
      </c>
      <c r="N431" s="27">
        <f>N432</f>
        <v>0</v>
      </c>
      <c r="O431" s="27">
        <f>O432</f>
        <v>0</v>
      </c>
      <c r="P431" s="20">
        <f t="shared" si="68"/>
        <v>0</v>
      </c>
    </row>
    <row r="432" spans="1:16" ht="45" hidden="1">
      <c r="A432" s="25" t="s">
        <v>834</v>
      </c>
      <c r="B432" s="25" t="s">
        <v>55</v>
      </c>
      <c r="C432" s="25" t="s">
        <v>45</v>
      </c>
      <c r="D432" s="31" t="s">
        <v>56</v>
      </c>
      <c r="E432" s="20">
        <f t="shared" si="66"/>
        <v>0</v>
      </c>
      <c r="F432" s="27"/>
      <c r="G432" s="27"/>
      <c r="H432" s="27"/>
      <c r="I432" s="27"/>
      <c r="J432" s="20">
        <f t="shared" si="67"/>
        <v>0</v>
      </c>
      <c r="K432" s="27"/>
      <c r="L432" s="27"/>
      <c r="M432" s="27"/>
      <c r="N432" s="27"/>
      <c r="O432" s="27"/>
      <c r="P432" s="20">
        <f t="shared" si="68"/>
        <v>0</v>
      </c>
    </row>
    <row r="433" spans="1:16" ht="30" hidden="1">
      <c r="A433" s="25" t="s">
        <v>835</v>
      </c>
      <c r="B433" s="25" t="s">
        <v>202</v>
      </c>
      <c r="C433" s="25"/>
      <c r="D433" s="31" t="s">
        <v>203</v>
      </c>
      <c r="E433" s="20">
        <f t="shared" ref="E433:O433" si="69">E434</f>
        <v>4784670</v>
      </c>
      <c r="F433" s="27">
        <f t="shared" si="69"/>
        <v>4784670</v>
      </c>
      <c r="G433" s="27">
        <f t="shared" si="69"/>
        <v>0</v>
      </c>
      <c r="H433" s="27">
        <f t="shared" si="69"/>
        <v>0</v>
      </c>
      <c r="I433" s="27">
        <f t="shared" si="69"/>
        <v>0</v>
      </c>
      <c r="J433" s="20">
        <f t="shared" si="69"/>
        <v>0</v>
      </c>
      <c r="K433" s="20">
        <f t="shared" si="69"/>
        <v>0</v>
      </c>
      <c r="L433" s="20">
        <f t="shared" si="69"/>
        <v>0</v>
      </c>
      <c r="M433" s="20">
        <f t="shared" si="69"/>
        <v>0</v>
      </c>
      <c r="N433" s="20">
        <f t="shared" si="69"/>
        <v>0</v>
      </c>
      <c r="O433" s="20">
        <f t="shared" si="69"/>
        <v>0</v>
      </c>
      <c r="P433" s="20">
        <f t="shared" si="68"/>
        <v>4784670</v>
      </c>
    </row>
    <row r="434" spans="1:16" ht="30" hidden="1">
      <c r="A434" s="25" t="s">
        <v>836</v>
      </c>
      <c r="B434" s="25" t="s">
        <v>837</v>
      </c>
      <c r="C434" s="25" t="s">
        <v>206</v>
      </c>
      <c r="D434" s="31" t="s">
        <v>838</v>
      </c>
      <c r="E434" s="20">
        <f>F434+I434</f>
        <v>4784670</v>
      </c>
      <c r="F434" s="27">
        <f>7000000-2215330</f>
        <v>4784670</v>
      </c>
      <c r="G434" s="27"/>
      <c r="H434" s="27"/>
      <c r="I434" s="27"/>
      <c r="J434" s="20">
        <f>K434+N434</f>
        <v>0</v>
      </c>
      <c r="K434" s="27"/>
      <c r="L434" s="27"/>
      <c r="M434" s="27"/>
      <c r="N434" s="27"/>
      <c r="O434" s="27"/>
      <c r="P434" s="20">
        <f t="shared" si="68"/>
        <v>4784670</v>
      </c>
    </row>
    <row r="435" spans="1:16" ht="26.25" hidden="1">
      <c r="A435" s="28" t="s">
        <v>839</v>
      </c>
      <c r="B435" s="28" t="s">
        <v>58</v>
      </c>
      <c r="C435" s="28"/>
      <c r="D435" s="29" t="s">
        <v>59</v>
      </c>
      <c r="E435" s="20">
        <f t="shared" si="66"/>
        <v>302861</v>
      </c>
      <c r="F435" s="30">
        <f>F436</f>
        <v>302861</v>
      </c>
      <c r="G435" s="30">
        <f t="shared" ref="G435:I436" si="70">G436</f>
        <v>0</v>
      </c>
      <c r="H435" s="30">
        <f t="shared" si="70"/>
        <v>0</v>
      </c>
      <c r="I435" s="30">
        <f t="shared" si="70"/>
        <v>0</v>
      </c>
      <c r="J435" s="20">
        <f t="shared" si="67"/>
        <v>0</v>
      </c>
      <c r="K435" s="30">
        <f t="shared" ref="K435:O436" si="71">K436</f>
        <v>0</v>
      </c>
      <c r="L435" s="30">
        <f t="shared" si="71"/>
        <v>0</v>
      </c>
      <c r="M435" s="30">
        <f t="shared" si="71"/>
        <v>0</v>
      </c>
      <c r="N435" s="30">
        <f t="shared" si="71"/>
        <v>0</v>
      </c>
      <c r="O435" s="30">
        <f t="shared" si="71"/>
        <v>0</v>
      </c>
      <c r="P435" s="20">
        <f t="shared" si="68"/>
        <v>302861</v>
      </c>
    </row>
    <row r="436" spans="1:16" hidden="1">
      <c r="A436" s="120" t="s">
        <v>840</v>
      </c>
      <c r="B436" s="120" t="s">
        <v>66</v>
      </c>
      <c r="C436" s="120"/>
      <c r="D436" s="125" t="s">
        <v>67</v>
      </c>
      <c r="E436" s="20">
        <f t="shared" si="66"/>
        <v>302861</v>
      </c>
      <c r="F436" s="70">
        <f>F437</f>
        <v>302861</v>
      </c>
      <c r="G436" s="70">
        <f t="shared" si="70"/>
        <v>0</v>
      </c>
      <c r="H436" s="70">
        <f t="shared" si="70"/>
        <v>0</v>
      </c>
      <c r="I436" s="70">
        <f t="shared" si="70"/>
        <v>0</v>
      </c>
      <c r="J436" s="20">
        <f t="shared" si="67"/>
        <v>0</v>
      </c>
      <c r="K436" s="70">
        <f t="shared" si="71"/>
        <v>0</v>
      </c>
      <c r="L436" s="70">
        <f t="shared" si="71"/>
        <v>0</v>
      </c>
      <c r="M436" s="70">
        <f t="shared" si="71"/>
        <v>0</v>
      </c>
      <c r="N436" s="70">
        <f t="shared" si="71"/>
        <v>0</v>
      </c>
      <c r="O436" s="70">
        <f t="shared" si="71"/>
        <v>0</v>
      </c>
      <c r="P436" s="20">
        <f t="shared" si="68"/>
        <v>302861</v>
      </c>
    </row>
    <row r="437" spans="1:16" ht="60" hidden="1">
      <c r="A437" s="18" t="s">
        <v>841</v>
      </c>
      <c r="B437" s="18" t="s">
        <v>73</v>
      </c>
      <c r="C437" s="18" t="s">
        <v>70</v>
      </c>
      <c r="D437" s="39" t="s">
        <v>74</v>
      </c>
      <c r="E437" s="20">
        <f t="shared" si="66"/>
        <v>302861</v>
      </c>
      <c r="F437" s="27">
        <v>302861</v>
      </c>
      <c r="G437" s="27"/>
      <c r="H437" s="27"/>
      <c r="I437" s="27"/>
      <c r="J437" s="20">
        <f t="shared" si="67"/>
        <v>0</v>
      </c>
      <c r="K437" s="27"/>
      <c r="L437" s="27"/>
      <c r="M437" s="27"/>
      <c r="N437" s="27"/>
      <c r="O437" s="27"/>
      <c r="P437" s="20">
        <f t="shared" si="68"/>
        <v>302861</v>
      </c>
    </row>
    <row r="438" spans="1:16" hidden="1">
      <c r="A438" s="28" t="s">
        <v>842</v>
      </c>
      <c r="B438" s="28" t="s">
        <v>102</v>
      </c>
      <c r="C438" s="28"/>
      <c r="D438" s="33" t="s">
        <v>103</v>
      </c>
      <c r="E438" s="20">
        <f t="shared" si="66"/>
        <v>0</v>
      </c>
      <c r="F438" s="27">
        <f>F439</f>
        <v>0</v>
      </c>
      <c r="G438" s="27">
        <f t="shared" ref="G438:I439" si="72">G439</f>
        <v>0</v>
      </c>
      <c r="H438" s="27">
        <f t="shared" si="72"/>
        <v>0</v>
      </c>
      <c r="I438" s="27">
        <f t="shared" si="72"/>
        <v>0</v>
      </c>
      <c r="J438" s="20">
        <f t="shared" si="67"/>
        <v>0</v>
      </c>
      <c r="K438" s="27">
        <f t="shared" ref="K438:O439" si="73">K439</f>
        <v>0</v>
      </c>
      <c r="L438" s="27">
        <f t="shared" si="73"/>
        <v>0</v>
      </c>
      <c r="M438" s="27">
        <f t="shared" si="73"/>
        <v>0</v>
      </c>
      <c r="N438" s="27">
        <f t="shared" si="73"/>
        <v>0</v>
      </c>
      <c r="O438" s="27">
        <f t="shared" si="73"/>
        <v>0</v>
      </c>
      <c r="P438" s="20">
        <f t="shared" si="68"/>
        <v>0</v>
      </c>
    </row>
    <row r="439" spans="1:16" ht="77.25" hidden="1">
      <c r="A439" s="35" t="s">
        <v>843</v>
      </c>
      <c r="B439" s="34" t="s">
        <v>105</v>
      </c>
      <c r="C439" s="34"/>
      <c r="D439" s="122" t="s">
        <v>106</v>
      </c>
      <c r="E439" s="20">
        <f t="shared" si="66"/>
        <v>0</v>
      </c>
      <c r="F439" s="27">
        <f>F440</f>
        <v>0</v>
      </c>
      <c r="G439" s="27">
        <f t="shared" si="72"/>
        <v>0</v>
      </c>
      <c r="H439" s="27">
        <f t="shared" si="72"/>
        <v>0</v>
      </c>
      <c r="I439" s="27">
        <f t="shared" si="72"/>
        <v>0</v>
      </c>
      <c r="J439" s="20">
        <f t="shared" si="67"/>
        <v>0</v>
      </c>
      <c r="K439" s="27">
        <f t="shared" si="73"/>
        <v>0</v>
      </c>
      <c r="L439" s="27">
        <f t="shared" si="73"/>
        <v>0</v>
      </c>
      <c r="M439" s="27">
        <f t="shared" si="73"/>
        <v>0</v>
      </c>
      <c r="N439" s="27">
        <f t="shared" si="73"/>
        <v>0</v>
      </c>
      <c r="O439" s="27">
        <f t="shared" si="73"/>
        <v>0</v>
      </c>
      <c r="P439" s="20">
        <f t="shared" si="68"/>
        <v>0</v>
      </c>
    </row>
    <row r="440" spans="1:16" ht="30" hidden="1">
      <c r="A440" s="80" t="s">
        <v>844</v>
      </c>
      <c r="B440" s="80" t="s">
        <v>108</v>
      </c>
      <c r="C440" s="80" t="s">
        <v>70</v>
      </c>
      <c r="D440" s="31" t="s">
        <v>109</v>
      </c>
      <c r="E440" s="27"/>
      <c r="F440" s="27"/>
      <c r="G440" s="27"/>
      <c r="H440" s="27"/>
      <c r="I440" s="27"/>
      <c r="J440" s="20">
        <f t="shared" si="67"/>
        <v>0</v>
      </c>
      <c r="K440" s="27"/>
      <c r="L440" s="27"/>
      <c r="M440" s="27"/>
      <c r="N440" s="27"/>
      <c r="O440" s="27"/>
      <c r="P440" s="20">
        <f t="shared" si="68"/>
        <v>0</v>
      </c>
    </row>
    <row r="441" spans="1:16" s="21" customFormat="1" ht="45" hidden="1">
      <c r="A441" s="14" t="s">
        <v>845</v>
      </c>
      <c r="B441" s="14" t="s">
        <v>846</v>
      </c>
      <c r="C441" s="14"/>
      <c r="D441" s="123" t="s">
        <v>847</v>
      </c>
      <c r="E441" s="16">
        <f t="shared" ref="E441:E456" si="74">F441+I441</f>
        <v>8742552</v>
      </c>
      <c r="F441" s="16">
        <f>F442</f>
        <v>8742552</v>
      </c>
      <c r="G441" s="16">
        <f>G442</f>
        <v>5645041</v>
      </c>
      <c r="H441" s="16">
        <f>H442</f>
        <v>155190</v>
      </c>
      <c r="I441" s="16">
        <f>I442</f>
        <v>0</v>
      </c>
      <c r="J441" s="16">
        <f t="shared" si="67"/>
        <v>0</v>
      </c>
      <c r="K441" s="16">
        <f>K442</f>
        <v>0</v>
      </c>
      <c r="L441" s="16">
        <f>L442</f>
        <v>0</v>
      </c>
      <c r="M441" s="16">
        <f>M442</f>
        <v>0</v>
      </c>
      <c r="N441" s="16">
        <f>N442</f>
        <v>0</v>
      </c>
      <c r="O441" s="16">
        <f>O442</f>
        <v>0</v>
      </c>
      <c r="P441" s="50">
        <f t="shared" si="68"/>
        <v>8742552</v>
      </c>
    </row>
    <row r="442" spans="1:16" s="21" customFormat="1" ht="45" hidden="1">
      <c r="A442" s="18" t="s">
        <v>848</v>
      </c>
      <c r="B442" s="38"/>
      <c r="C442" s="38"/>
      <c r="D442" s="19" t="s">
        <v>847</v>
      </c>
      <c r="E442" s="20">
        <f t="shared" si="74"/>
        <v>8742552</v>
      </c>
      <c r="F442" s="20">
        <f>F443+F445+F448</f>
        <v>8742552</v>
      </c>
      <c r="G442" s="20">
        <f>G443+G445+G448</f>
        <v>5645041</v>
      </c>
      <c r="H442" s="20">
        <f>H443+H445+H448</f>
        <v>155190</v>
      </c>
      <c r="I442" s="20">
        <f>I443+I445+I448</f>
        <v>0</v>
      </c>
      <c r="J442" s="20">
        <f t="shared" si="67"/>
        <v>0</v>
      </c>
      <c r="K442" s="20">
        <f>K443+K445+K448</f>
        <v>0</v>
      </c>
      <c r="L442" s="20">
        <f>L443+L445+L448</f>
        <v>0</v>
      </c>
      <c r="M442" s="20">
        <f>M443+M445+M448</f>
        <v>0</v>
      </c>
      <c r="N442" s="20">
        <f>N443+N445+N448</f>
        <v>0</v>
      </c>
      <c r="O442" s="20">
        <f>O443+O445+O448</f>
        <v>0</v>
      </c>
      <c r="P442" s="20">
        <f t="shared" si="68"/>
        <v>8742552</v>
      </c>
    </row>
    <row r="443" spans="1:16" s="21" customFormat="1" hidden="1">
      <c r="A443" s="28" t="s">
        <v>849</v>
      </c>
      <c r="B443" s="22" t="s">
        <v>21</v>
      </c>
      <c r="C443" s="22"/>
      <c r="D443" s="23" t="s">
        <v>22</v>
      </c>
      <c r="E443" s="20">
        <f t="shared" si="74"/>
        <v>8742552</v>
      </c>
      <c r="F443" s="24">
        <f>F444</f>
        <v>8742552</v>
      </c>
      <c r="G443" s="24">
        <f>G444</f>
        <v>5645041</v>
      </c>
      <c r="H443" s="24">
        <f>H444</f>
        <v>155190</v>
      </c>
      <c r="I443" s="24">
        <f>I444</f>
        <v>0</v>
      </c>
      <c r="J443" s="20">
        <f t="shared" si="67"/>
        <v>0</v>
      </c>
      <c r="K443" s="24">
        <f>K444</f>
        <v>0</v>
      </c>
      <c r="L443" s="24">
        <f>L444</f>
        <v>0</v>
      </c>
      <c r="M443" s="24">
        <f>M444</f>
        <v>0</v>
      </c>
      <c r="N443" s="24">
        <f>N444</f>
        <v>0</v>
      </c>
      <c r="O443" s="24">
        <f>O444</f>
        <v>0</v>
      </c>
      <c r="P443" s="20">
        <f t="shared" si="68"/>
        <v>8742552</v>
      </c>
    </row>
    <row r="444" spans="1:16" s="21" customFormat="1" ht="30" hidden="1">
      <c r="A444" s="25" t="s">
        <v>850</v>
      </c>
      <c r="B444" s="25" t="s">
        <v>116</v>
      </c>
      <c r="C444" s="25" t="s">
        <v>25</v>
      </c>
      <c r="D444" s="26" t="s">
        <v>851</v>
      </c>
      <c r="E444" s="20">
        <f t="shared" si="74"/>
        <v>8742552</v>
      </c>
      <c r="F444" s="27">
        <f>7512552+220000+(1010000)</f>
        <v>8742552</v>
      </c>
      <c r="G444" s="27">
        <v>5645041</v>
      </c>
      <c r="H444" s="27">
        <v>155190</v>
      </c>
      <c r="I444" s="27"/>
      <c r="J444" s="20">
        <f t="shared" si="67"/>
        <v>0</v>
      </c>
      <c r="K444" s="27"/>
      <c r="L444" s="27"/>
      <c r="M444" s="27"/>
      <c r="N444" s="27"/>
      <c r="O444" s="27"/>
      <c r="P444" s="20">
        <f t="shared" si="68"/>
        <v>8742552</v>
      </c>
    </row>
    <row r="445" spans="1:16" s="21" customFormat="1" ht="26.25" hidden="1">
      <c r="A445" s="28" t="s">
        <v>852</v>
      </c>
      <c r="B445" s="28" t="s">
        <v>58</v>
      </c>
      <c r="C445" s="28"/>
      <c r="D445" s="29" t="s">
        <v>59</v>
      </c>
      <c r="E445" s="20">
        <f t="shared" si="74"/>
        <v>0</v>
      </c>
      <c r="F445" s="30">
        <f>F446</f>
        <v>0</v>
      </c>
      <c r="G445" s="30">
        <f t="shared" ref="G445:I446" si="75">G446</f>
        <v>0</v>
      </c>
      <c r="H445" s="30">
        <f t="shared" si="75"/>
        <v>0</v>
      </c>
      <c r="I445" s="30">
        <f t="shared" si="75"/>
        <v>0</v>
      </c>
      <c r="J445" s="20">
        <f t="shared" si="67"/>
        <v>0</v>
      </c>
      <c r="K445" s="30">
        <f t="shared" ref="K445:O446" si="76">K446</f>
        <v>0</v>
      </c>
      <c r="L445" s="30">
        <f t="shared" si="76"/>
        <v>0</v>
      </c>
      <c r="M445" s="30">
        <f t="shared" si="76"/>
        <v>0</v>
      </c>
      <c r="N445" s="30">
        <f t="shared" si="76"/>
        <v>0</v>
      </c>
      <c r="O445" s="30">
        <f t="shared" si="76"/>
        <v>0</v>
      </c>
      <c r="P445" s="20">
        <f t="shared" si="68"/>
        <v>0</v>
      </c>
    </row>
    <row r="446" spans="1:16" s="21" customFormat="1" hidden="1">
      <c r="A446" s="35" t="s">
        <v>853</v>
      </c>
      <c r="B446" s="35" t="s">
        <v>66</v>
      </c>
      <c r="C446" s="35"/>
      <c r="D446" s="36" t="s">
        <v>67</v>
      </c>
      <c r="E446" s="20">
        <f t="shared" si="74"/>
        <v>0</v>
      </c>
      <c r="F446" s="37">
        <f>F447</f>
        <v>0</v>
      </c>
      <c r="G446" s="37">
        <f t="shared" si="75"/>
        <v>0</v>
      </c>
      <c r="H446" s="37">
        <f t="shared" si="75"/>
        <v>0</v>
      </c>
      <c r="I446" s="37">
        <f t="shared" si="75"/>
        <v>0</v>
      </c>
      <c r="J446" s="20">
        <f t="shared" si="67"/>
        <v>0</v>
      </c>
      <c r="K446" s="37">
        <f t="shared" si="76"/>
        <v>0</v>
      </c>
      <c r="L446" s="37">
        <f t="shared" si="76"/>
        <v>0</v>
      </c>
      <c r="M446" s="37">
        <f t="shared" si="76"/>
        <v>0</v>
      </c>
      <c r="N446" s="37">
        <f t="shared" si="76"/>
        <v>0</v>
      </c>
      <c r="O446" s="37">
        <f t="shared" si="76"/>
        <v>0</v>
      </c>
      <c r="P446" s="20">
        <f t="shared" si="68"/>
        <v>0</v>
      </c>
    </row>
    <row r="447" spans="1:16" ht="165" hidden="1">
      <c r="A447" s="18" t="s">
        <v>854</v>
      </c>
      <c r="B447" s="18" t="s">
        <v>90</v>
      </c>
      <c r="C447" s="18" t="s">
        <v>70</v>
      </c>
      <c r="D447" s="31" t="s">
        <v>91</v>
      </c>
      <c r="E447" s="20">
        <f t="shared" si="74"/>
        <v>0</v>
      </c>
      <c r="F447" s="27"/>
      <c r="G447" s="27"/>
      <c r="H447" s="27"/>
      <c r="I447" s="27"/>
      <c r="J447" s="20">
        <f t="shared" si="67"/>
        <v>0</v>
      </c>
      <c r="K447" s="27"/>
      <c r="L447" s="27"/>
      <c r="M447" s="27"/>
      <c r="N447" s="27"/>
      <c r="O447" s="27"/>
      <c r="P447" s="20">
        <f t="shared" si="68"/>
        <v>0</v>
      </c>
    </row>
    <row r="448" spans="1:16" s="21" customFormat="1" hidden="1">
      <c r="A448" s="25" t="s">
        <v>855</v>
      </c>
      <c r="B448" s="25" t="s">
        <v>856</v>
      </c>
      <c r="C448" s="25" t="s">
        <v>24</v>
      </c>
      <c r="D448" s="74" t="s">
        <v>857</v>
      </c>
      <c r="E448" s="20">
        <f t="shared" si="74"/>
        <v>0</v>
      </c>
      <c r="F448" s="27"/>
      <c r="G448" s="27"/>
      <c r="H448" s="27"/>
      <c r="I448" s="27"/>
      <c r="J448" s="20">
        <f t="shared" si="67"/>
        <v>0</v>
      </c>
      <c r="K448" s="27"/>
      <c r="L448" s="27"/>
      <c r="M448" s="27"/>
      <c r="N448" s="27"/>
      <c r="O448" s="27"/>
      <c r="P448" s="20">
        <f t="shared" si="68"/>
        <v>0</v>
      </c>
    </row>
    <row r="449" spans="1:16" s="41" customFormat="1" ht="39" hidden="1">
      <c r="A449" s="116" t="s">
        <v>858</v>
      </c>
      <c r="B449" s="14" t="s">
        <v>859</v>
      </c>
      <c r="C449" s="116"/>
      <c r="D449" s="127" t="s">
        <v>847</v>
      </c>
      <c r="E449" s="128">
        <f t="shared" si="74"/>
        <v>228235100</v>
      </c>
      <c r="F449" s="128">
        <f>F450</f>
        <v>228235100</v>
      </c>
      <c r="G449" s="128">
        <f t="shared" ref="G449:I450" si="77">G450</f>
        <v>0</v>
      </c>
      <c r="H449" s="128">
        <f t="shared" si="77"/>
        <v>0</v>
      </c>
      <c r="I449" s="128">
        <f t="shared" si="77"/>
        <v>0</v>
      </c>
      <c r="J449" s="128">
        <f t="shared" si="67"/>
        <v>0</v>
      </c>
      <c r="K449" s="128">
        <f t="shared" ref="K449:O450" si="78">K450</f>
        <v>0</v>
      </c>
      <c r="L449" s="128">
        <f t="shared" si="78"/>
        <v>0</v>
      </c>
      <c r="M449" s="128">
        <f t="shared" si="78"/>
        <v>0</v>
      </c>
      <c r="N449" s="128">
        <f t="shared" si="78"/>
        <v>0</v>
      </c>
      <c r="O449" s="128">
        <f t="shared" si="78"/>
        <v>0</v>
      </c>
      <c r="P449" s="129">
        <f t="shared" si="68"/>
        <v>228235100</v>
      </c>
    </row>
    <row r="450" spans="1:16" s="41" customFormat="1" ht="38.25" hidden="1">
      <c r="A450" s="130" t="s">
        <v>860</v>
      </c>
      <c r="B450" s="130"/>
      <c r="C450" s="130"/>
      <c r="D450" s="131" t="s">
        <v>847</v>
      </c>
      <c r="E450" s="132">
        <f t="shared" si="74"/>
        <v>228235100</v>
      </c>
      <c r="F450" s="132">
        <f>F451</f>
        <v>228235100</v>
      </c>
      <c r="G450" s="132">
        <f t="shared" si="77"/>
        <v>0</v>
      </c>
      <c r="H450" s="132">
        <f t="shared" si="77"/>
        <v>0</v>
      </c>
      <c r="I450" s="132">
        <f t="shared" si="77"/>
        <v>0</v>
      </c>
      <c r="J450" s="132">
        <f t="shared" si="67"/>
        <v>0</v>
      </c>
      <c r="K450" s="132">
        <f t="shared" si="78"/>
        <v>0</v>
      </c>
      <c r="L450" s="132">
        <f t="shared" si="78"/>
        <v>0</v>
      </c>
      <c r="M450" s="132">
        <f t="shared" si="78"/>
        <v>0</v>
      </c>
      <c r="N450" s="132">
        <f t="shared" si="78"/>
        <v>0</v>
      </c>
      <c r="O450" s="132">
        <f t="shared" si="78"/>
        <v>0</v>
      </c>
      <c r="P450" s="132">
        <f t="shared" si="68"/>
        <v>228235100</v>
      </c>
    </row>
    <row r="451" spans="1:16" s="41" customFormat="1" ht="25.5" hidden="1">
      <c r="A451" s="28" t="s">
        <v>861</v>
      </c>
      <c r="B451" s="22" t="s">
        <v>58</v>
      </c>
      <c r="C451" s="22"/>
      <c r="D451" s="29" t="s">
        <v>59</v>
      </c>
      <c r="E451" s="132">
        <f t="shared" si="74"/>
        <v>228235100</v>
      </c>
      <c r="F451" s="24">
        <f>F452+F453+F454+F455</f>
        <v>228235100</v>
      </c>
      <c r="G451" s="24">
        <f>G452+G453+G454+G455</f>
        <v>0</v>
      </c>
      <c r="H451" s="24">
        <f>H452+H453+H454+H455</f>
        <v>0</v>
      </c>
      <c r="I451" s="24">
        <f>I452+I453+I454+I455</f>
        <v>0</v>
      </c>
      <c r="J451" s="132">
        <f t="shared" si="67"/>
        <v>0</v>
      </c>
      <c r="K451" s="24">
        <f>K452+K453+K454+K455</f>
        <v>0</v>
      </c>
      <c r="L451" s="24">
        <f>L452+L453+L454+L455</f>
        <v>0</v>
      </c>
      <c r="M451" s="24">
        <f>M452+M453+M454+M455</f>
        <v>0</v>
      </c>
      <c r="N451" s="24">
        <f>N452+N453+N454+N455</f>
        <v>0</v>
      </c>
      <c r="O451" s="24">
        <f>O452+O453+O454+O455</f>
        <v>0</v>
      </c>
      <c r="P451" s="132">
        <f t="shared" si="68"/>
        <v>228235100</v>
      </c>
    </row>
    <row r="452" spans="1:16" s="41" customFormat="1" hidden="1">
      <c r="A452" s="25" t="s">
        <v>862</v>
      </c>
      <c r="B452" s="18" t="s">
        <v>62</v>
      </c>
      <c r="C452" s="18" t="s">
        <v>70</v>
      </c>
      <c r="D452" s="19" t="s">
        <v>863</v>
      </c>
      <c r="E452" s="132">
        <f t="shared" si="74"/>
        <v>0</v>
      </c>
      <c r="F452" s="132"/>
      <c r="G452" s="132"/>
      <c r="H452" s="132"/>
      <c r="I452" s="132"/>
      <c r="J452" s="132">
        <f t="shared" si="67"/>
        <v>0</v>
      </c>
      <c r="K452" s="132"/>
      <c r="L452" s="132"/>
      <c r="M452" s="132"/>
      <c r="N452" s="132"/>
      <c r="O452" s="132"/>
      <c r="P452" s="132">
        <f t="shared" si="68"/>
        <v>0</v>
      </c>
    </row>
    <row r="453" spans="1:16" s="133" customFormat="1" hidden="1">
      <c r="A453" s="130" t="s">
        <v>864</v>
      </c>
      <c r="B453" s="18" t="s">
        <v>865</v>
      </c>
      <c r="C453" s="18" t="s">
        <v>116</v>
      </c>
      <c r="D453" s="19" t="s">
        <v>866</v>
      </c>
      <c r="E453" s="132">
        <f t="shared" si="74"/>
        <v>228235100</v>
      </c>
      <c r="F453" s="132">
        <v>228235100</v>
      </c>
      <c r="G453" s="132"/>
      <c r="H453" s="132"/>
      <c r="I453" s="132"/>
      <c r="J453" s="132">
        <f t="shared" si="67"/>
        <v>0</v>
      </c>
      <c r="K453" s="132"/>
      <c r="L453" s="132"/>
      <c r="M453" s="132"/>
      <c r="N453" s="132"/>
      <c r="O453" s="132"/>
      <c r="P453" s="132">
        <f t="shared" si="68"/>
        <v>228235100</v>
      </c>
    </row>
    <row r="454" spans="1:16" s="134" customFormat="1" ht="77.25" hidden="1">
      <c r="A454" s="18" t="s">
        <v>867</v>
      </c>
      <c r="B454" s="25" t="s">
        <v>868</v>
      </c>
      <c r="C454" s="25" t="s">
        <v>116</v>
      </c>
      <c r="D454" s="32" t="s">
        <v>869</v>
      </c>
      <c r="E454" s="132">
        <f t="shared" si="74"/>
        <v>0</v>
      </c>
      <c r="F454" s="43"/>
      <c r="G454" s="43"/>
      <c r="H454" s="43"/>
      <c r="I454" s="43"/>
      <c r="J454" s="132">
        <f t="shared" si="67"/>
        <v>0</v>
      </c>
      <c r="K454" s="43"/>
      <c r="L454" s="43"/>
      <c r="M454" s="43"/>
      <c r="N454" s="43"/>
      <c r="O454" s="43"/>
      <c r="P454" s="132">
        <f t="shared" si="68"/>
        <v>0</v>
      </c>
    </row>
    <row r="455" spans="1:16" s="134" customFormat="1" hidden="1">
      <c r="A455" s="115" t="s">
        <v>870</v>
      </c>
      <c r="B455" s="25" t="s">
        <v>871</v>
      </c>
      <c r="C455" s="25" t="s">
        <v>116</v>
      </c>
      <c r="D455" s="32" t="s">
        <v>872</v>
      </c>
      <c r="E455" s="132">
        <f t="shared" si="74"/>
        <v>0</v>
      </c>
      <c r="F455" s="43">
        <f>F456</f>
        <v>0</v>
      </c>
      <c r="G455" s="43">
        <f>G456</f>
        <v>0</v>
      </c>
      <c r="H455" s="43">
        <f>H456</f>
        <v>0</v>
      </c>
      <c r="I455" s="43">
        <f>I456</f>
        <v>0</v>
      </c>
      <c r="J455" s="132">
        <f t="shared" si="67"/>
        <v>0</v>
      </c>
      <c r="K455" s="43">
        <f>K456</f>
        <v>0</v>
      </c>
      <c r="L455" s="43">
        <f>L456</f>
        <v>0</v>
      </c>
      <c r="M455" s="43">
        <f>M456</f>
        <v>0</v>
      </c>
      <c r="N455" s="43">
        <f>N456</f>
        <v>0</v>
      </c>
      <c r="O455" s="43">
        <f>O456</f>
        <v>0</v>
      </c>
      <c r="P455" s="132">
        <f t="shared" si="68"/>
        <v>0</v>
      </c>
    </row>
    <row r="456" spans="1:16" s="134" customFormat="1" hidden="1">
      <c r="A456" s="135" t="s">
        <v>873</v>
      </c>
      <c r="B456" s="115"/>
      <c r="C456" s="25"/>
      <c r="D456" s="32"/>
      <c r="E456" s="132">
        <f t="shared" si="74"/>
        <v>0</v>
      </c>
      <c r="F456" s="43"/>
      <c r="G456" s="43"/>
      <c r="H456" s="43"/>
      <c r="I456" s="43"/>
      <c r="J456" s="132">
        <f t="shared" si="67"/>
        <v>0</v>
      </c>
      <c r="K456" s="43"/>
      <c r="L456" s="43"/>
      <c r="M456" s="43"/>
      <c r="N456" s="43"/>
      <c r="O456" s="43"/>
      <c r="P456" s="132">
        <f t="shared" si="68"/>
        <v>0</v>
      </c>
    </row>
    <row r="457" spans="1:16" s="137" customFormat="1" ht="38.25" hidden="1">
      <c r="A457" s="107" t="s">
        <v>874</v>
      </c>
      <c r="B457" s="107" t="s">
        <v>875</v>
      </c>
      <c r="C457" s="107"/>
      <c r="D457" s="108" t="s">
        <v>876</v>
      </c>
      <c r="E457" s="109">
        <f>F457+I457</f>
        <v>16847874</v>
      </c>
      <c r="F457" s="109">
        <f>F458</f>
        <v>16847874</v>
      </c>
      <c r="G457" s="109">
        <f>G458</f>
        <v>4431938</v>
      </c>
      <c r="H457" s="109">
        <f>H458</f>
        <v>669422</v>
      </c>
      <c r="I457" s="109">
        <f>I458</f>
        <v>0</v>
      </c>
      <c r="J457" s="109">
        <f>K457+N457</f>
        <v>176779</v>
      </c>
      <c r="K457" s="109">
        <f>K458</f>
        <v>156779</v>
      </c>
      <c r="L457" s="109">
        <f>L458</f>
        <v>0</v>
      </c>
      <c r="M457" s="109">
        <f>M458</f>
        <v>0</v>
      </c>
      <c r="N457" s="109">
        <f>N458</f>
        <v>20000</v>
      </c>
      <c r="O457" s="109">
        <f>O458</f>
        <v>20000</v>
      </c>
      <c r="P457" s="136">
        <f>E457+J457</f>
        <v>17024653</v>
      </c>
    </row>
    <row r="458" spans="1:16" s="61" customFormat="1" ht="38.25" hidden="1">
      <c r="A458" s="80" t="s">
        <v>877</v>
      </c>
      <c r="B458" s="80"/>
      <c r="C458" s="80"/>
      <c r="D458" s="72" t="s">
        <v>878</v>
      </c>
      <c r="E458" s="60">
        <f>F458+I458</f>
        <v>16847874</v>
      </c>
      <c r="F458" s="60">
        <f>F459+F461+F464+F466+F477</f>
        <v>16847874</v>
      </c>
      <c r="G458" s="60">
        <f>G459+G461+G464+G466+G477</f>
        <v>4431938</v>
      </c>
      <c r="H458" s="60">
        <f>H459+H461+H464+H466+H477</f>
        <v>669422</v>
      </c>
      <c r="I458" s="60">
        <f>I459+I461+I464+I466+I477</f>
        <v>0</v>
      </c>
      <c r="J458" s="60">
        <f>K458+N458</f>
        <v>176779</v>
      </c>
      <c r="K458" s="60">
        <f>K459+K461+K464+K466+K477</f>
        <v>156779</v>
      </c>
      <c r="L458" s="60">
        <f>L459+L461+L464+L466+L477</f>
        <v>0</v>
      </c>
      <c r="M458" s="60">
        <f>M459+M461+M464+M466+M477</f>
        <v>0</v>
      </c>
      <c r="N458" s="60">
        <f>N459+N461+N464+N466+N477</f>
        <v>20000</v>
      </c>
      <c r="O458" s="60">
        <f>O459+O461+O464+O466+O477</f>
        <v>20000</v>
      </c>
      <c r="P458" s="60">
        <f>E458+J458</f>
        <v>17024653</v>
      </c>
    </row>
    <row r="459" spans="1:16" s="61" customFormat="1" ht="12.75" hidden="1">
      <c r="A459" s="76" t="s">
        <v>879</v>
      </c>
      <c r="B459" s="76" t="s">
        <v>21</v>
      </c>
      <c r="C459" s="76"/>
      <c r="D459" s="97" t="s">
        <v>22</v>
      </c>
      <c r="E459" s="60">
        <f t="shared" ref="E459:E467" si="79">F459+I459</f>
        <v>8765753</v>
      </c>
      <c r="F459" s="87">
        <f>F460</f>
        <v>8765753</v>
      </c>
      <c r="G459" s="87">
        <f>G460</f>
        <v>4431938</v>
      </c>
      <c r="H459" s="87">
        <f>H460</f>
        <v>513900</v>
      </c>
      <c r="I459" s="87">
        <f>I460</f>
        <v>0</v>
      </c>
      <c r="J459" s="60">
        <f t="shared" ref="J459:J467" si="80">K459+N459</f>
        <v>156779</v>
      </c>
      <c r="K459" s="87">
        <f>K460</f>
        <v>156779</v>
      </c>
      <c r="L459" s="87">
        <f>L460</f>
        <v>0</v>
      </c>
      <c r="M459" s="87">
        <f>M460</f>
        <v>0</v>
      </c>
      <c r="N459" s="87">
        <f>N460</f>
        <v>0</v>
      </c>
      <c r="O459" s="87">
        <f>O460</f>
        <v>0</v>
      </c>
      <c r="P459" s="60">
        <f t="shared" ref="P459:P467" si="81">E459+J459</f>
        <v>8922532</v>
      </c>
    </row>
    <row r="460" spans="1:16" s="61" customFormat="1" ht="120" hidden="1">
      <c r="A460" s="80" t="s">
        <v>880</v>
      </c>
      <c r="B460" s="80" t="s">
        <v>116</v>
      </c>
      <c r="C460" s="80" t="s">
        <v>25</v>
      </c>
      <c r="D460" s="26" t="s">
        <v>881</v>
      </c>
      <c r="E460" s="60">
        <f t="shared" si="79"/>
        <v>8765753</v>
      </c>
      <c r="F460" s="60">
        <f>6644006+(2121747)</f>
        <v>8765753</v>
      </c>
      <c r="G460" s="60">
        <v>4431938</v>
      </c>
      <c r="H460" s="60">
        <v>513900</v>
      </c>
      <c r="I460" s="60"/>
      <c r="J460" s="60">
        <f t="shared" si="80"/>
        <v>156779</v>
      </c>
      <c r="K460" s="60">
        <v>156779</v>
      </c>
      <c r="L460" s="60"/>
      <c r="M460" s="60"/>
      <c r="N460" s="60"/>
      <c r="O460" s="60"/>
      <c r="P460" s="60">
        <f t="shared" si="81"/>
        <v>8922532</v>
      </c>
    </row>
    <row r="461" spans="1:16" s="61" customFormat="1" ht="25.5" hidden="1">
      <c r="A461" s="76" t="s">
        <v>882</v>
      </c>
      <c r="B461" s="77" t="s">
        <v>598</v>
      </c>
      <c r="C461" s="77"/>
      <c r="D461" s="97" t="s">
        <v>599</v>
      </c>
      <c r="E461" s="60">
        <f t="shared" si="79"/>
        <v>7719630</v>
      </c>
      <c r="F461" s="87">
        <f>F462+F463</f>
        <v>7719630</v>
      </c>
      <c r="G461" s="87">
        <f>G462+G463</f>
        <v>0</v>
      </c>
      <c r="H461" s="87">
        <f>H462+H463</f>
        <v>155522</v>
      </c>
      <c r="I461" s="87">
        <f>I462+I463</f>
        <v>0</v>
      </c>
      <c r="J461" s="60">
        <f t="shared" si="80"/>
        <v>20000</v>
      </c>
      <c r="K461" s="87">
        <f>K462+K463</f>
        <v>0</v>
      </c>
      <c r="L461" s="87">
        <f>L462+L463</f>
        <v>0</v>
      </c>
      <c r="M461" s="87">
        <f>M462+M463</f>
        <v>0</v>
      </c>
      <c r="N461" s="87">
        <f>N462+N463</f>
        <v>20000</v>
      </c>
      <c r="O461" s="87">
        <f>O462+O463</f>
        <v>20000</v>
      </c>
      <c r="P461" s="60">
        <f t="shared" si="81"/>
        <v>7739630</v>
      </c>
    </row>
    <row r="462" spans="1:16" s="61" customFormat="1" ht="63.75" hidden="1">
      <c r="A462" s="28" t="s">
        <v>883</v>
      </c>
      <c r="B462" s="28" t="s">
        <v>601</v>
      </c>
      <c r="C462" s="28" t="s">
        <v>602</v>
      </c>
      <c r="D462" s="29" t="s">
        <v>603</v>
      </c>
      <c r="E462" s="60">
        <f t="shared" si="79"/>
        <v>4105154</v>
      </c>
      <c r="F462" s="87">
        <v>4105154</v>
      </c>
      <c r="G462" s="87"/>
      <c r="H462" s="87"/>
      <c r="I462" s="87"/>
      <c r="J462" s="60">
        <f t="shared" si="80"/>
        <v>0</v>
      </c>
      <c r="K462" s="87"/>
      <c r="L462" s="87"/>
      <c r="M462" s="87"/>
      <c r="N462" s="87"/>
      <c r="O462" s="87"/>
      <c r="P462" s="60">
        <f t="shared" si="81"/>
        <v>4105154</v>
      </c>
    </row>
    <row r="463" spans="1:16" s="61" customFormat="1" ht="12.75" hidden="1">
      <c r="A463" s="28" t="s">
        <v>884</v>
      </c>
      <c r="B463" s="28" t="s">
        <v>659</v>
      </c>
      <c r="C463" s="28" t="s">
        <v>618</v>
      </c>
      <c r="D463" s="29" t="s">
        <v>660</v>
      </c>
      <c r="E463" s="60">
        <f t="shared" si="79"/>
        <v>3614476</v>
      </c>
      <c r="F463" s="87">
        <v>3614476</v>
      </c>
      <c r="G463" s="87"/>
      <c r="H463" s="87">
        <v>155522</v>
      </c>
      <c r="I463" s="87"/>
      <c r="J463" s="60">
        <f t="shared" si="80"/>
        <v>20000</v>
      </c>
      <c r="K463" s="87"/>
      <c r="L463" s="87"/>
      <c r="M463" s="87"/>
      <c r="N463" s="87">
        <f>O463</f>
        <v>20000</v>
      </c>
      <c r="O463" s="87">
        <f>((20000))</f>
        <v>20000</v>
      </c>
      <c r="P463" s="60">
        <f t="shared" si="81"/>
        <v>3634476</v>
      </c>
    </row>
    <row r="464" spans="1:16" s="61" customFormat="1" ht="12.75" hidden="1">
      <c r="A464" s="28" t="s">
        <v>885</v>
      </c>
      <c r="B464" s="22" t="s">
        <v>41</v>
      </c>
      <c r="C464" s="22"/>
      <c r="D464" s="23" t="s">
        <v>336</v>
      </c>
      <c r="E464" s="60">
        <f t="shared" si="79"/>
        <v>0</v>
      </c>
      <c r="F464" s="60">
        <f>F465</f>
        <v>0</v>
      </c>
      <c r="G464" s="60">
        <f>G465</f>
        <v>0</v>
      </c>
      <c r="H464" s="60">
        <f>H465</f>
        <v>0</v>
      </c>
      <c r="I464" s="60">
        <f>I465</f>
        <v>0</v>
      </c>
      <c r="J464" s="60">
        <f t="shared" si="80"/>
        <v>0</v>
      </c>
      <c r="K464" s="60">
        <f>K465</f>
        <v>0</v>
      </c>
      <c r="L464" s="60">
        <f>L465</f>
        <v>0</v>
      </c>
      <c r="M464" s="60">
        <f>M465</f>
        <v>0</v>
      </c>
      <c r="N464" s="60">
        <f>N465</f>
        <v>0</v>
      </c>
      <c r="O464" s="60">
        <f>O465</f>
        <v>0</v>
      </c>
      <c r="P464" s="60">
        <f t="shared" si="81"/>
        <v>0</v>
      </c>
    </row>
    <row r="465" spans="1:32" s="61" customFormat="1" ht="45" hidden="1">
      <c r="A465" s="25" t="s">
        <v>886</v>
      </c>
      <c r="B465" s="25" t="s">
        <v>44</v>
      </c>
      <c r="C465" s="25" t="s">
        <v>45</v>
      </c>
      <c r="D465" s="26" t="s">
        <v>46</v>
      </c>
      <c r="E465" s="60">
        <f t="shared" si="79"/>
        <v>0</v>
      </c>
      <c r="F465" s="27"/>
      <c r="G465" s="27"/>
      <c r="H465" s="27"/>
      <c r="I465" s="27"/>
      <c r="J465" s="60">
        <f t="shared" si="80"/>
        <v>0</v>
      </c>
      <c r="K465" s="27"/>
      <c r="L465" s="27"/>
      <c r="M465" s="27"/>
      <c r="N465" s="27"/>
      <c r="O465" s="27"/>
      <c r="P465" s="60">
        <f t="shared" si="81"/>
        <v>0</v>
      </c>
    </row>
    <row r="466" spans="1:32" s="61" customFormat="1" ht="25.5" hidden="1">
      <c r="A466" s="76" t="s">
        <v>887</v>
      </c>
      <c r="B466" s="76" t="s">
        <v>58</v>
      </c>
      <c r="C466" s="76"/>
      <c r="D466" s="100" t="s">
        <v>59</v>
      </c>
      <c r="E466" s="60">
        <f t="shared" si="79"/>
        <v>362491</v>
      </c>
      <c r="F466" s="87">
        <f>F467</f>
        <v>362491</v>
      </c>
      <c r="G466" s="87">
        <f>G467</f>
        <v>0</v>
      </c>
      <c r="H466" s="87">
        <f>H467</f>
        <v>0</v>
      </c>
      <c r="I466" s="87">
        <f>I467</f>
        <v>0</v>
      </c>
      <c r="J466" s="60">
        <f t="shared" si="80"/>
        <v>0</v>
      </c>
      <c r="K466" s="87">
        <f>K467</f>
        <v>0</v>
      </c>
      <c r="L466" s="87">
        <f>L467</f>
        <v>0</v>
      </c>
      <c r="M466" s="87">
        <f>M467</f>
        <v>0</v>
      </c>
      <c r="N466" s="87">
        <f>N467</f>
        <v>0</v>
      </c>
      <c r="O466" s="87">
        <f>O467</f>
        <v>0</v>
      </c>
      <c r="P466" s="60">
        <f t="shared" si="81"/>
        <v>362491</v>
      </c>
    </row>
    <row r="467" spans="1:32" s="61" customFormat="1" ht="12.75" hidden="1">
      <c r="A467" s="101" t="s">
        <v>888</v>
      </c>
      <c r="B467" s="101" t="s">
        <v>66</v>
      </c>
      <c r="C467" s="101"/>
      <c r="D467" s="126" t="s">
        <v>67</v>
      </c>
      <c r="E467" s="60">
        <f t="shared" si="79"/>
        <v>362491</v>
      </c>
      <c r="F467" s="104">
        <f>SUM(F468:F476)</f>
        <v>362491</v>
      </c>
      <c r="G467" s="104">
        <f>SUM(G468:G476)</f>
        <v>0</v>
      </c>
      <c r="H467" s="104">
        <f>SUM(H468:H476)</f>
        <v>0</v>
      </c>
      <c r="I467" s="104">
        <f>SUM(I468:I476)</f>
        <v>0</v>
      </c>
      <c r="J467" s="60">
        <f t="shared" si="80"/>
        <v>0</v>
      </c>
      <c r="K467" s="104">
        <f>SUM(K468:K476)</f>
        <v>0</v>
      </c>
      <c r="L467" s="104">
        <f>SUM(L468:L476)</f>
        <v>0</v>
      </c>
      <c r="M467" s="104">
        <f>SUM(M468:M476)</f>
        <v>0</v>
      </c>
      <c r="N467" s="104">
        <f>SUM(N468:N476)</f>
        <v>0</v>
      </c>
      <c r="O467" s="104">
        <f>SUM(O468:O476)</f>
        <v>0</v>
      </c>
      <c r="P467" s="60">
        <f t="shared" si="81"/>
        <v>362491</v>
      </c>
    </row>
    <row r="468" spans="1:32" ht="90" hidden="1">
      <c r="A468" s="18" t="s">
        <v>889</v>
      </c>
      <c r="B468" s="25" t="s">
        <v>69</v>
      </c>
      <c r="C468" s="25" t="s">
        <v>70</v>
      </c>
      <c r="D468" s="31" t="s">
        <v>71</v>
      </c>
      <c r="E468" s="20">
        <f>F468+I468</f>
        <v>0</v>
      </c>
      <c r="F468" s="27"/>
      <c r="G468" s="27"/>
      <c r="H468" s="27"/>
      <c r="I468" s="27"/>
      <c r="J468" s="20">
        <f>K468+N468</f>
        <v>0</v>
      </c>
      <c r="K468" s="27"/>
      <c r="L468" s="27"/>
      <c r="M468" s="27"/>
      <c r="N468" s="27"/>
      <c r="O468" s="27"/>
      <c r="P468" s="20">
        <f>E468+J468</f>
        <v>0</v>
      </c>
    </row>
    <row r="469" spans="1:32" s="41" customFormat="1" ht="60" hidden="1">
      <c r="A469" s="18" t="s">
        <v>890</v>
      </c>
      <c r="B469" s="18" t="s">
        <v>73</v>
      </c>
      <c r="C469" s="25" t="s">
        <v>70</v>
      </c>
      <c r="D469" s="39" t="s">
        <v>74</v>
      </c>
      <c r="E469" s="20">
        <f t="shared" ref="E469:E476" si="82">F469+I469</f>
        <v>256309</v>
      </c>
      <c r="F469" s="40">
        <v>256309</v>
      </c>
      <c r="G469" s="40"/>
      <c r="H469" s="40"/>
      <c r="I469" s="40"/>
      <c r="J469" s="20">
        <f t="shared" ref="J469:J477" si="83">K469+N469</f>
        <v>0</v>
      </c>
      <c r="K469" s="27"/>
      <c r="L469" s="27"/>
      <c r="M469" s="27"/>
      <c r="N469" s="27"/>
      <c r="O469" s="27"/>
      <c r="P469" s="20">
        <f t="shared" ref="P469:P477" si="84">E469+J469</f>
        <v>256309</v>
      </c>
    </row>
    <row r="470" spans="1:32" ht="75" hidden="1">
      <c r="A470" s="18" t="s">
        <v>891</v>
      </c>
      <c r="B470" s="25" t="s">
        <v>76</v>
      </c>
      <c r="C470" s="25" t="s">
        <v>70</v>
      </c>
      <c r="D470" s="31" t="s">
        <v>77</v>
      </c>
      <c r="E470" s="20">
        <f t="shared" si="82"/>
        <v>44235</v>
      </c>
      <c r="F470" s="27">
        <v>44235</v>
      </c>
      <c r="G470" s="27"/>
      <c r="H470" s="27"/>
      <c r="I470" s="27"/>
      <c r="J470" s="20">
        <f t="shared" si="83"/>
        <v>0</v>
      </c>
      <c r="K470" s="27"/>
      <c r="L470" s="27"/>
      <c r="M470" s="27"/>
      <c r="N470" s="27"/>
      <c r="O470" s="27"/>
      <c r="P470" s="20">
        <f t="shared" si="84"/>
        <v>44235</v>
      </c>
    </row>
    <row r="471" spans="1:32" ht="75" hidden="1">
      <c r="A471" s="18" t="s">
        <v>892</v>
      </c>
      <c r="B471" s="25" t="s">
        <v>79</v>
      </c>
      <c r="C471" s="25" t="s">
        <v>70</v>
      </c>
      <c r="D471" s="31" t="s">
        <v>80</v>
      </c>
      <c r="E471" s="20">
        <f t="shared" si="82"/>
        <v>0</v>
      </c>
      <c r="F471" s="27"/>
      <c r="G471" s="27"/>
      <c r="H471" s="27"/>
      <c r="I471" s="27"/>
      <c r="J471" s="20">
        <f t="shared" si="83"/>
        <v>0</v>
      </c>
      <c r="K471" s="27"/>
      <c r="L471" s="27"/>
      <c r="M471" s="27"/>
      <c r="N471" s="27"/>
      <c r="O471" s="27"/>
      <c r="P471" s="20">
        <f t="shared" si="84"/>
        <v>0</v>
      </c>
    </row>
    <row r="472" spans="1:32" ht="90" hidden="1">
      <c r="A472" s="18" t="s">
        <v>893</v>
      </c>
      <c r="B472" s="25" t="s">
        <v>82</v>
      </c>
      <c r="C472" s="25" t="s">
        <v>70</v>
      </c>
      <c r="D472" s="31" t="s">
        <v>83</v>
      </c>
      <c r="E472" s="20">
        <f t="shared" si="82"/>
        <v>0</v>
      </c>
      <c r="F472" s="27"/>
      <c r="G472" s="27"/>
      <c r="H472" s="27"/>
      <c r="I472" s="27"/>
      <c r="J472" s="20">
        <f t="shared" si="83"/>
        <v>0</v>
      </c>
      <c r="K472" s="27"/>
      <c r="L472" s="27"/>
      <c r="M472" s="27"/>
      <c r="N472" s="27"/>
      <c r="O472" s="27"/>
      <c r="P472" s="20">
        <f t="shared" si="84"/>
        <v>0</v>
      </c>
    </row>
    <row r="473" spans="1:32" ht="90" hidden="1">
      <c r="A473" s="18" t="s">
        <v>894</v>
      </c>
      <c r="B473" s="25" t="s">
        <v>85</v>
      </c>
      <c r="C473" s="25" t="s">
        <v>70</v>
      </c>
      <c r="D473" s="31" t="s">
        <v>86</v>
      </c>
      <c r="E473" s="20">
        <f t="shared" si="82"/>
        <v>50000</v>
      </c>
      <c r="F473" s="27">
        <v>50000</v>
      </c>
      <c r="G473" s="27"/>
      <c r="H473" s="27"/>
      <c r="I473" s="27"/>
      <c r="J473" s="20">
        <f t="shared" si="83"/>
        <v>0</v>
      </c>
      <c r="K473" s="27"/>
      <c r="L473" s="27"/>
      <c r="M473" s="27"/>
      <c r="N473" s="27"/>
      <c r="O473" s="27"/>
      <c r="P473" s="20">
        <f t="shared" si="84"/>
        <v>50000</v>
      </c>
    </row>
    <row r="474" spans="1:32" ht="165" hidden="1">
      <c r="A474" s="18" t="s">
        <v>895</v>
      </c>
      <c r="B474" s="25" t="s">
        <v>90</v>
      </c>
      <c r="C474" s="25" t="s">
        <v>70</v>
      </c>
      <c r="D474" s="31" t="s">
        <v>91</v>
      </c>
      <c r="E474" s="20">
        <f t="shared" si="82"/>
        <v>0</v>
      </c>
      <c r="F474" s="43"/>
      <c r="G474" s="43"/>
      <c r="H474" s="43"/>
      <c r="I474" s="43"/>
      <c r="J474" s="20">
        <f t="shared" si="83"/>
        <v>0</v>
      </c>
      <c r="K474" s="43"/>
      <c r="L474" s="43"/>
      <c r="M474" s="43"/>
      <c r="N474" s="43"/>
      <c r="O474" s="43"/>
      <c r="P474" s="20">
        <f t="shared" si="84"/>
        <v>0</v>
      </c>
    </row>
    <row r="475" spans="1:32" ht="45" hidden="1">
      <c r="A475" s="18" t="s">
        <v>896</v>
      </c>
      <c r="B475" s="25" t="s">
        <v>95</v>
      </c>
      <c r="C475" s="25" t="s">
        <v>70</v>
      </c>
      <c r="D475" s="31" t="s">
        <v>96</v>
      </c>
      <c r="E475" s="20">
        <f t="shared" si="82"/>
        <v>11947</v>
      </c>
      <c r="F475" s="43">
        <v>11947</v>
      </c>
      <c r="G475" s="43"/>
      <c r="H475" s="43"/>
      <c r="I475" s="43"/>
      <c r="J475" s="20">
        <f t="shared" si="83"/>
        <v>0</v>
      </c>
      <c r="K475" s="43"/>
      <c r="L475" s="43"/>
      <c r="M475" s="43"/>
      <c r="N475" s="43"/>
      <c r="O475" s="43"/>
      <c r="P475" s="20">
        <f t="shared" si="84"/>
        <v>11947</v>
      </c>
    </row>
    <row r="476" spans="1:32" s="21" customFormat="1" hidden="1">
      <c r="A476" s="18" t="s">
        <v>897</v>
      </c>
      <c r="B476" s="18" t="s">
        <v>898</v>
      </c>
      <c r="C476" s="18" t="s">
        <v>70</v>
      </c>
      <c r="D476" s="31" t="s">
        <v>98</v>
      </c>
      <c r="E476" s="20">
        <f t="shared" si="82"/>
        <v>0</v>
      </c>
      <c r="F476" s="20"/>
      <c r="G476" s="20"/>
      <c r="H476" s="20"/>
      <c r="I476" s="20"/>
      <c r="J476" s="20">
        <f t="shared" si="83"/>
        <v>0</v>
      </c>
      <c r="K476" s="20"/>
      <c r="L476" s="20"/>
      <c r="M476" s="20"/>
      <c r="N476" s="20"/>
      <c r="O476" s="20"/>
      <c r="P476" s="20">
        <f t="shared" si="84"/>
        <v>0</v>
      </c>
    </row>
    <row r="477" spans="1:32" hidden="1">
      <c r="A477" s="28" t="s">
        <v>899</v>
      </c>
      <c r="B477" s="28" t="s">
        <v>102</v>
      </c>
      <c r="C477" s="28"/>
      <c r="D477" s="33" t="s">
        <v>103</v>
      </c>
      <c r="E477" s="60">
        <f>F477+I477</f>
        <v>0</v>
      </c>
      <c r="F477" s="27">
        <f>F478</f>
        <v>0</v>
      </c>
      <c r="G477" s="27">
        <f t="shared" ref="G477:I478" si="85">G478</f>
        <v>0</v>
      </c>
      <c r="H477" s="27">
        <f t="shared" si="85"/>
        <v>0</v>
      </c>
      <c r="I477" s="27">
        <f t="shared" si="85"/>
        <v>0</v>
      </c>
      <c r="J477" s="20">
        <f t="shared" si="83"/>
        <v>0</v>
      </c>
      <c r="K477" s="27">
        <f t="shared" ref="K477:O478" si="86">K478</f>
        <v>0</v>
      </c>
      <c r="L477" s="27">
        <f t="shared" si="86"/>
        <v>0</v>
      </c>
      <c r="M477" s="27">
        <f t="shared" si="86"/>
        <v>0</v>
      </c>
      <c r="N477" s="27">
        <f t="shared" si="86"/>
        <v>0</v>
      </c>
      <c r="O477" s="27">
        <f t="shared" si="86"/>
        <v>0</v>
      </c>
      <c r="P477" s="20">
        <f t="shared" si="84"/>
        <v>0</v>
      </c>
    </row>
    <row r="478" spans="1:32" s="61" customFormat="1" ht="76.5" hidden="1">
      <c r="A478" s="35" t="s">
        <v>900</v>
      </c>
      <c r="B478" s="34" t="s">
        <v>105</v>
      </c>
      <c r="C478" s="34"/>
      <c r="D478" s="122" t="s">
        <v>106</v>
      </c>
      <c r="E478" s="60">
        <f>F478+I478</f>
        <v>0</v>
      </c>
      <c r="F478" s="37">
        <f>F479</f>
        <v>0</v>
      </c>
      <c r="G478" s="37">
        <f t="shared" si="85"/>
        <v>0</v>
      </c>
      <c r="H478" s="37">
        <f t="shared" si="85"/>
        <v>0</v>
      </c>
      <c r="I478" s="37">
        <f t="shared" si="85"/>
        <v>0</v>
      </c>
      <c r="J478" s="60">
        <f>K478+N478</f>
        <v>0</v>
      </c>
      <c r="K478" s="37">
        <f t="shared" si="86"/>
        <v>0</v>
      </c>
      <c r="L478" s="37">
        <f t="shared" si="86"/>
        <v>0</v>
      </c>
      <c r="M478" s="37">
        <f t="shared" si="86"/>
        <v>0</v>
      </c>
      <c r="N478" s="37">
        <f t="shared" si="86"/>
        <v>0</v>
      </c>
      <c r="O478" s="37">
        <f t="shared" si="86"/>
        <v>0</v>
      </c>
      <c r="P478" s="60">
        <f>E478+J478</f>
        <v>0</v>
      </c>
    </row>
    <row r="479" spans="1:32" s="61" customFormat="1" ht="30" hidden="1">
      <c r="A479" s="80" t="s">
        <v>901</v>
      </c>
      <c r="B479" s="80" t="s">
        <v>108</v>
      </c>
      <c r="C479" s="80"/>
      <c r="D479" s="31" t="s">
        <v>109</v>
      </c>
      <c r="E479" s="60">
        <f>F479+I479</f>
        <v>0</v>
      </c>
      <c r="F479" s="60"/>
      <c r="G479" s="60"/>
      <c r="H479" s="60"/>
      <c r="I479" s="60"/>
      <c r="J479" s="60">
        <f>K479+N479</f>
        <v>0</v>
      </c>
      <c r="K479" s="60"/>
      <c r="L479" s="60"/>
      <c r="M479" s="60"/>
      <c r="N479" s="60"/>
      <c r="O479" s="60"/>
      <c r="P479" s="60">
        <f>E479+J479</f>
        <v>0</v>
      </c>
    </row>
    <row r="480" spans="1:32" s="137" customFormat="1" ht="38.25" hidden="1">
      <c r="A480" s="138" t="s">
        <v>902</v>
      </c>
      <c r="B480" s="138" t="s">
        <v>903</v>
      </c>
      <c r="C480" s="138"/>
      <c r="D480" s="108" t="s">
        <v>904</v>
      </c>
      <c r="E480" s="139">
        <f>F480+I480</f>
        <v>11609981</v>
      </c>
      <c r="F480" s="139">
        <f>F481</f>
        <v>11609981</v>
      </c>
      <c r="G480" s="139">
        <f>G481</f>
        <v>4339242</v>
      </c>
      <c r="H480" s="139">
        <f>H481</f>
        <v>291746</v>
      </c>
      <c r="I480" s="139">
        <f>I481</f>
        <v>0</v>
      </c>
      <c r="J480" s="139">
        <f>K480+N480</f>
        <v>6094830</v>
      </c>
      <c r="K480" s="139">
        <f>K481</f>
        <v>94830</v>
      </c>
      <c r="L480" s="139">
        <f>L481</f>
        <v>0</v>
      </c>
      <c r="M480" s="139">
        <f>M481</f>
        <v>0</v>
      </c>
      <c r="N480" s="139">
        <f>N481</f>
        <v>6000000</v>
      </c>
      <c r="O480" s="139">
        <f>O481</f>
        <v>6000000</v>
      </c>
      <c r="P480" s="139">
        <f>E480+J480</f>
        <v>17704811</v>
      </c>
      <c r="Q480" s="140"/>
      <c r="R480" s="140"/>
      <c r="S480" s="140"/>
      <c r="T480" s="140"/>
      <c r="U480" s="140"/>
      <c r="V480" s="140"/>
      <c r="W480" s="140"/>
      <c r="X480" s="140"/>
      <c r="Y480" s="140"/>
      <c r="Z480" s="140"/>
      <c r="AA480" s="140"/>
      <c r="AB480" s="140"/>
      <c r="AC480" s="140"/>
      <c r="AD480" s="140"/>
      <c r="AE480" s="140"/>
      <c r="AF480" s="140"/>
    </row>
    <row r="481" spans="1:32" s="61" customFormat="1" ht="38.25" hidden="1">
      <c r="A481" s="141" t="s">
        <v>905</v>
      </c>
      <c r="B481" s="141"/>
      <c r="C481" s="141"/>
      <c r="D481" s="72" t="s">
        <v>906</v>
      </c>
      <c r="E481" s="142">
        <f>F481+I481</f>
        <v>11609981</v>
      </c>
      <c r="F481" s="142">
        <f>F482+F484+F487+F489+F500</f>
        <v>11609981</v>
      </c>
      <c r="G481" s="142">
        <f>G482+G484+G487+G489+G500</f>
        <v>4339242</v>
      </c>
      <c r="H481" s="142">
        <f>H482+H484+H487+H489+H500</f>
        <v>291746</v>
      </c>
      <c r="I481" s="142">
        <f>I482+I484+I487+I489+I500</f>
        <v>0</v>
      </c>
      <c r="J481" s="60">
        <f>K481+N481</f>
        <v>6094830</v>
      </c>
      <c r="K481" s="142">
        <f>K482+K484+K487+K489+K500</f>
        <v>94830</v>
      </c>
      <c r="L481" s="142">
        <f>L482+L484+L487+L489+L500</f>
        <v>0</v>
      </c>
      <c r="M481" s="142">
        <f>M482+M484+M487+M489+M500</f>
        <v>0</v>
      </c>
      <c r="N481" s="142">
        <f>N482+N484+N487+N489+N500</f>
        <v>6000000</v>
      </c>
      <c r="O481" s="142">
        <f>O482+O484+O487+O489+O500</f>
        <v>6000000</v>
      </c>
      <c r="P481" s="142">
        <f>E481+J481</f>
        <v>17704811</v>
      </c>
      <c r="Q481" s="143"/>
      <c r="R481" s="143"/>
      <c r="S481" s="143"/>
      <c r="T481" s="143"/>
      <c r="U481" s="143"/>
      <c r="V481" s="143"/>
      <c r="W481" s="143"/>
      <c r="X481" s="143"/>
      <c r="Y481" s="143"/>
      <c r="Z481" s="143"/>
      <c r="AA481" s="143"/>
      <c r="AB481" s="143"/>
      <c r="AC481" s="143"/>
      <c r="AD481" s="143"/>
      <c r="AE481" s="143"/>
      <c r="AF481" s="143"/>
    </row>
    <row r="482" spans="1:32" s="61" customFormat="1" ht="12.75" hidden="1">
      <c r="A482" s="77" t="s">
        <v>907</v>
      </c>
      <c r="B482" s="144" t="s">
        <v>21</v>
      </c>
      <c r="C482" s="144"/>
      <c r="D482" s="97" t="s">
        <v>22</v>
      </c>
      <c r="E482" s="145">
        <f t="shared" ref="E482:E490" si="87">F482+I482</f>
        <v>7365916</v>
      </c>
      <c r="F482" s="145">
        <f>F483</f>
        <v>7365916</v>
      </c>
      <c r="G482" s="145">
        <f>G483</f>
        <v>4339242</v>
      </c>
      <c r="H482" s="145">
        <f>H483</f>
        <v>291746</v>
      </c>
      <c r="I482" s="145">
        <f>I483</f>
        <v>0</v>
      </c>
      <c r="J482" s="60">
        <f t="shared" ref="J482:J490" si="88">K482+N482</f>
        <v>0</v>
      </c>
      <c r="K482" s="145">
        <f>K483</f>
        <v>0</v>
      </c>
      <c r="L482" s="145">
        <f>L483</f>
        <v>0</v>
      </c>
      <c r="M482" s="145">
        <f>M483</f>
        <v>0</v>
      </c>
      <c r="N482" s="145">
        <f>N483</f>
        <v>0</v>
      </c>
      <c r="O482" s="145">
        <f>O483</f>
        <v>0</v>
      </c>
      <c r="P482" s="145">
        <f t="shared" ref="P482:P490" si="89">E482+J482</f>
        <v>7365916</v>
      </c>
      <c r="Q482" s="143"/>
      <c r="R482" s="143"/>
      <c r="S482" s="143"/>
      <c r="T482" s="143"/>
      <c r="U482" s="143"/>
      <c r="V482" s="143"/>
      <c r="W482" s="143"/>
      <c r="X482" s="143"/>
      <c r="Y482" s="143"/>
      <c r="Z482" s="143"/>
      <c r="AA482" s="143"/>
      <c r="AB482" s="143"/>
      <c r="AC482" s="143"/>
      <c r="AD482" s="143"/>
      <c r="AE482" s="143"/>
      <c r="AF482" s="143"/>
    </row>
    <row r="483" spans="1:32" s="147" customFormat="1" ht="120" hidden="1">
      <c r="A483" s="58" t="s">
        <v>908</v>
      </c>
      <c r="B483" s="58" t="s">
        <v>116</v>
      </c>
      <c r="C483" s="58" t="s">
        <v>25</v>
      </c>
      <c r="D483" s="26" t="s">
        <v>881</v>
      </c>
      <c r="E483" s="142">
        <f t="shared" si="87"/>
        <v>7365916</v>
      </c>
      <c r="F483" s="142">
        <f>6169348+(1196568)</f>
        <v>7365916</v>
      </c>
      <c r="G483" s="142">
        <v>4339242</v>
      </c>
      <c r="H483" s="142">
        <v>291746</v>
      </c>
      <c r="I483" s="142"/>
      <c r="J483" s="60">
        <f t="shared" si="88"/>
        <v>0</v>
      </c>
      <c r="K483" s="142"/>
      <c r="L483" s="142"/>
      <c r="M483" s="142"/>
      <c r="N483" s="142"/>
      <c r="O483" s="142"/>
      <c r="P483" s="142">
        <f t="shared" si="89"/>
        <v>7365916</v>
      </c>
      <c r="Q483" s="146"/>
      <c r="R483" s="146"/>
      <c r="S483" s="146"/>
      <c r="T483" s="146"/>
      <c r="U483" s="146"/>
      <c r="V483" s="146"/>
      <c r="W483" s="146"/>
      <c r="X483" s="146"/>
      <c r="Y483" s="146"/>
      <c r="Z483" s="146"/>
      <c r="AA483" s="146"/>
      <c r="AB483" s="146"/>
      <c r="AC483" s="146"/>
      <c r="AD483" s="146"/>
      <c r="AE483" s="146"/>
      <c r="AF483" s="146"/>
    </row>
    <row r="484" spans="1:32" s="147" customFormat="1" ht="25.5" hidden="1">
      <c r="A484" s="76" t="s">
        <v>909</v>
      </c>
      <c r="B484" s="77" t="s">
        <v>598</v>
      </c>
      <c r="C484" s="77"/>
      <c r="D484" s="78" t="s">
        <v>599</v>
      </c>
      <c r="E484" s="145">
        <f t="shared" si="87"/>
        <v>4080508</v>
      </c>
      <c r="F484" s="145">
        <f>F485+F486</f>
        <v>4080508</v>
      </c>
      <c r="G484" s="145">
        <f>G485+G486</f>
        <v>0</v>
      </c>
      <c r="H484" s="145">
        <f>H485+H486</f>
        <v>0</v>
      </c>
      <c r="I484" s="145">
        <f>I485+I486</f>
        <v>0</v>
      </c>
      <c r="J484" s="60">
        <f t="shared" si="88"/>
        <v>94830</v>
      </c>
      <c r="K484" s="145">
        <f>K485+K486</f>
        <v>94830</v>
      </c>
      <c r="L484" s="145">
        <f>L485+L486</f>
        <v>0</v>
      </c>
      <c r="M484" s="145">
        <f>M485+M486</f>
        <v>0</v>
      </c>
      <c r="N484" s="145">
        <f>N485+N486</f>
        <v>0</v>
      </c>
      <c r="O484" s="145">
        <f>O485+O486</f>
        <v>0</v>
      </c>
      <c r="P484" s="145">
        <f t="shared" si="89"/>
        <v>4175338</v>
      </c>
      <c r="Q484" s="146"/>
      <c r="R484" s="146"/>
      <c r="S484" s="146"/>
      <c r="T484" s="146"/>
      <c r="U484" s="146"/>
      <c r="V484" s="146"/>
      <c r="W484" s="146"/>
      <c r="X484" s="146"/>
      <c r="Y484" s="146"/>
      <c r="Z484" s="146"/>
      <c r="AA484" s="146"/>
      <c r="AB484" s="146"/>
      <c r="AC484" s="146"/>
      <c r="AD484" s="146"/>
      <c r="AE484" s="146"/>
      <c r="AF484" s="146"/>
    </row>
    <row r="485" spans="1:32" s="61" customFormat="1" ht="63.75" hidden="1">
      <c r="A485" s="28" t="s">
        <v>910</v>
      </c>
      <c r="B485" s="28" t="s">
        <v>601</v>
      </c>
      <c r="C485" s="28" t="s">
        <v>602</v>
      </c>
      <c r="D485" s="29" t="s">
        <v>603</v>
      </c>
      <c r="E485" s="87">
        <f t="shared" si="87"/>
        <v>2749802</v>
      </c>
      <c r="F485" s="87">
        <v>2749802</v>
      </c>
      <c r="G485" s="87"/>
      <c r="H485" s="87"/>
      <c r="I485" s="87"/>
      <c r="J485" s="60">
        <f t="shared" si="88"/>
        <v>0</v>
      </c>
      <c r="K485" s="87"/>
      <c r="L485" s="87"/>
      <c r="M485" s="87"/>
      <c r="N485" s="87"/>
      <c r="O485" s="87"/>
      <c r="P485" s="87">
        <f t="shared" si="89"/>
        <v>2749802</v>
      </c>
    </row>
    <row r="486" spans="1:32" s="61" customFormat="1" ht="12.75" hidden="1">
      <c r="A486" s="80" t="s">
        <v>911</v>
      </c>
      <c r="B486" s="80" t="s">
        <v>659</v>
      </c>
      <c r="C486" s="80" t="s">
        <v>618</v>
      </c>
      <c r="D486" s="72" t="s">
        <v>660</v>
      </c>
      <c r="E486" s="60">
        <f t="shared" si="87"/>
        <v>1330706</v>
      </c>
      <c r="F486" s="60">
        <v>1330706</v>
      </c>
      <c r="G486" s="60"/>
      <c r="H486" s="60"/>
      <c r="I486" s="60"/>
      <c r="J486" s="60">
        <f t="shared" si="88"/>
        <v>94830</v>
      </c>
      <c r="K486" s="60">
        <v>94830</v>
      </c>
      <c r="L486" s="60"/>
      <c r="M486" s="60"/>
      <c r="N486" s="60"/>
      <c r="O486" s="60"/>
      <c r="P486" s="142">
        <f t="shared" si="89"/>
        <v>1425536</v>
      </c>
    </row>
    <row r="487" spans="1:32" s="61" customFormat="1" ht="12.75" hidden="1">
      <c r="A487" s="28" t="s">
        <v>912</v>
      </c>
      <c r="B487" s="22" t="s">
        <v>41</v>
      </c>
      <c r="C487" s="22"/>
      <c r="D487" s="23" t="s">
        <v>336</v>
      </c>
      <c r="E487" s="24">
        <f t="shared" si="87"/>
        <v>0</v>
      </c>
      <c r="F487" s="24">
        <f>F488</f>
        <v>0</v>
      </c>
      <c r="G487" s="24">
        <f>G488</f>
        <v>0</v>
      </c>
      <c r="H487" s="24">
        <f>H488</f>
        <v>0</v>
      </c>
      <c r="I487" s="24">
        <f>I488</f>
        <v>0</v>
      </c>
      <c r="J487" s="60">
        <f t="shared" si="88"/>
        <v>6000000</v>
      </c>
      <c r="K487" s="24">
        <f>K488</f>
        <v>0</v>
      </c>
      <c r="L487" s="24">
        <f>L488</f>
        <v>0</v>
      </c>
      <c r="M487" s="24">
        <f>M488</f>
        <v>0</v>
      </c>
      <c r="N487" s="24">
        <f>N488</f>
        <v>6000000</v>
      </c>
      <c r="O487" s="24">
        <f>O488</f>
        <v>6000000</v>
      </c>
      <c r="P487" s="24">
        <f t="shared" si="89"/>
        <v>6000000</v>
      </c>
    </row>
    <row r="488" spans="1:32" s="61" customFormat="1" ht="39" hidden="1">
      <c r="A488" s="115" t="s">
        <v>913</v>
      </c>
      <c r="B488" s="18" t="s">
        <v>44</v>
      </c>
      <c r="C488" s="18" t="s">
        <v>45</v>
      </c>
      <c r="D488" s="148" t="s">
        <v>46</v>
      </c>
      <c r="E488" s="60">
        <f t="shared" si="87"/>
        <v>0</v>
      </c>
      <c r="F488" s="60"/>
      <c r="G488" s="60"/>
      <c r="H488" s="60"/>
      <c r="I488" s="60"/>
      <c r="J488" s="60">
        <f t="shared" si="88"/>
        <v>6000000</v>
      </c>
      <c r="K488" s="60"/>
      <c r="L488" s="60"/>
      <c r="M488" s="60"/>
      <c r="N488" s="60">
        <f>O488</f>
        <v>6000000</v>
      </c>
      <c r="O488" s="60">
        <v>6000000</v>
      </c>
      <c r="P488" s="142">
        <f t="shared" si="89"/>
        <v>6000000</v>
      </c>
    </row>
    <row r="489" spans="1:32" s="61" customFormat="1" ht="25.5" hidden="1">
      <c r="A489" s="76" t="s">
        <v>914</v>
      </c>
      <c r="B489" s="76" t="s">
        <v>58</v>
      </c>
      <c r="C489" s="76"/>
      <c r="D489" s="100" t="s">
        <v>59</v>
      </c>
      <c r="E489" s="87">
        <f t="shared" si="87"/>
        <v>163557</v>
      </c>
      <c r="F489" s="87">
        <f>F490</f>
        <v>163557</v>
      </c>
      <c r="G489" s="87">
        <f>G490</f>
        <v>0</v>
      </c>
      <c r="H489" s="87">
        <f>H490</f>
        <v>0</v>
      </c>
      <c r="I489" s="87">
        <f>I490</f>
        <v>0</v>
      </c>
      <c r="J489" s="60">
        <f t="shared" si="88"/>
        <v>0</v>
      </c>
      <c r="K489" s="87">
        <f>K490</f>
        <v>0</v>
      </c>
      <c r="L489" s="87">
        <f>L490</f>
        <v>0</v>
      </c>
      <c r="M489" s="87">
        <f>M490</f>
        <v>0</v>
      </c>
      <c r="N489" s="87">
        <f>N490</f>
        <v>0</v>
      </c>
      <c r="O489" s="87">
        <f>O490</f>
        <v>0</v>
      </c>
      <c r="P489" s="87">
        <f t="shared" si="89"/>
        <v>163557</v>
      </c>
    </row>
    <row r="490" spans="1:32" s="61" customFormat="1" ht="12.75" hidden="1">
      <c r="A490" s="101" t="s">
        <v>915</v>
      </c>
      <c r="B490" s="101" t="s">
        <v>66</v>
      </c>
      <c r="C490" s="101"/>
      <c r="D490" s="126" t="s">
        <v>67</v>
      </c>
      <c r="E490" s="104">
        <f t="shared" si="87"/>
        <v>163557</v>
      </c>
      <c r="F490" s="104">
        <f>SUM(F491:F499)</f>
        <v>163557</v>
      </c>
      <c r="G490" s="104">
        <f>SUM(G491:G499)</f>
        <v>0</v>
      </c>
      <c r="H490" s="104">
        <f>SUM(H491:H499)</f>
        <v>0</v>
      </c>
      <c r="I490" s="104">
        <f>SUM(I491:I499)</f>
        <v>0</v>
      </c>
      <c r="J490" s="60">
        <f t="shared" si="88"/>
        <v>0</v>
      </c>
      <c r="K490" s="104">
        <f>SUM(K491:K499)</f>
        <v>0</v>
      </c>
      <c r="L490" s="104">
        <f>SUM(L491:L499)</f>
        <v>0</v>
      </c>
      <c r="M490" s="104">
        <f>SUM(M491:M499)</f>
        <v>0</v>
      </c>
      <c r="N490" s="104">
        <f>SUM(N491:N499)</f>
        <v>0</v>
      </c>
      <c r="O490" s="104">
        <f>SUM(O491:O499)</f>
        <v>0</v>
      </c>
      <c r="P490" s="149">
        <f t="shared" si="89"/>
        <v>163557</v>
      </c>
    </row>
    <row r="491" spans="1:32" ht="90" hidden="1">
      <c r="A491" s="18" t="s">
        <v>916</v>
      </c>
      <c r="B491" s="25" t="s">
        <v>69</v>
      </c>
      <c r="C491" s="25" t="s">
        <v>70</v>
      </c>
      <c r="D491" s="31" t="s">
        <v>71</v>
      </c>
      <c r="E491" s="20">
        <f>F491+I491</f>
        <v>0</v>
      </c>
      <c r="F491" s="27"/>
      <c r="G491" s="27"/>
      <c r="H491" s="27"/>
      <c r="I491" s="27"/>
      <c r="J491" s="20">
        <f>K491+N491</f>
        <v>0</v>
      </c>
      <c r="K491" s="27"/>
      <c r="L491" s="27"/>
      <c r="M491" s="27"/>
      <c r="N491" s="27"/>
      <c r="O491" s="27"/>
      <c r="P491" s="20">
        <f>E491+J491</f>
        <v>0</v>
      </c>
    </row>
    <row r="492" spans="1:32" s="41" customFormat="1" ht="60" hidden="1">
      <c r="A492" s="18" t="s">
        <v>917</v>
      </c>
      <c r="B492" s="18" t="s">
        <v>73</v>
      </c>
      <c r="C492" s="25" t="s">
        <v>70</v>
      </c>
      <c r="D492" s="39" t="s">
        <v>74</v>
      </c>
      <c r="E492" s="20">
        <f t="shared" ref="E492:E499" si="90">F492+I492</f>
        <v>38400</v>
      </c>
      <c r="F492" s="40">
        <v>38400</v>
      </c>
      <c r="G492" s="40"/>
      <c r="H492" s="40"/>
      <c r="I492" s="40"/>
      <c r="J492" s="20">
        <f t="shared" ref="J492:J500" si="91">K492+N492</f>
        <v>0</v>
      </c>
      <c r="K492" s="27"/>
      <c r="L492" s="27"/>
      <c r="M492" s="27"/>
      <c r="N492" s="27"/>
      <c r="O492" s="27"/>
      <c r="P492" s="20">
        <f t="shared" ref="P492:P500" si="92">E492+J492</f>
        <v>38400</v>
      </c>
    </row>
    <row r="493" spans="1:32" ht="75" hidden="1">
      <c r="A493" s="18" t="s">
        <v>918</v>
      </c>
      <c r="B493" s="25" t="s">
        <v>76</v>
      </c>
      <c r="C493" s="25" t="s">
        <v>70</v>
      </c>
      <c r="D493" s="31" t="s">
        <v>77</v>
      </c>
      <c r="E493" s="20">
        <f t="shared" si="90"/>
        <v>56738</v>
      </c>
      <c r="F493" s="27">
        <v>56738</v>
      </c>
      <c r="G493" s="27"/>
      <c r="H493" s="27"/>
      <c r="I493" s="27"/>
      <c r="J493" s="20">
        <f t="shared" si="91"/>
        <v>0</v>
      </c>
      <c r="K493" s="27"/>
      <c r="L493" s="27"/>
      <c r="M493" s="27"/>
      <c r="N493" s="27"/>
      <c r="O493" s="27"/>
      <c r="P493" s="20">
        <f t="shared" si="92"/>
        <v>56738</v>
      </c>
    </row>
    <row r="494" spans="1:32" ht="75" hidden="1">
      <c r="A494" s="18" t="s">
        <v>919</v>
      </c>
      <c r="B494" s="25" t="s">
        <v>79</v>
      </c>
      <c r="C494" s="25" t="s">
        <v>70</v>
      </c>
      <c r="D494" s="31" t="s">
        <v>80</v>
      </c>
      <c r="E494" s="20">
        <f t="shared" si="90"/>
        <v>0</v>
      </c>
      <c r="F494" s="27"/>
      <c r="G494" s="27"/>
      <c r="H494" s="27"/>
      <c r="I494" s="27"/>
      <c r="J494" s="20">
        <f t="shared" si="91"/>
        <v>0</v>
      </c>
      <c r="K494" s="27"/>
      <c r="L494" s="27"/>
      <c r="M494" s="27"/>
      <c r="N494" s="27"/>
      <c r="O494" s="27"/>
      <c r="P494" s="20">
        <f t="shared" si="92"/>
        <v>0</v>
      </c>
    </row>
    <row r="495" spans="1:32" ht="90" hidden="1">
      <c r="A495" s="18" t="s">
        <v>920</v>
      </c>
      <c r="B495" s="25" t="s">
        <v>82</v>
      </c>
      <c r="C495" s="25" t="s">
        <v>70</v>
      </c>
      <c r="D495" s="31" t="s">
        <v>83</v>
      </c>
      <c r="E495" s="20">
        <f t="shared" si="90"/>
        <v>0</v>
      </c>
      <c r="F495" s="27"/>
      <c r="G495" s="27"/>
      <c r="H495" s="27"/>
      <c r="I495" s="27"/>
      <c r="J495" s="20">
        <f t="shared" si="91"/>
        <v>0</v>
      </c>
      <c r="K495" s="27"/>
      <c r="L495" s="27"/>
      <c r="M495" s="27"/>
      <c r="N495" s="27"/>
      <c r="O495" s="27"/>
      <c r="P495" s="20">
        <f t="shared" si="92"/>
        <v>0</v>
      </c>
    </row>
    <row r="496" spans="1:32" ht="90" hidden="1">
      <c r="A496" s="18" t="s">
        <v>921</v>
      </c>
      <c r="B496" s="25" t="s">
        <v>85</v>
      </c>
      <c r="C496" s="25" t="s">
        <v>70</v>
      </c>
      <c r="D496" s="31" t="s">
        <v>86</v>
      </c>
      <c r="E496" s="20">
        <f t="shared" si="90"/>
        <v>49999</v>
      </c>
      <c r="F496" s="27">
        <v>49999</v>
      </c>
      <c r="G496" s="27"/>
      <c r="H496" s="27"/>
      <c r="I496" s="27"/>
      <c r="J496" s="20">
        <f t="shared" si="91"/>
        <v>0</v>
      </c>
      <c r="K496" s="27"/>
      <c r="L496" s="27"/>
      <c r="M496" s="27"/>
      <c r="N496" s="27"/>
      <c r="O496" s="27"/>
      <c r="P496" s="20">
        <f t="shared" si="92"/>
        <v>49999</v>
      </c>
    </row>
    <row r="497" spans="1:16" ht="165" hidden="1">
      <c r="A497" s="18" t="s">
        <v>922</v>
      </c>
      <c r="B497" s="25" t="s">
        <v>90</v>
      </c>
      <c r="C497" s="25" t="s">
        <v>70</v>
      </c>
      <c r="D497" s="31" t="s">
        <v>91</v>
      </c>
      <c r="E497" s="20">
        <f t="shared" si="90"/>
        <v>0</v>
      </c>
      <c r="F497" s="43"/>
      <c r="G497" s="43"/>
      <c r="H497" s="43"/>
      <c r="I497" s="43"/>
      <c r="J497" s="20">
        <f t="shared" si="91"/>
        <v>0</v>
      </c>
      <c r="K497" s="43"/>
      <c r="L497" s="43"/>
      <c r="M497" s="43"/>
      <c r="N497" s="43"/>
      <c r="O497" s="43"/>
      <c r="P497" s="20">
        <f t="shared" si="92"/>
        <v>0</v>
      </c>
    </row>
    <row r="498" spans="1:16" ht="45" hidden="1">
      <c r="A498" s="18" t="s">
        <v>923</v>
      </c>
      <c r="B498" s="25" t="s">
        <v>95</v>
      </c>
      <c r="C498" s="25" t="s">
        <v>70</v>
      </c>
      <c r="D498" s="31" t="s">
        <v>96</v>
      </c>
      <c r="E498" s="20">
        <f t="shared" si="90"/>
        <v>18420</v>
      </c>
      <c r="F498" s="43">
        <v>18420</v>
      </c>
      <c r="G498" s="43"/>
      <c r="H498" s="43"/>
      <c r="I498" s="43"/>
      <c r="J498" s="20">
        <f t="shared" si="91"/>
        <v>0</v>
      </c>
      <c r="K498" s="43"/>
      <c r="L498" s="43"/>
      <c r="M498" s="43"/>
      <c r="N498" s="43"/>
      <c r="O498" s="43"/>
      <c r="P498" s="20">
        <f t="shared" si="92"/>
        <v>18420</v>
      </c>
    </row>
    <row r="499" spans="1:16" s="21" customFormat="1" hidden="1">
      <c r="A499" s="18" t="s">
        <v>924</v>
      </c>
      <c r="B499" s="18" t="s">
        <v>898</v>
      </c>
      <c r="C499" s="18" t="s">
        <v>70</v>
      </c>
      <c r="D499" s="31" t="s">
        <v>98</v>
      </c>
      <c r="E499" s="20">
        <f t="shared" si="90"/>
        <v>0</v>
      </c>
      <c r="F499" s="20"/>
      <c r="G499" s="20"/>
      <c r="H499" s="20"/>
      <c r="I499" s="20"/>
      <c r="J499" s="20">
        <f t="shared" si="91"/>
        <v>0</v>
      </c>
      <c r="K499" s="20"/>
      <c r="L499" s="20"/>
      <c r="M499" s="20"/>
      <c r="N499" s="20"/>
      <c r="O499" s="20"/>
      <c r="P499" s="20">
        <f t="shared" si="92"/>
        <v>0</v>
      </c>
    </row>
    <row r="500" spans="1:16" s="61" customFormat="1" hidden="1">
      <c r="A500" s="28" t="s">
        <v>925</v>
      </c>
      <c r="B500" s="28" t="s">
        <v>102</v>
      </c>
      <c r="C500" s="28"/>
      <c r="D500" s="33" t="s">
        <v>103</v>
      </c>
      <c r="E500" s="24">
        <f>F500+I500</f>
        <v>0</v>
      </c>
      <c r="F500" s="24">
        <f>F501</f>
        <v>0</v>
      </c>
      <c r="G500" s="24">
        <f t="shared" ref="G500:I501" si="93">G501</f>
        <v>0</v>
      </c>
      <c r="H500" s="24">
        <f t="shared" si="93"/>
        <v>0</v>
      </c>
      <c r="I500" s="24">
        <f t="shared" si="93"/>
        <v>0</v>
      </c>
      <c r="J500" s="20">
        <f t="shared" si="91"/>
        <v>0</v>
      </c>
      <c r="K500" s="24">
        <f t="shared" ref="K500:O501" si="94">K501</f>
        <v>0</v>
      </c>
      <c r="L500" s="24">
        <f t="shared" si="94"/>
        <v>0</v>
      </c>
      <c r="M500" s="24">
        <f t="shared" si="94"/>
        <v>0</v>
      </c>
      <c r="N500" s="24">
        <f t="shared" si="94"/>
        <v>0</v>
      </c>
      <c r="O500" s="24">
        <f t="shared" si="94"/>
        <v>0</v>
      </c>
      <c r="P500" s="24">
        <f t="shared" si="92"/>
        <v>0</v>
      </c>
    </row>
    <row r="501" spans="1:16" s="61" customFormat="1" ht="76.5" hidden="1">
      <c r="A501" s="35" t="s">
        <v>926</v>
      </c>
      <c r="B501" s="34" t="s">
        <v>105</v>
      </c>
      <c r="C501" s="34"/>
      <c r="D501" s="122" t="s">
        <v>106</v>
      </c>
      <c r="E501" s="150">
        <f>F501+I501</f>
        <v>0</v>
      </c>
      <c r="F501" s="150">
        <f>F502</f>
        <v>0</v>
      </c>
      <c r="G501" s="150">
        <f t="shared" si="93"/>
        <v>0</v>
      </c>
      <c r="H501" s="150">
        <f t="shared" si="93"/>
        <v>0</v>
      </c>
      <c r="I501" s="150">
        <f t="shared" si="93"/>
        <v>0</v>
      </c>
      <c r="J501" s="60">
        <f>K501+N501</f>
        <v>0</v>
      </c>
      <c r="K501" s="150">
        <f t="shared" si="94"/>
        <v>0</v>
      </c>
      <c r="L501" s="150">
        <f t="shared" si="94"/>
        <v>0</v>
      </c>
      <c r="M501" s="150">
        <f t="shared" si="94"/>
        <v>0</v>
      </c>
      <c r="N501" s="150">
        <f t="shared" si="94"/>
        <v>0</v>
      </c>
      <c r="O501" s="150">
        <f t="shared" si="94"/>
        <v>0</v>
      </c>
      <c r="P501" s="151">
        <f>E501+J501</f>
        <v>0</v>
      </c>
    </row>
    <row r="502" spans="1:16" s="61" customFormat="1" ht="30" hidden="1">
      <c r="A502" s="80" t="s">
        <v>927</v>
      </c>
      <c r="B502" s="80" t="s">
        <v>108</v>
      </c>
      <c r="C502" s="80" t="s">
        <v>70</v>
      </c>
      <c r="D502" s="31" t="s">
        <v>109</v>
      </c>
      <c r="E502" s="60">
        <f>F502+I502</f>
        <v>0</v>
      </c>
      <c r="F502" s="60"/>
      <c r="G502" s="60"/>
      <c r="H502" s="60"/>
      <c r="I502" s="60"/>
      <c r="J502" s="60">
        <f>K502+N502</f>
        <v>0</v>
      </c>
      <c r="K502" s="60"/>
      <c r="L502" s="60"/>
      <c r="M502" s="60"/>
      <c r="N502" s="60"/>
      <c r="O502" s="60"/>
      <c r="P502" s="142">
        <f>E502+J502</f>
        <v>0</v>
      </c>
    </row>
    <row r="503" spans="1:16" s="17" customFormat="1" ht="39" hidden="1">
      <c r="A503" s="14" t="s">
        <v>928</v>
      </c>
      <c r="B503" s="14" t="s">
        <v>929</v>
      </c>
      <c r="C503" s="14"/>
      <c r="D503" s="108" t="s">
        <v>930</v>
      </c>
      <c r="E503" s="50">
        <f>F503+I503</f>
        <v>11581586</v>
      </c>
      <c r="F503" s="50">
        <f>F504</f>
        <v>11581586</v>
      </c>
      <c r="G503" s="50">
        <f>G504</f>
        <v>4106371</v>
      </c>
      <c r="H503" s="50">
        <f>H504</f>
        <v>478095</v>
      </c>
      <c r="I503" s="50">
        <f>I504</f>
        <v>0</v>
      </c>
      <c r="J503" s="50">
        <f>K503+N503</f>
        <v>14306556</v>
      </c>
      <c r="K503" s="50">
        <f>K504</f>
        <v>35149</v>
      </c>
      <c r="L503" s="50">
        <f>L504</f>
        <v>0</v>
      </c>
      <c r="M503" s="50">
        <f>M504</f>
        <v>0</v>
      </c>
      <c r="N503" s="50">
        <f>N504</f>
        <v>14271407</v>
      </c>
      <c r="O503" s="50">
        <f>O504</f>
        <v>10300455</v>
      </c>
      <c r="P503" s="50">
        <f>E503+J503</f>
        <v>25888142</v>
      </c>
    </row>
    <row r="504" spans="1:16" s="21" customFormat="1" ht="45" hidden="1">
      <c r="A504" s="18" t="s">
        <v>931</v>
      </c>
      <c r="B504" s="38"/>
      <c r="C504" s="38"/>
      <c r="D504" s="19" t="s">
        <v>930</v>
      </c>
      <c r="E504" s="152">
        <f>F504+I504</f>
        <v>11581586</v>
      </c>
      <c r="F504" s="152">
        <f>F505+F507+F510+F512+F523</f>
        <v>11581586</v>
      </c>
      <c r="G504" s="152">
        <f>G505+G507+G510+G512+G523</f>
        <v>4106371</v>
      </c>
      <c r="H504" s="152">
        <f>H505+H507+H510+H512+H523</f>
        <v>478095</v>
      </c>
      <c r="I504" s="152">
        <f>I505+I507+I510+I512+I523</f>
        <v>0</v>
      </c>
      <c r="J504" s="152">
        <f>K504+N504</f>
        <v>14306556</v>
      </c>
      <c r="K504" s="152">
        <f>K505+K507+K510+K512+K523</f>
        <v>35149</v>
      </c>
      <c r="L504" s="152">
        <f>L505+L507+L510+L512+L523</f>
        <v>0</v>
      </c>
      <c r="M504" s="152">
        <f>M505+M507+M510+M512+M523</f>
        <v>0</v>
      </c>
      <c r="N504" s="152">
        <f>N505+N507+N510+N512+N523</f>
        <v>14271407</v>
      </c>
      <c r="O504" s="152">
        <f>O505+O507+O510+O512+O523</f>
        <v>10300455</v>
      </c>
      <c r="P504" s="152">
        <f>E504+J504</f>
        <v>25888142</v>
      </c>
    </row>
    <row r="505" spans="1:16" s="21" customFormat="1" hidden="1">
      <c r="A505" s="22" t="s">
        <v>932</v>
      </c>
      <c r="B505" s="22" t="s">
        <v>21</v>
      </c>
      <c r="C505" s="22"/>
      <c r="D505" s="23" t="s">
        <v>22</v>
      </c>
      <c r="E505" s="152">
        <f t="shared" ref="E505:E522" si="95">F505+I505</f>
        <v>7644382</v>
      </c>
      <c r="F505" s="153">
        <f>F506</f>
        <v>7644382</v>
      </c>
      <c r="G505" s="153">
        <f>G506</f>
        <v>4106371</v>
      </c>
      <c r="H505" s="153">
        <f>H506</f>
        <v>478095</v>
      </c>
      <c r="I505" s="153">
        <f>I506</f>
        <v>0</v>
      </c>
      <c r="J505" s="152">
        <f t="shared" ref="J505:J522" si="96">K505+N505</f>
        <v>35149</v>
      </c>
      <c r="K505" s="153">
        <f>K506</f>
        <v>35149</v>
      </c>
      <c r="L505" s="153">
        <f>L506</f>
        <v>0</v>
      </c>
      <c r="M505" s="153">
        <f>M506</f>
        <v>0</v>
      </c>
      <c r="N505" s="153">
        <f>N506</f>
        <v>0</v>
      </c>
      <c r="O505" s="153">
        <f>O506</f>
        <v>0</v>
      </c>
      <c r="P505" s="152">
        <f t="shared" ref="P505:P522" si="97">E505+J505</f>
        <v>7679531</v>
      </c>
    </row>
    <row r="506" spans="1:16" s="21" customFormat="1" ht="120" hidden="1">
      <c r="A506" s="18" t="s">
        <v>933</v>
      </c>
      <c r="B506" s="18" t="s">
        <v>116</v>
      </c>
      <c r="C506" s="18" t="s">
        <v>25</v>
      </c>
      <c r="D506" s="26" t="s">
        <v>881</v>
      </c>
      <c r="E506" s="152">
        <f t="shared" si="95"/>
        <v>7644382</v>
      </c>
      <c r="F506" s="152">
        <f>6206893+(1437489)</f>
        <v>7644382</v>
      </c>
      <c r="G506" s="152">
        <v>4106371</v>
      </c>
      <c r="H506" s="152">
        <v>478095</v>
      </c>
      <c r="I506" s="152"/>
      <c r="J506" s="152">
        <f t="shared" si="96"/>
        <v>35149</v>
      </c>
      <c r="K506" s="152">
        <f>33578+1571</f>
        <v>35149</v>
      </c>
      <c r="L506" s="152"/>
      <c r="M506" s="152"/>
      <c r="N506" s="152"/>
      <c r="O506" s="152"/>
      <c r="P506" s="152">
        <f t="shared" si="97"/>
        <v>7679531</v>
      </c>
    </row>
    <row r="507" spans="1:16" s="21" customFormat="1" ht="26.25" hidden="1">
      <c r="A507" s="76" t="s">
        <v>934</v>
      </c>
      <c r="B507" s="76" t="s">
        <v>598</v>
      </c>
      <c r="C507" s="76"/>
      <c r="D507" s="78" t="s">
        <v>599</v>
      </c>
      <c r="E507" s="152">
        <f t="shared" si="95"/>
        <v>3575716</v>
      </c>
      <c r="F507" s="154">
        <f>F508+F509</f>
        <v>3575716</v>
      </c>
      <c r="G507" s="154">
        <f>G508+G509</f>
        <v>0</v>
      </c>
      <c r="H507" s="154">
        <f>H508+H509</f>
        <v>0</v>
      </c>
      <c r="I507" s="154">
        <f>I508+I509</f>
        <v>0</v>
      </c>
      <c r="J507" s="152">
        <f t="shared" si="96"/>
        <v>220952</v>
      </c>
      <c r="K507" s="154">
        <f>K508+K509</f>
        <v>0</v>
      </c>
      <c r="L507" s="154">
        <f>L508+L509</f>
        <v>0</v>
      </c>
      <c r="M507" s="154">
        <f>M508+M509</f>
        <v>0</v>
      </c>
      <c r="N507" s="154">
        <f>N508+N509</f>
        <v>220952</v>
      </c>
      <c r="O507" s="154">
        <f>O508+O509</f>
        <v>0</v>
      </c>
      <c r="P507" s="152">
        <f t="shared" si="97"/>
        <v>3796668</v>
      </c>
    </row>
    <row r="508" spans="1:16" s="61" customFormat="1" ht="64.5" hidden="1">
      <c r="A508" s="28" t="s">
        <v>935</v>
      </c>
      <c r="B508" s="28" t="s">
        <v>601</v>
      </c>
      <c r="C508" s="28" t="s">
        <v>602</v>
      </c>
      <c r="D508" s="29" t="s">
        <v>603</v>
      </c>
      <c r="E508" s="152">
        <f t="shared" si="95"/>
        <v>2016970</v>
      </c>
      <c r="F508" s="87">
        <v>2016970</v>
      </c>
      <c r="G508" s="87"/>
      <c r="H508" s="87"/>
      <c r="I508" s="87"/>
      <c r="J508" s="152">
        <f t="shared" si="96"/>
        <v>0</v>
      </c>
      <c r="K508" s="87"/>
      <c r="L508" s="87"/>
      <c r="M508" s="87"/>
      <c r="N508" s="87"/>
      <c r="O508" s="87"/>
      <c r="P508" s="152">
        <f t="shared" si="97"/>
        <v>2016970</v>
      </c>
    </row>
    <row r="509" spans="1:16" s="61" customFormat="1" hidden="1">
      <c r="A509" s="80" t="s">
        <v>936</v>
      </c>
      <c r="B509" s="80" t="s">
        <v>659</v>
      </c>
      <c r="C509" s="80" t="s">
        <v>618</v>
      </c>
      <c r="D509" s="72" t="s">
        <v>660</v>
      </c>
      <c r="E509" s="152">
        <f t="shared" si="95"/>
        <v>1558746</v>
      </c>
      <c r="F509" s="60">
        <v>1558746</v>
      </c>
      <c r="G509" s="60"/>
      <c r="H509" s="60"/>
      <c r="I509" s="60"/>
      <c r="J509" s="152">
        <f t="shared" si="96"/>
        <v>220952</v>
      </c>
      <c r="K509" s="60"/>
      <c r="L509" s="60"/>
      <c r="M509" s="60"/>
      <c r="N509" s="60">
        <f>O509+220952</f>
        <v>220952</v>
      </c>
      <c r="O509" s="60"/>
      <c r="P509" s="152">
        <f t="shared" si="97"/>
        <v>1779698</v>
      </c>
    </row>
    <row r="510" spans="1:16" s="61" customFormat="1" hidden="1">
      <c r="A510" s="28" t="s">
        <v>937</v>
      </c>
      <c r="B510" s="22" t="s">
        <v>41</v>
      </c>
      <c r="C510" s="22"/>
      <c r="D510" s="23" t="s">
        <v>336</v>
      </c>
      <c r="E510" s="152">
        <f t="shared" si="95"/>
        <v>0</v>
      </c>
      <c r="F510" s="24">
        <f>F511</f>
        <v>0</v>
      </c>
      <c r="G510" s="24">
        <f>G511</f>
        <v>0</v>
      </c>
      <c r="H510" s="24">
        <f>H511</f>
        <v>0</v>
      </c>
      <c r="I510" s="24">
        <f>I511</f>
        <v>0</v>
      </c>
      <c r="J510" s="152">
        <f t="shared" si="96"/>
        <v>10300455</v>
      </c>
      <c r="K510" s="24">
        <f>K511</f>
        <v>0</v>
      </c>
      <c r="L510" s="24">
        <f>L511</f>
        <v>0</v>
      </c>
      <c r="M510" s="24">
        <f>M511</f>
        <v>0</v>
      </c>
      <c r="N510" s="24">
        <f>N511</f>
        <v>10300455</v>
      </c>
      <c r="O510" s="24">
        <f>O511</f>
        <v>10300455</v>
      </c>
      <c r="P510" s="152">
        <f t="shared" si="97"/>
        <v>10300455</v>
      </c>
    </row>
    <row r="511" spans="1:16" s="61" customFormat="1" ht="45" hidden="1">
      <c r="A511" s="25" t="s">
        <v>938</v>
      </c>
      <c r="B511" s="25" t="s">
        <v>44</v>
      </c>
      <c r="C511" s="25" t="s">
        <v>45</v>
      </c>
      <c r="D511" s="26" t="s">
        <v>46</v>
      </c>
      <c r="E511" s="152">
        <f t="shared" si="95"/>
        <v>0</v>
      </c>
      <c r="F511" s="27"/>
      <c r="G511" s="27"/>
      <c r="H511" s="27"/>
      <c r="I511" s="27"/>
      <c r="J511" s="152">
        <f t="shared" si="96"/>
        <v>10300455</v>
      </c>
      <c r="K511" s="27"/>
      <c r="L511" s="27"/>
      <c r="M511" s="27"/>
      <c r="N511" s="27">
        <f>O511</f>
        <v>10300455</v>
      </c>
      <c r="O511" s="27">
        <f>7830239+2170416+299800</f>
        <v>10300455</v>
      </c>
      <c r="P511" s="152">
        <f t="shared" si="97"/>
        <v>10300455</v>
      </c>
    </row>
    <row r="512" spans="1:16" s="61" customFormat="1" ht="26.25" hidden="1">
      <c r="A512" s="76" t="s">
        <v>939</v>
      </c>
      <c r="B512" s="76" t="s">
        <v>58</v>
      </c>
      <c r="C512" s="76"/>
      <c r="D512" s="100" t="s">
        <v>59</v>
      </c>
      <c r="E512" s="152">
        <f t="shared" si="95"/>
        <v>361488</v>
      </c>
      <c r="F512" s="87">
        <f>F513</f>
        <v>361488</v>
      </c>
      <c r="G512" s="87">
        <f>G513</f>
        <v>0</v>
      </c>
      <c r="H512" s="87">
        <f>H513</f>
        <v>0</v>
      </c>
      <c r="I512" s="87">
        <f>I513</f>
        <v>0</v>
      </c>
      <c r="J512" s="152">
        <f t="shared" si="96"/>
        <v>0</v>
      </c>
      <c r="K512" s="87">
        <f>K513</f>
        <v>0</v>
      </c>
      <c r="L512" s="87">
        <f>L513</f>
        <v>0</v>
      </c>
      <c r="M512" s="87">
        <f>M513</f>
        <v>0</v>
      </c>
      <c r="N512" s="87">
        <f>N513</f>
        <v>0</v>
      </c>
      <c r="O512" s="87">
        <f>O513</f>
        <v>0</v>
      </c>
      <c r="P512" s="152">
        <f t="shared" si="97"/>
        <v>361488</v>
      </c>
    </row>
    <row r="513" spans="1:16" s="61" customFormat="1" hidden="1">
      <c r="A513" s="101" t="s">
        <v>940</v>
      </c>
      <c r="B513" s="101" t="s">
        <v>66</v>
      </c>
      <c r="C513" s="101"/>
      <c r="D513" s="126" t="s">
        <v>67</v>
      </c>
      <c r="E513" s="152">
        <f t="shared" si="95"/>
        <v>361488</v>
      </c>
      <c r="F513" s="104">
        <f>SUM(F514:F522)</f>
        <v>361488</v>
      </c>
      <c r="G513" s="104">
        <f>SUM(G514:G522)</f>
        <v>0</v>
      </c>
      <c r="H513" s="104">
        <f>SUM(H514:H522)</f>
        <v>0</v>
      </c>
      <c r="I513" s="104">
        <f>SUM(I514:I522)</f>
        <v>0</v>
      </c>
      <c r="J513" s="152">
        <f t="shared" si="96"/>
        <v>0</v>
      </c>
      <c r="K513" s="104">
        <f>SUM(K514:K522)</f>
        <v>0</v>
      </c>
      <c r="L513" s="104">
        <f>SUM(L514:L522)</f>
        <v>0</v>
      </c>
      <c r="M513" s="104">
        <f>SUM(M514:M522)</f>
        <v>0</v>
      </c>
      <c r="N513" s="104">
        <f>SUM(N514:N522)</f>
        <v>0</v>
      </c>
      <c r="O513" s="104">
        <f>SUM(O514:O522)</f>
        <v>0</v>
      </c>
      <c r="P513" s="152">
        <f t="shared" si="97"/>
        <v>361488</v>
      </c>
    </row>
    <row r="514" spans="1:16" ht="90" hidden="1">
      <c r="A514" s="18" t="s">
        <v>941</v>
      </c>
      <c r="B514" s="25" t="s">
        <v>69</v>
      </c>
      <c r="C514" s="25" t="s">
        <v>70</v>
      </c>
      <c r="D514" s="31" t="s">
        <v>71</v>
      </c>
      <c r="E514" s="152">
        <f t="shared" si="95"/>
        <v>0</v>
      </c>
      <c r="F514" s="27"/>
      <c r="G514" s="27"/>
      <c r="H514" s="27"/>
      <c r="I514" s="27"/>
      <c r="J514" s="152">
        <f t="shared" si="96"/>
        <v>0</v>
      </c>
      <c r="K514" s="27"/>
      <c r="L514" s="27"/>
      <c r="M514" s="27"/>
      <c r="N514" s="27"/>
      <c r="O514" s="27"/>
      <c r="P514" s="152">
        <f t="shared" si="97"/>
        <v>0</v>
      </c>
    </row>
    <row r="515" spans="1:16" s="41" customFormat="1" ht="60" hidden="1">
      <c r="A515" s="18" t="s">
        <v>942</v>
      </c>
      <c r="B515" s="18" t="s">
        <v>73</v>
      </c>
      <c r="C515" s="25" t="s">
        <v>70</v>
      </c>
      <c r="D515" s="39" t="s">
        <v>74</v>
      </c>
      <c r="E515" s="152">
        <f t="shared" si="95"/>
        <v>211200</v>
      </c>
      <c r="F515" s="40">
        <v>211200</v>
      </c>
      <c r="G515" s="40"/>
      <c r="H515" s="40"/>
      <c r="I515" s="40"/>
      <c r="J515" s="152">
        <f t="shared" si="96"/>
        <v>0</v>
      </c>
      <c r="K515" s="27"/>
      <c r="L515" s="27"/>
      <c r="M515" s="27"/>
      <c r="N515" s="27"/>
      <c r="O515" s="27"/>
      <c r="P515" s="152">
        <f t="shared" si="97"/>
        <v>211200</v>
      </c>
    </row>
    <row r="516" spans="1:16" ht="75" hidden="1">
      <c r="A516" s="18" t="s">
        <v>943</v>
      </c>
      <c r="B516" s="25" t="s">
        <v>76</v>
      </c>
      <c r="C516" s="25" t="s">
        <v>70</v>
      </c>
      <c r="D516" s="31" t="s">
        <v>77</v>
      </c>
      <c r="E516" s="152">
        <f t="shared" si="95"/>
        <v>50673</v>
      </c>
      <c r="F516" s="27">
        <v>50673</v>
      </c>
      <c r="G516" s="27"/>
      <c r="H516" s="27"/>
      <c r="I516" s="27"/>
      <c r="J516" s="152">
        <f t="shared" si="96"/>
        <v>0</v>
      </c>
      <c r="K516" s="27"/>
      <c r="L516" s="27"/>
      <c r="M516" s="27"/>
      <c r="N516" s="27"/>
      <c r="O516" s="27"/>
      <c r="P516" s="152">
        <f t="shared" si="97"/>
        <v>50673</v>
      </c>
    </row>
    <row r="517" spans="1:16" ht="75" hidden="1">
      <c r="A517" s="18" t="s">
        <v>944</v>
      </c>
      <c r="B517" s="25" t="s">
        <v>79</v>
      </c>
      <c r="C517" s="25" t="s">
        <v>70</v>
      </c>
      <c r="D517" s="31" t="s">
        <v>80</v>
      </c>
      <c r="E517" s="152">
        <f t="shared" si="95"/>
        <v>0</v>
      </c>
      <c r="F517" s="27"/>
      <c r="G517" s="27"/>
      <c r="H517" s="27"/>
      <c r="I517" s="27"/>
      <c r="J517" s="152">
        <f t="shared" si="96"/>
        <v>0</v>
      </c>
      <c r="K517" s="27"/>
      <c r="L517" s="27"/>
      <c r="M517" s="27"/>
      <c r="N517" s="27"/>
      <c r="O517" s="27"/>
      <c r="P517" s="152">
        <f t="shared" si="97"/>
        <v>0</v>
      </c>
    </row>
    <row r="518" spans="1:16" ht="90" hidden="1">
      <c r="A518" s="18" t="s">
        <v>945</v>
      </c>
      <c r="B518" s="25" t="s">
        <v>82</v>
      </c>
      <c r="C518" s="25" t="s">
        <v>70</v>
      </c>
      <c r="D518" s="31" t="s">
        <v>83</v>
      </c>
      <c r="E518" s="152">
        <f t="shared" si="95"/>
        <v>0</v>
      </c>
      <c r="F518" s="27"/>
      <c r="G518" s="27"/>
      <c r="H518" s="27"/>
      <c r="I518" s="27"/>
      <c r="J518" s="152">
        <f t="shared" si="96"/>
        <v>0</v>
      </c>
      <c r="K518" s="27"/>
      <c r="L518" s="27"/>
      <c r="M518" s="27"/>
      <c r="N518" s="27"/>
      <c r="O518" s="27"/>
      <c r="P518" s="152">
        <f t="shared" si="97"/>
        <v>0</v>
      </c>
    </row>
    <row r="519" spans="1:16" ht="90" hidden="1">
      <c r="A519" s="18" t="s">
        <v>946</v>
      </c>
      <c r="B519" s="25" t="s">
        <v>85</v>
      </c>
      <c r="C519" s="25" t="s">
        <v>70</v>
      </c>
      <c r="D519" s="31" t="s">
        <v>86</v>
      </c>
      <c r="E519" s="152">
        <f t="shared" si="95"/>
        <v>75855</v>
      </c>
      <c r="F519" s="27">
        <v>75855</v>
      </c>
      <c r="G519" s="27"/>
      <c r="H519" s="27"/>
      <c r="I519" s="27"/>
      <c r="J519" s="152">
        <f t="shared" si="96"/>
        <v>0</v>
      </c>
      <c r="K519" s="27"/>
      <c r="L519" s="27"/>
      <c r="M519" s="27"/>
      <c r="N519" s="27"/>
      <c r="O519" s="27"/>
      <c r="P519" s="152">
        <f t="shared" si="97"/>
        <v>75855</v>
      </c>
    </row>
    <row r="520" spans="1:16" ht="165" hidden="1">
      <c r="A520" s="18" t="s">
        <v>947</v>
      </c>
      <c r="B520" s="25" t="s">
        <v>90</v>
      </c>
      <c r="C520" s="25" t="s">
        <v>70</v>
      </c>
      <c r="D520" s="31" t="s">
        <v>91</v>
      </c>
      <c r="E520" s="152">
        <f t="shared" si="95"/>
        <v>0</v>
      </c>
      <c r="F520" s="43"/>
      <c r="G520" s="43"/>
      <c r="H520" s="43"/>
      <c r="I520" s="43"/>
      <c r="J520" s="152">
        <f t="shared" si="96"/>
        <v>0</v>
      </c>
      <c r="K520" s="43"/>
      <c r="L520" s="43"/>
      <c r="M520" s="43"/>
      <c r="N520" s="43"/>
      <c r="O520" s="43"/>
      <c r="P520" s="152">
        <f t="shared" si="97"/>
        <v>0</v>
      </c>
    </row>
    <row r="521" spans="1:16" ht="45" hidden="1">
      <c r="A521" s="18" t="s">
        <v>948</v>
      </c>
      <c r="B521" s="25" t="s">
        <v>95</v>
      </c>
      <c r="C521" s="25" t="s">
        <v>70</v>
      </c>
      <c r="D521" s="31" t="s">
        <v>96</v>
      </c>
      <c r="E521" s="152">
        <f t="shared" si="95"/>
        <v>23760</v>
      </c>
      <c r="F521" s="43">
        <v>23760</v>
      </c>
      <c r="G521" s="43"/>
      <c r="H521" s="43"/>
      <c r="I521" s="43"/>
      <c r="J521" s="152">
        <f t="shared" si="96"/>
        <v>0</v>
      </c>
      <c r="K521" s="43"/>
      <c r="L521" s="43"/>
      <c r="M521" s="43"/>
      <c r="N521" s="43"/>
      <c r="O521" s="43"/>
      <c r="P521" s="152">
        <f t="shared" si="97"/>
        <v>23760</v>
      </c>
    </row>
    <row r="522" spans="1:16" s="21" customFormat="1" hidden="1">
      <c r="A522" s="18" t="s">
        <v>949</v>
      </c>
      <c r="B522" s="18" t="s">
        <v>898</v>
      </c>
      <c r="C522" s="18" t="s">
        <v>70</v>
      </c>
      <c r="D522" s="31" t="s">
        <v>98</v>
      </c>
      <c r="E522" s="152">
        <f t="shared" si="95"/>
        <v>0</v>
      </c>
      <c r="F522" s="20"/>
      <c r="G522" s="20"/>
      <c r="H522" s="20"/>
      <c r="I522" s="20"/>
      <c r="J522" s="152">
        <f t="shared" si="96"/>
        <v>0</v>
      </c>
      <c r="K522" s="20"/>
      <c r="L522" s="20"/>
      <c r="M522" s="20"/>
      <c r="N522" s="20"/>
      <c r="O522" s="20"/>
      <c r="P522" s="152">
        <f t="shared" si="97"/>
        <v>0</v>
      </c>
    </row>
    <row r="523" spans="1:16" hidden="1">
      <c r="A523" s="28" t="s">
        <v>950</v>
      </c>
      <c r="B523" s="28" t="s">
        <v>102</v>
      </c>
      <c r="C523" s="28"/>
      <c r="D523" s="71" t="s">
        <v>103</v>
      </c>
      <c r="E523" s="152">
        <f>F523+I523</f>
        <v>0</v>
      </c>
      <c r="F523" s="30">
        <f>F525+F524</f>
        <v>0</v>
      </c>
      <c r="G523" s="30">
        <f t="shared" ref="G523:P523" si="98">G525+G524</f>
        <v>0</v>
      </c>
      <c r="H523" s="30">
        <f t="shared" si="98"/>
        <v>0</v>
      </c>
      <c r="I523" s="30">
        <f t="shared" si="98"/>
        <v>0</v>
      </c>
      <c r="J523" s="30">
        <f t="shared" si="98"/>
        <v>3750000</v>
      </c>
      <c r="K523" s="30">
        <f t="shared" si="98"/>
        <v>0</v>
      </c>
      <c r="L523" s="30">
        <f t="shared" si="98"/>
        <v>0</v>
      </c>
      <c r="M523" s="30">
        <f t="shared" si="98"/>
        <v>0</v>
      </c>
      <c r="N523" s="30">
        <f t="shared" si="98"/>
        <v>3750000</v>
      </c>
      <c r="O523" s="30">
        <f t="shared" si="98"/>
        <v>0</v>
      </c>
      <c r="P523" s="30">
        <f t="shared" si="98"/>
        <v>3750000</v>
      </c>
    </row>
    <row r="524" spans="1:16" ht="45" hidden="1">
      <c r="A524" s="25" t="s">
        <v>951</v>
      </c>
      <c r="B524" s="25" t="s">
        <v>224</v>
      </c>
      <c r="C524" s="25" t="s">
        <v>225</v>
      </c>
      <c r="D524" s="74" t="s">
        <v>226</v>
      </c>
      <c r="E524" s="152"/>
      <c r="F524" s="30"/>
      <c r="G524" s="30"/>
      <c r="H524" s="30"/>
      <c r="I524" s="30"/>
      <c r="J524" s="152">
        <f t="shared" ref="J524:J546" si="99">K524+N524</f>
        <v>3750000</v>
      </c>
      <c r="K524" s="30"/>
      <c r="L524" s="30"/>
      <c r="M524" s="30"/>
      <c r="N524" s="30">
        <v>3750000</v>
      </c>
      <c r="O524" s="30"/>
      <c r="P524" s="152">
        <f>E524+J524</f>
        <v>3750000</v>
      </c>
    </row>
    <row r="525" spans="1:16" s="61" customFormat="1" ht="77.25" hidden="1">
      <c r="A525" s="101" t="s">
        <v>952</v>
      </c>
      <c r="B525" s="101" t="s">
        <v>108</v>
      </c>
      <c r="C525" s="101"/>
      <c r="D525" s="103" t="s">
        <v>106</v>
      </c>
      <c r="E525" s="152">
        <f>F525+I525</f>
        <v>0</v>
      </c>
      <c r="F525" s="37">
        <f>F526</f>
        <v>0</v>
      </c>
      <c r="G525" s="37">
        <f>G526</f>
        <v>0</v>
      </c>
      <c r="H525" s="37">
        <f>H526</f>
        <v>0</v>
      </c>
      <c r="I525" s="37">
        <f>I526</f>
        <v>0</v>
      </c>
      <c r="J525" s="152">
        <f t="shared" si="99"/>
        <v>0</v>
      </c>
      <c r="K525" s="37">
        <f>K526</f>
        <v>0</v>
      </c>
      <c r="L525" s="37">
        <f>L526</f>
        <v>0</v>
      </c>
      <c r="M525" s="37">
        <f>M526</f>
        <v>0</v>
      </c>
      <c r="N525" s="37">
        <f>N526</f>
        <v>0</v>
      </c>
      <c r="O525" s="37">
        <f>O526</f>
        <v>0</v>
      </c>
      <c r="P525" s="152">
        <f>E525+J525</f>
        <v>0</v>
      </c>
    </row>
    <row r="526" spans="1:16" s="61" customFormat="1" ht="30" hidden="1">
      <c r="A526" s="80" t="s">
        <v>952</v>
      </c>
      <c r="B526" s="80" t="s">
        <v>108</v>
      </c>
      <c r="C526" s="80"/>
      <c r="D526" s="31" t="s">
        <v>109</v>
      </c>
      <c r="E526" s="152">
        <f>F526+I526</f>
        <v>0</v>
      </c>
      <c r="F526" s="60"/>
      <c r="G526" s="60"/>
      <c r="H526" s="60"/>
      <c r="I526" s="60"/>
      <c r="J526" s="152">
        <f t="shared" si="99"/>
        <v>0</v>
      </c>
      <c r="K526" s="60"/>
      <c r="L526" s="60"/>
      <c r="M526" s="60"/>
      <c r="N526" s="60"/>
      <c r="O526" s="60"/>
      <c r="P526" s="152">
        <f>E526+J526</f>
        <v>0</v>
      </c>
    </row>
    <row r="527" spans="1:16" s="137" customFormat="1" ht="38.25" hidden="1">
      <c r="A527" s="107" t="s">
        <v>953</v>
      </c>
      <c r="B527" s="107" t="s">
        <v>954</v>
      </c>
      <c r="C527" s="107"/>
      <c r="D527" s="108" t="s">
        <v>955</v>
      </c>
      <c r="E527" s="109">
        <f>F527+I527</f>
        <v>13498668</v>
      </c>
      <c r="F527" s="109">
        <f>F528</f>
        <v>13498668</v>
      </c>
      <c r="G527" s="109">
        <f>G528</f>
        <v>4000602</v>
      </c>
      <c r="H527" s="109">
        <f>H528</f>
        <v>620032</v>
      </c>
      <c r="I527" s="109">
        <f>I528</f>
        <v>0</v>
      </c>
      <c r="J527" s="109">
        <f t="shared" si="99"/>
        <v>9919911</v>
      </c>
      <c r="K527" s="109">
        <f>K528</f>
        <v>100241</v>
      </c>
      <c r="L527" s="109">
        <f>L528</f>
        <v>0</v>
      </c>
      <c r="M527" s="109">
        <f>M528</f>
        <v>0</v>
      </c>
      <c r="N527" s="109">
        <f>N528</f>
        <v>9819670</v>
      </c>
      <c r="O527" s="109">
        <f>O528</f>
        <v>9819670</v>
      </c>
      <c r="P527" s="109">
        <f>E527+J527</f>
        <v>23418579</v>
      </c>
    </row>
    <row r="528" spans="1:16" s="61" customFormat="1" ht="38.25" hidden="1">
      <c r="A528" s="80" t="s">
        <v>956</v>
      </c>
      <c r="B528" s="80"/>
      <c r="C528" s="80"/>
      <c r="D528" s="72" t="s">
        <v>955</v>
      </c>
      <c r="E528" s="60">
        <f>F528+I528</f>
        <v>13498668</v>
      </c>
      <c r="F528" s="60">
        <f>F529+F531+F534+F536+F547</f>
        <v>13498668</v>
      </c>
      <c r="G528" s="60">
        <f>G529+G531+G534+G536+G547</f>
        <v>4000602</v>
      </c>
      <c r="H528" s="60">
        <f>H529+H531+H534+H536+H547</f>
        <v>620032</v>
      </c>
      <c r="I528" s="60">
        <f>I529+I531+I534+I536+I547</f>
        <v>0</v>
      </c>
      <c r="J528" s="60">
        <f t="shared" si="99"/>
        <v>9919911</v>
      </c>
      <c r="K528" s="60">
        <f>K529+K531+K534+K536+K547</f>
        <v>100241</v>
      </c>
      <c r="L528" s="60">
        <f>L529+L531+L534+L536+L547</f>
        <v>0</v>
      </c>
      <c r="M528" s="60">
        <f>M529+M531+M534+M536+M547</f>
        <v>0</v>
      </c>
      <c r="N528" s="60">
        <f>N529+N531+N534+N536+N547</f>
        <v>9819670</v>
      </c>
      <c r="O528" s="60">
        <f>O529+O531+O534+O536+O547</f>
        <v>9819670</v>
      </c>
      <c r="P528" s="60">
        <f>E528+J528</f>
        <v>23418579</v>
      </c>
    </row>
    <row r="529" spans="1:16" s="61" customFormat="1" ht="12.75" hidden="1">
      <c r="A529" s="77" t="s">
        <v>957</v>
      </c>
      <c r="B529" s="76" t="s">
        <v>21</v>
      </c>
      <c r="C529" s="76"/>
      <c r="D529" s="97" t="s">
        <v>22</v>
      </c>
      <c r="E529" s="60">
        <f t="shared" ref="E529:E546" si="100">F529+I529</f>
        <v>7366002</v>
      </c>
      <c r="F529" s="87">
        <f>F530</f>
        <v>7366002</v>
      </c>
      <c r="G529" s="87">
        <f>G530</f>
        <v>4000602</v>
      </c>
      <c r="H529" s="87">
        <f>H530</f>
        <v>424112</v>
      </c>
      <c r="I529" s="87">
        <f>I530</f>
        <v>0</v>
      </c>
      <c r="J529" s="60">
        <f t="shared" si="99"/>
        <v>3792</v>
      </c>
      <c r="K529" s="87">
        <f>K530</f>
        <v>3792</v>
      </c>
      <c r="L529" s="87">
        <f>L530</f>
        <v>0</v>
      </c>
      <c r="M529" s="87">
        <f>M530</f>
        <v>0</v>
      </c>
      <c r="N529" s="87">
        <f>N530</f>
        <v>0</v>
      </c>
      <c r="O529" s="87">
        <f>O530</f>
        <v>0</v>
      </c>
      <c r="P529" s="60">
        <f t="shared" ref="P529:P546" si="101">E529+J529</f>
        <v>7369794</v>
      </c>
    </row>
    <row r="530" spans="1:16" s="155" customFormat="1" ht="120" hidden="1">
      <c r="A530" s="58" t="s">
        <v>958</v>
      </c>
      <c r="B530" s="58" t="s">
        <v>116</v>
      </c>
      <c r="C530" s="58" t="s">
        <v>25</v>
      </c>
      <c r="D530" s="26" t="s">
        <v>881</v>
      </c>
      <c r="E530" s="60">
        <f t="shared" si="100"/>
        <v>7366002</v>
      </c>
      <c r="F530" s="60">
        <f>5932960+(1433042)</f>
        <v>7366002</v>
      </c>
      <c r="G530" s="60">
        <v>4000602</v>
      </c>
      <c r="H530" s="60">
        <v>424112</v>
      </c>
      <c r="I530" s="60"/>
      <c r="J530" s="60">
        <f t="shared" si="99"/>
        <v>3792</v>
      </c>
      <c r="K530" s="60">
        <v>3792</v>
      </c>
      <c r="L530" s="60"/>
      <c r="M530" s="60"/>
      <c r="N530" s="60"/>
      <c r="O530" s="60"/>
      <c r="P530" s="60">
        <f t="shared" si="101"/>
        <v>7369794</v>
      </c>
    </row>
    <row r="531" spans="1:16" s="155" customFormat="1" ht="25.5" hidden="1">
      <c r="A531" s="76" t="s">
        <v>959</v>
      </c>
      <c r="B531" s="77" t="s">
        <v>598</v>
      </c>
      <c r="C531" s="77"/>
      <c r="D531" s="78" t="s">
        <v>599</v>
      </c>
      <c r="E531" s="60">
        <f t="shared" si="100"/>
        <v>5837596</v>
      </c>
      <c r="F531" s="87">
        <f>F532+F533</f>
        <v>5837596</v>
      </c>
      <c r="G531" s="87">
        <f>G532+G533</f>
        <v>0</v>
      </c>
      <c r="H531" s="87">
        <f>H532+H533</f>
        <v>195920</v>
      </c>
      <c r="I531" s="87">
        <f>I532+I533</f>
        <v>0</v>
      </c>
      <c r="J531" s="60">
        <f t="shared" si="99"/>
        <v>96449</v>
      </c>
      <c r="K531" s="87">
        <f>K532+K533</f>
        <v>96449</v>
      </c>
      <c r="L531" s="87">
        <f>L532+L533</f>
        <v>0</v>
      </c>
      <c r="M531" s="87">
        <f>M532+M533</f>
        <v>0</v>
      </c>
      <c r="N531" s="87">
        <f>N532+N533</f>
        <v>0</v>
      </c>
      <c r="O531" s="87">
        <f>O532+O533</f>
        <v>0</v>
      </c>
      <c r="P531" s="60">
        <f t="shared" si="101"/>
        <v>5934045</v>
      </c>
    </row>
    <row r="532" spans="1:16" s="61" customFormat="1" ht="63.75" hidden="1">
      <c r="A532" s="28" t="s">
        <v>960</v>
      </c>
      <c r="B532" s="28" t="s">
        <v>601</v>
      </c>
      <c r="C532" s="28" t="s">
        <v>602</v>
      </c>
      <c r="D532" s="29" t="s">
        <v>603</v>
      </c>
      <c r="E532" s="60">
        <f t="shared" si="100"/>
        <v>4741133</v>
      </c>
      <c r="F532" s="87">
        <v>4741133</v>
      </c>
      <c r="G532" s="87"/>
      <c r="H532" s="87"/>
      <c r="I532" s="87"/>
      <c r="J532" s="60">
        <f t="shared" si="99"/>
        <v>0</v>
      </c>
      <c r="K532" s="87"/>
      <c r="L532" s="87"/>
      <c r="M532" s="87"/>
      <c r="N532" s="87"/>
      <c r="O532" s="87"/>
      <c r="P532" s="60">
        <f t="shared" si="101"/>
        <v>4741133</v>
      </c>
    </row>
    <row r="533" spans="1:16" s="61" customFormat="1" ht="12.75" hidden="1">
      <c r="A533" s="80" t="s">
        <v>961</v>
      </c>
      <c r="B533" s="80" t="s">
        <v>659</v>
      </c>
      <c r="C533" s="80" t="s">
        <v>618</v>
      </c>
      <c r="D533" s="72" t="s">
        <v>660</v>
      </c>
      <c r="E533" s="60">
        <f t="shared" si="100"/>
        <v>1096463</v>
      </c>
      <c r="F533" s="60">
        <v>1096463</v>
      </c>
      <c r="G533" s="60"/>
      <c r="H533" s="60">
        <v>195920</v>
      </c>
      <c r="I533" s="60"/>
      <c r="J533" s="60">
        <f t="shared" si="99"/>
        <v>96449</v>
      </c>
      <c r="K533" s="60">
        <v>96449</v>
      </c>
      <c r="L533" s="60"/>
      <c r="M533" s="60"/>
      <c r="N533" s="60"/>
      <c r="O533" s="60"/>
      <c r="P533" s="60">
        <f t="shared" si="101"/>
        <v>1192912</v>
      </c>
    </row>
    <row r="534" spans="1:16" s="61" customFormat="1" ht="12.75" hidden="1">
      <c r="A534" s="28" t="s">
        <v>962</v>
      </c>
      <c r="B534" s="22" t="s">
        <v>41</v>
      </c>
      <c r="C534" s="22"/>
      <c r="D534" s="23" t="s">
        <v>336</v>
      </c>
      <c r="E534" s="60">
        <f t="shared" si="100"/>
        <v>0</v>
      </c>
      <c r="F534" s="24">
        <f>F535</f>
        <v>0</v>
      </c>
      <c r="G534" s="24">
        <f>G535</f>
        <v>0</v>
      </c>
      <c r="H534" s="24">
        <f>H535</f>
        <v>0</v>
      </c>
      <c r="I534" s="24">
        <f>I535</f>
        <v>0</v>
      </c>
      <c r="J534" s="60">
        <f t="shared" si="99"/>
        <v>9819670</v>
      </c>
      <c r="K534" s="24">
        <f>K535</f>
        <v>0</v>
      </c>
      <c r="L534" s="24">
        <f>L535</f>
        <v>0</v>
      </c>
      <c r="M534" s="24">
        <f>M535</f>
        <v>0</v>
      </c>
      <c r="N534" s="24">
        <f>N535</f>
        <v>9819670</v>
      </c>
      <c r="O534" s="24">
        <f>O535</f>
        <v>9819670</v>
      </c>
      <c r="P534" s="60">
        <f t="shared" si="101"/>
        <v>9819670</v>
      </c>
    </row>
    <row r="535" spans="1:16" s="61" customFormat="1" ht="45" hidden="1">
      <c r="A535" s="25" t="s">
        <v>963</v>
      </c>
      <c r="B535" s="25" t="s">
        <v>44</v>
      </c>
      <c r="C535" s="25" t="s">
        <v>45</v>
      </c>
      <c r="D535" s="26" t="s">
        <v>46</v>
      </c>
      <c r="E535" s="60">
        <f t="shared" si="100"/>
        <v>0</v>
      </c>
      <c r="F535" s="27"/>
      <c r="G535" s="27"/>
      <c r="H535" s="27"/>
      <c r="I535" s="27"/>
      <c r="J535" s="60">
        <f t="shared" si="99"/>
        <v>9819670</v>
      </c>
      <c r="K535" s="27"/>
      <c r="L535" s="27"/>
      <c r="M535" s="27"/>
      <c r="N535" s="27">
        <f>O535</f>
        <v>9819670</v>
      </c>
      <c r="O535" s="27">
        <f>1810040+8009630</f>
        <v>9819670</v>
      </c>
      <c r="P535" s="60">
        <f t="shared" si="101"/>
        <v>9819670</v>
      </c>
    </row>
    <row r="536" spans="1:16" s="61" customFormat="1" ht="25.5" hidden="1">
      <c r="A536" s="76" t="s">
        <v>964</v>
      </c>
      <c r="B536" s="77" t="s">
        <v>58</v>
      </c>
      <c r="C536" s="77"/>
      <c r="D536" s="100" t="s">
        <v>59</v>
      </c>
      <c r="E536" s="60">
        <f t="shared" si="100"/>
        <v>295070</v>
      </c>
      <c r="F536" s="87">
        <f>F537</f>
        <v>295070</v>
      </c>
      <c r="G536" s="87">
        <f>G537</f>
        <v>0</v>
      </c>
      <c r="H536" s="87">
        <f>H537</f>
        <v>0</v>
      </c>
      <c r="I536" s="87">
        <f>I537</f>
        <v>0</v>
      </c>
      <c r="J536" s="60">
        <f t="shared" si="99"/>
        <v>0</v>
      </c>
      <c r="K536" s="87">
        <f>K537</f>
        <v>0</v>
      </c>
      <c r="L536" s="87">
        <f>L537</f>
        <v>0</v>
      </c>
      <c r="M536" s="87">
        <f>M537</f>
        <v>0</v>
      </c>
      <c r="N536" s="87">
        <f>N537</f>
        <v>0</v>
      </c>
      <c r="O536" s="87">
        <f>O537</f>
        <v>0</v>
      </c>
      <c r="P536" s="60">
        <f t="shared" si="101"/>
        <v>295070</v>
      </c>
    </row>
    <row r="537" spans="1:16" s="61" customFormat="1" ht="12.75" hidden="1">
      <c r="A537" s="101" t="s">
        <v>965</v>
      </c>
      <c r="B537" s="101" t="s">
        <v>66</v>
      </c>
      <c r="C537" s="101"/>
      <c r="D537" s="103" t="s">
        <v>67</v>
      </c>
      <c r="E537" s="60">
        <f t="shared" si="100"/>
        <v>295070</v>
      </c>
      <c r="F537" s="104">
        <f>SUM(F538:F546)</f>
        <v>295070</v>
      </c>
      <c r="G537" s="104">
        <f>SUM(G538:G546)</f>
        <v>0</v>
      </c>
      <c r="H537" s="104">
        <f>SUM(H538:H546)</f>
        <v>0</v>
      </c>
      <c r="I537" s="104">
        <f>SUM(I538:I546)</f>
        <v>0</v>
      </c>
      <c r="J537" s="60">
        <f t="shared" si="99"/>
        <v>0</v>
      </c>
      <c r="K537" s="104">
        <f>SUM(K538:K546)</f>
        <v>0</v>
      </c>
      <c r="L537" s="104">
        <f>SUM(L538:L546)</f>
        <v>0</v>
      </c>
      <c r="M537" s="104">
        <f>SUM(M538:M546)</f>
        <v>0</v>
      </c>
      <c r="N537" s="104">
        <f>SUM(N538:N546)</f>
        <v>0</v>
      </c>
      <c r="O537" s="104">
        <f>SUM(O538:O546)</f>
        <v>0</v>
      </c>
      <c r="P537" s="60">
        <f t="shared" si="101"/>
        <v>295070</v>
      </c>
    </row>
    <row r="538" spans="1:16" ht="90" hidden="1">
      <c r="A538" s="18" t="s">
        <v>966</v>
      </c>
      <c r="B538" s="25" t="s">
        <v>69</v>
      </c>
      <c r="C538" s="25" t="s">
        <v>70</v>
      </c>
      <c r="D538" s="31" t="s">
        <v>71</v>
      </c>
      <c r="E538" s="60">
        <f t="shared" si="100"/>
        <v>0</v>
      </c>
      <c r="F538" s="27"/>
      <c r="G538" s="27"/>
      <c r="H538" s="27"/>
      <c r="I538" s="27"/>
      <c r="J538" s="60">
        <f t="shared" si="99"/>
        <v>0</v>
      </c>
      <c r="K538" s="27"/>
      <c r="L538" s="27"/>
      <c r="M538" s="27"/>
      <c r="N538" s="27"/>
      <c r="O538" s="27"/>
      <c r="P538" s="60">
        <f t="shared" si="101"/>
        <v>0</v>
      </c>
    </row>
    <row r="539" spans="1:16" s="41" customFormat="1" ht="60" hidden="1">
      <c r="A539" s="18" t="s">
        <v>967</v>
      </c>
      <c r="B539" s="18" t="s">
        <v>73</v>
      </c>
      <c r="C539" s="25" t="s">
        <v>70</v>
      </c>
      <c r="D539" s="39" t="s">
        <v>74</v>
      </c>
      <c r="E539" s="60">
        <f t="shared" si="100"/>
        <v>198640</v>
      </c>
      <c r="F539" s="40">
        <v>198640</v>
      </c>
      <c r="G539" s="40"/>
      <c r="H539" s="40"/>
      <c r="I539" s="40"/>
      <c r="J539" s="60">
        <f t="shared" si="99"/>
        <v>0</v>
      </c>
      <c r="K539" s="27"/>
      <c r="L539" s="27"/>
      <c r="M539" s="27"/>
      <c r="N539" s="27"/>
      <c r="O539" s="27"/>
      <c r="P539" s="60">
        <f t="shared" si="101"/>
        <v>198640</v>
      </c>
    </row>
    <row r="540" spans="1:16" ht="75" hidden="1">
      <c r="A540" s="18" t="s">
        <v>968</v>
      </c>
      <c r="B540" s="25" t="s">
        <v>76</v>
      </c>
      <c r="C540" s="25" t="s">
        <v>70</v>
      </c>
      <c r="D540" s="31" t="s">
        <v>77</v>
      </c>
      <c r="E540" s="60">
        <f t="shared" si="100"/>
        <v>22692</v>
      </c>
      <c r="F540" s="27">
        <v>22692</v>
      </c>
      <c r="G540" s="27"/>
      <c r="H540" s="27"/>
      <c r="I540" s="27"/>
      <c r="J540" s="60">
        <f t="shared" si="99"/>
        <v>0</v>
      </c>
      <c r="K540" s="27"/>
      <c r="L540" s="27"/>
      <c r="M540" s="27"/>
      <c r="N540" s="27"/>
      <c r="O540" s="27"/>
      <c r="P540" s="60">
        <f t="shared" si="101"/>
        <v>22692</v>
      </c>
    </row>
    <row r="541" spans="1:16" ht="75" hidden="1">
      <c r="A541" s="18" t="s">
        <v>969</v>
      </c>
      <c r="B541" s="25" t="s">
        <v>79</v>
      </c>
      <c r="C541" s="25" t="s">
        <v>70</v>
      </c>
      <c r="D541" s="31" t="s">
        <v>80</v>
      </c>
      <c r="E541" s="60">
        <f t="shared" si="100"/>
        <v>0</v>
      </c>
      <c r="F541" s="27"/>
      <c r="G541" s="27"/>
      <c r="H541" s="27"/>
      <c r="I541" s="27"/>
      <c r="J541" s="60">
        <f t="shared" si="99"/>
        <v>0</v>
      </c>
      <c r="K541" s="27"/>
      <c r="L541" s="27"/>
      <c r="M541" s="27"/>
      <c r="N541" s="27"/>
      <c r="O541" s="27"/>
      <c r="P541" s="60">
        <f t="shared" si="101"/>
        <v>0</v>
      </c>
    </row>
    <row r="542" spans="1:16" ht="90" hidden="1">
      <c r="A542" s="18" t="s">
        <v>970</v>
      </c>
      <c r="B542" s="25" t="s">
        <v>82</v>
      </c>
      <c r="C542" s="25" t="s">
        <v>70</v>
      </c>
      <c r="D542" s="31" t="s">
        <v>83</v>
      </c>
      <c r="E542" s="60">
        <f t="shared" si="100"/>
        <v>0</v>
      </c>
      <c r="F542" s="27"/>
      <c r="G542" s="27"/>
      <c r="H542" s="27"/>
      <c r="I542" s="27"/>
      <c r="J542" s="60">
        <f t="shared" si="99"/>
        <v>0</v>
      </c>
      <c r="K542" s="27"/>
      <c r="L542" s="27"/>
      <c r="M542" s="27"/>
      <c r="N542" s="27"/>
      <c r="O542" s="27"/>
      <c r="P542" s="60">
        <f t="shared" si="101"/>
        <v>0</v>
      </c>
    </row>
    <row r="543" spans="1:16" ht="90" hidden="1">
      <c r="A543" s="18" t="s">
        <v>971</v>
      </c>
      <c r="B543" s="25" t="s">
        <v>85</v>
      </c>
      <c r="C543" s="25" t="s">
        <v>70</v>
      </c>
      <c r="D543" s="31" t="s">
        <v>86</v>
      </c>
      <c r="E543" s="60">
        <f t="shared" si="100"/>
        <v>49978</v>
      </c>
      <c r="F543" s="27">
        <v>49978</v>
      </c>
      <c r="G543" s="27"/>
      <c r="H543" s="27"/>
      <c r="I543" s="27"/>
      <c r="J543" s="60">
        <f t="shared" si="99"/>
        <v>0</v>
      </c>
      <c r="K543" s="27"/>
      <c r="L543" s="27"/>
      <c r="M543" s="27"/>
      <c r="N543" s="27"/>
      <c r="O543" s="27"/>
      <c r="P543" s="60">
        <f t="shared" si="101"/>
        <v>49978</v>
      </c>
    </row>
    <row r="544" spans="1:16" ht="165" hidden="1">
      <c r="A544" s="18" t="s">
        <v>972</v>
      </c>
      <c r="B544" s="25" t="s">
        <v>90</v>
      </c>
      <c r="C544" s="25" t="s">
        <v>70</v>
      </c>
      <c r="D544" s="31" t="s">
        <v>91</v>
      </c>
      <c r="E544" s="60">
        <f t="shared" si="100"/>
        <v>0</v>
      </c>
      <c r="F544" s="43"/>
      <c r="G544" s="43"/>
      <c r="H544" s="43"/>
      <c r="I544" s="43"/>
      <c r="J544" s="60">
        <f t="shared" si="99"/>
        <v>0</v>
      </c>
      <c r="K544" s="43"/>
      <c r="L544" s="43"/>
      <c r="M544" s="43"/>
      <c r="N544" s="43"/>
      <c r="O544" s="43"/>
      <c r="P544" s="60">
        <f t="shared" si="101"/>
        <v>0</v>
      </c>
    </row>
    <row r="545" spans="1:16" ht="45" hidden="1">
      <c r="A545" s="18" t="s">
        <v>973</v>
      </c>
      <c r="B545" s="25" t="s">
        <v>95</v>
      </c>
      <c r="C545" s="25" t="s">
        <v>70</v>
      </c>
      <c r="D545" s="31" t="s">
        <v>96</v>
      </c>
      <c r="E545" s="60">
        <f t="shared" si="100"/>
        <v>23760</v>
      </c>
      <c r="F545" s="43">
        <v>23760</v>
      </c>
      <c r="G545" s="43"/>
      <c r="H545" s="43"/>
      <c r="I545" s="43"/>
      <c r="J545" s="60">
        <f t="shared" si="99"/>
        <v>0</v>
      </c>
      <c r="K545" s="43"/>
      <c r="L545" s="43"/>
      <c r="M545" s="43"/>
      <c r="N545" s="43"/>
      <c r="O545" s="43"/>
      <c r="P545" s="60">
        <f t="shared" si="101"/>
        <v>23760</v>
      </c>
    </row>
    <row r="546" spans="1:16" s="21" customFormat="1" hidden="1">
      <c r="A546" s="18" t="s">
        <v>974</v>
      </c>
      <c r="B546" s="18" t="s">
        <v>898</v>
      </c>
      <c r="C546" s="18" t="s">
        <v>70</v>
      </c>
      <c r="D546" s="31" t="s">
        <v>98</v>
      </c>
      <c r="E546" s="60">
        <f t="shared" si="100"/>
        <v>0</v>
      </c>
      <c r="F546" s="20"/>
      <c r="G546" s="20"/>
      <c r="H546" s="20"/>
      <c r="I546" s="20"/>
      <c r="J546" s="60">
        <f t="shared" si="99"/>
        <v>0</v>
      </c>
      <c r="K546" s="20"/>
      <c r="L546" s="20"/>
      <c r="M546" s="20"/>
      <c r="N546" s="20"/>
      <c r="O546" s="20"/>
      <c r="P546" s="60">
        <f t="shared" si="101"/>
        <v>0</v>
      </c>
    </row>
    <row r="547" spans="1:16" hidden="1">
      <c r="A547" s="28" t="s">
        <v>975</v>
      </c>
      <c r="B547" s="28" t="s">
        <v>102</v>
      </c>
      <c r="C547" s="28"/>
      <c r="D547" s="71" t="s">
        <v>103</v>
      </c>
      <c r="E547" s="152">
        <f>F547+I547</f>
        <v>0</v>
      </c>
      <c r="F547" s="30">
        <f>F548</f>
        <v>0</v>
      </c>
      <c r="G547" s="30">
        <f t="shared" ref="G547:I548" si="102">G548</f>
        <v>0</v>
      </c>
      <c r="H547" s="30">
        <f t="shared" si="102"/>
        <v>0</v>
      </c>
      <c r="I547" s="30">
        <f t="shared" si="102"/>
        <v>0</v>
      </c>
      <c r="J547" s="152">
        <f>K547+N547</f>
        <v>0</v>
      </c>
      <c r="K547" s="30">
        <f t="shared" ref="K547:O548" si="103">K548</f>
        <v>0</v>
      </c>
      <c r="L547" s="30">
        <f t="shared" si="103"/>
        <v>0</v>
      </c>
      <c r="M547" s="30">
        <f t="shared" si="103"/>
        <v>0</v>
      </c>
      <c r="N547" s="30">
        <f t="shared" si="103"/>
        <v>0</v>
      </c>
      <c r="O547" s="30">
        <f t="shared" si="103"/>
        <v>0</v>
      </c>
      <c r="P547" s="152">
        <f>E547+J547</f>
        <v>0</v>
      </c>
    </row>
    <row r="548" spans="1:16" s="61" customFormat="1" ht="77.25" hidden="1">
      <c r="A548" s="101" t="s">
        <v>976</v>
      </c>
      <c r="B548" s="101" t="s">
        <v>977</v>
      </c>
      <c r="C548" s="101"/>
      <c r="D548" s="103" t="s">
        <v>106</v>
      </c>
      <c r="E548" s="152">
        <f>F548+I548</f>
        <v>0</v>
      </c>
      <c r="F548" s="37">
        <f>F549</f>
        <v>0</v>
      </c>
      <c r="G548" s="37">
        <f t="shared" si="102"/>
        <v>0</v>
      </c>
      <c r="H548" s="37">
        <f t="shared" si="102"/>
        <v>0</v>
      </c>
      <c r="I548" s="37">
        <f t="shared" si="102"/>
        <v>0</v>
      </c>
      <c r="J548" s="152">
        <f>K548+N548</f>
        <v>0</v>
      </c>
      <c r="K548" s="37">
        <f t="shared" si="103"/>
        <v>0</v>
      </c>
      <c r="L548" s="37">
        <f t="shared" si="103"/>
        <v>0</v>
      </c>
      <c r="M548" s="37">
        <f t="shared" si="103"/>
        <v>0</v>
      </c>
      <c r="N548" s="37">
        <f t="shared" si="103"/>
        <v>0</v>
      </c>
      <c r="O548" s="37">
        <f t="shared" si="103"/>
        <v>0</v>
      </c>
      <c r="P548" s="152">
        <f>E548+J548</f>
        <v>0</v>
      </c>
    </row>
    <row r="549" spans="1:16" s="61" customFormat="1" ht="25.5" hidden="1">
      <c r="A549" s="80" t="s">
        <v>978</v>
      </c>
      <c r="B549" s="80" t="s">
        <v>108</v>
      </c>
      <c r="C549" s="80"/>
      <c r="D549" s="72" t="s">
        <v>109</v>
      </c>
      <c r="E549" s="60">
        <f>F549+I549</f>
        <v>0</v>
      </c>
      <c r="F549" s="60"/>
      <c r="G549" s="60"/>
      <c r="H549" s="60"/>
      <c r="I549" s="60"/>
      <c r="J549" s="60">
        <f>K549+N549</f>
        <v>0</v>
      </c>
      <c r="K549" s="60"/>
      <c r="L549" s="60"/>
      <c r="M549" s="60"/>
      <c r="N549" s="60"/>
      <c r="O549" s="60"/>
      <c r="P549" s="60">
        <f>E549+J549</f>
        <v>0</v>
      </c>
    </row>
    <row r="550" spans="1:16" s="137" customFormat="1" ht="38.25" hidden="1">
      <c r="A550" s="107" t="s">
        <v>979</v>
      </c>
      <c r="B550" s="107" t="s">
        <v>980</v>
      </c>
      <c r="C550" s="107"/>
      <c r="D550" s="108" t="s">
        <v>981</v>
      </c>
      <c r="E550" s="136">
        <f>F550+I550</f>
        <v>14663053</v>
      </c>
      <c r="F550" s="136">
        <f>F551</f>
        <v>14663053</v>
      </c>
      <c r="G550" s="136">
        <f>G551</f>
        <v>4522781</v>
      </c>
      <c r="H550" s="136">
        <f>H551</f>
        <v>463650</v>
      </c>
      <c r="I550" s="136">
        <f>I551</f>
        <v>0</v>
      </c>
      <c r="J550" s="136">
        <f>K550+N550</f>
        <v>14411573</v>
      </c>
      <c r="K550" s="136">
        <f>K551</f>
        <v>350031</v>
      </c>
      <c r="L550" s="136">
        <f>L551</f>
        <v>0</v>
      </c>
      <c r="M550" s="136">
        <f>M551</f>
        <v>0</v>
      </c>
      <c r="N550" s="136">
        <f>N551</f>
        <v>14061542</v>
      </c>
      <c r="O550" s="136">
        <f>O551</f>
        <v>14004778</v>
      </c>
      <c r="P550" s="136">
        <f>E550+J550</f>
        <v>29074626</v>
      </c>
    </row>
    <row r="551" spans="1:16" s="61" customFormat="1" ht="38.25" hidden="1">
      <c r="A551" s="80" t="s">
        <v>982</v>
      </c>
      <c r="B551" s="80"/>
      <c r="C551" s="80"/>
      <c r="D551" s="72" t="s">
        <v>981</v>
      </c>
      <c r="E551" s="156">
        <f>F551+I551</f>
        <v>14663053</v>
      </c>
      <c r="F551" s="156">
        <f>F552+F554+F557+F559+F570</f>
        <v>14663053</v>
      </c>
      <c r="G551" s="156">
        <f>G552+G554+G557+G559+G570</f>
        <v>4522781</v>
      </c>
      <c r="H551" s="156">
        <f>H552+H554+H557+H559+H570</f>
        <v>463650</v>
      </c>
      <c r="I551" s="156">
        <f>I552+I554+I557+I559+I570</f>
        <v>0</v>
      </c>
      <c r="J551" s="156">
        <f>K551+N551</f>
        <v>14411573</v>
      </c>
      <c r="K551" s="156">
        <f>K552+K554+K557+K559+K570</f>
        <v>350031</v>
      </c>
      <c r="L551" s="156">
        <f>L552+L554+L557+L559+L570</f>
        <v>0</v>
      </c>
      <c r="M551" s="156">
        <f>M552+M554+M557+M559+M570</f>
        <v>0</v>
      </c>
      <c r="N551" s="156">
        <f>N552+N554+N557+N559+N570</f>
        <v>14061542</v>
      </c>
      <c r="O551" s="156">
        <f>O552+O554+O557+O559+O570</f>
        <v>14004778</v>
      </c>
      <c r="P551" s="156">
        <f>E551+J551</f>
        <v>29074626</v>
      </c>
    </row>
    <row r="552" spans="1:16" s="61" customFormat="1" ht="12.75" hidden="1">
      <c r="A552" s="77" t="s">
        <v>983</v>
      </c>
      <c r="B552" s="76" t="s">
        <v>21</v>
      </c>
      <c r="C552" s="76"/>
      <c r="D552" s="97" t="s">
        <v>22</v>
      </c>
      <c r="E552" s="156">
        <f t="shared" ref="E552:E569" si="104">F552+I552</f>
        <v>7104288</v>
      </c>
      <c r="F552" s="154">
        <f>F553</f>
        <v>7104288</v>
      </c>
      <c r="G552" s="154">
        <f>G553</f>
        <v>4522781</v>
      </c>
      <c r="H552" s="154">
        <f>H553</f>
        <v>463650</v>
      </c>
      <c r="I552" s="154">
        <f>I553</f>
        <v>0</v>
      </c>
      <c r="J552" s="156">
        <f t="shared" ref="J552:J569" si="105">K552+N552</f>
        <v>389945</v>
      </c>
      <c r="K552" s="154">
        <f>K553</f>
        <v>333181</v>
      </c>
      <c r="L552" s="154">
        <f>L553</f>
        <v>0</v>
      </c>
      <c r="M552" s="154">
        <f>M553</f>
        <v>0</v>
      </c>
      <c r="N552" s="154">
        <f>N553</f>
        <v>56764</v>
      </c>
      <c r="O552" s="154">
        <f>O553</f>
        <v>0</v>
      </c>
      <c r="P552" s="156">
        <f t="shared" ref="P552:P569" si="106">E552+J552</f>
        <v>7494233</v>
      </c>
    </row>
    <row r="553" spans="1:16" s="147" customFormat="1" ht="120" hidden="1">
      <c r="A553" s="58" t="s">
        <v>984</v>
      </c>
      <c r="B553" s="58" t="s">
        <v>116</v>
      </c>
      <c r="C553" s="58" t="s">
        <v>25</v>
      </c>
      <c r="D553" s="26" t="s">
        <v>881</v>
      </c>
      <c r="E553" s="156">
        <f t="shared" si="104"/>
        <v>7104288</v>
      </c>
      <c r="F553" s="157">
        <f>6625494+(478794)</f>
        <v>7104288</v>
      </c>
      <c r="G553" s="157">
        <v>4522781</v>
      </c>
      <c r="H553" s="157">
        <v>463650</v>
      </c>
      <c r="I553" s="157"/>
      <c r="J553" s="156">
        <f t="shared" si="105"/>
        <v>389945</v>
      </c>
      <c r="K553" s="157">
        <v>333181</v>
      </c>
      <c r="L553" s="157"/>
      <c r="M553" s="157"/>
      <c r="N553" s="157">
        <f>O553+56764</f>
        <v>56764</v>
      </c>
      <c r="O553" s="157"/>
      <c r="P553" s="156">
        <f t="shared" si="106"/>
        <v>7494233</v>
      </c>
    </row>
    <row r="554" spans="1:16" s="147" customFormat="1" ht="25.5" hidden="1">
      <c r="A554" s="76" t="s">
        <v>985</v>
      </c>
      <c r="B554" s="77" t="s">
        <v>598</v>
      </c>
      <c r="C554" s="77"/>
      <c r="D554" s="97" t="s">
        <v>599</v>
      </c>
      <c r="E554" s="156">
        <f t="shared" si="104"/>
        <v>6995329</v>
      </c>
      <c r="F554" s="158">
        <f>F555+F556</f>
        <v>6995329</v>
      </c>
      <c r="G554" s="158">
        <f>G555+G556</f>
        <v>0</v>
      </c>
      <c r="H554" s="158">
        <f>H555+H556</f>
        <v>0</v>
      </c>
      <c r="I554" s="158">
        <f>I555+I556</f>
        <v>0</v>
      </c>
      <c r="J554" s="156">
        <f t="shared" si="105"/>
        <v>0</v>
      </c>
      <c r="K554" s="158">
        <f>K555+K556</f>
        <v>0</v>
      </c>
      <c r="L554" s="158">
        <f>L555+L556</f>
        <v>0</v>
      </c>
      <c r="M554" s="158">
        <f>M555+M556</f>
        <v>0</v>
      </c>
      <c r="N554" s="158">
        <f>N555+N556</f>
        <v>0</v>
      </c>
      <c r="O554" s="158">
        <f>O555+O556</f>
        <v>0</v>
      </c>
      <c r="P554" s="156">
        <f t="shared" si="106"/>
        <v>6995329</v>
      </c>
    </row>
    <row r="555" spans="1:16" s="61" customFormat="1" ht="63.75" hidden="1">
      <c r="A555" s="28" t="s">
        <v>986</v>
      </c>
      <c r="B555" s="28" t="s">
        <v>601</v>
      </c>
      <c r="C555" s="28" t="s">
        <v>602</v>
      </c>
      <c r="D555" s="29" t="s">
        <v>603</v>
      </c>
      <c r="E555" s="156">
        <f t="shared" si="104"/>
        <v>2370519</v>
      </c>
      <c r="F555" s="87">
        <v>2370519</v>
      </c>
      <c r="G555" s="87"/>
      <c r="H555" s="87"/>
      <c r="I555" s="87"/>
      <c r="J555" s="156">
        <f t="shared" si="105"/>
        <v>0</v>
      </c>
      <c r="K555" s="87"/>
      <c r="L555" s="87"/>
      <c r="M555" s="87"/>
      <c r="N555" s="87"/>
      <c r="O555" s="87"/>
      <c r="P555" s="156">
        <f t="shared" si="106"/>
        <v>2370519</v>
      </c>
    </row>
    <row r="556" spans="1:16" s="61" customFormat="1" ht="12.75" hidden="1">
      <c r="A556" s="80" t="s">
        <v>987</v>
      </c>
      <c r="B556" s="80" t="s">
        <v>659</v>
      </c>
      <c r="C556" s="80" t="s">
        <v>618</v>
      </c>
      <c r="D556" s="72" t="s">
        <v>660</v>
      </c>
      <c r="E556" s="156">
        <f t="shared" si="104"/>
        <v>4624810</v>
      </c>
      <c r="F556" s="60">
        <v>4624810</v>
      </c>
      <c r="G556" s="60"/>
      <c r="H556" s="60"/>
      <c r="I556" s="60"/>
      <c r="J556" s="156">
        <f t="shared" si="105"/>
        <v>0</v>
      </c>
      <c r="K556" s="60"/>
      <c r="L556" s="60"/>
      <c r="M556" s="60"/>
      <c r="N556" s="60"/>
      <c r="O556" s="60"/>
      <c r="P556" s="156">
        <f t="shared" si="106"/>
        <v>4624810</v>
      </c>
    </row>
    <row r="557" spans="1:16" s="61" customFormat="1" ht="12.75" hidden="1">
      <c r="A557" s="28" t="s">
        <v>988</v>
      </c>
      <c r="B557" s="28" t="s">
        <v>41</v>
      </c>
      <c r="C557" s="28"/>
      <c r="D557" s="33" t="s">
        <v>336</v>
      </c>
      <c r="E557" s="156">
        <f t="shared" si="104"/>
        <v>0</v>
      </c>
      <c r="F557" s="24">
        <f>F558</f>
        <v>0</v>
      </c>
      <c r="G557" s="24">
        <f>G558</f>
        <v>0</v>
      </c>
      <c r="H557" s="24">
        <f>H558</f>
        <v>0</v>
      </c>
      <c r="I557" s="24">
        <f>I558</f>
        <v>0</v>
      </c>
      <c r="J557" s="156">
        <f t="shared" si="105"/>
        <v>14004778</v>
      </c>
      <c r="K557" s="24">
        <f>K558</f>
        <v>0</v>
      </c>
      <c r="L557" s="24">
        <f>L558</f>
        <v>0</v>
      </c>
      <c r="M557" s="24">
        <f>M558</f>
        <v>0</v>
      </c>
      <c r="N557" s="24">
        <f>N558</f>
        <v>14004778</v>
      </c>
      <c r="O557" s="24">
        <f>O558</f>
        <v>14004778</v>
      </c>
      <c r="P557" s="156">
        <f t="shared" si="106"/>
        <v>14004778</v>
      </c>
    </row>
    <row r="558" spans="1:16" s="61" customFormat="1" ht="45" hidden="1">
      <c r="A558" s="25" t="s">
        <v>989</v>
      </c>
      <c r="B558" s="25" t="s">
        <v>44</v>
      </c>
      <c r="C558" s="25" t="s">
        <v>45</v>
      </c>
      <c r="D558" s="26" t="s">
        <v>46</v>
      </c>
      <c r="E558" s="156">
        <f t="shared" si="104"/>
        <v>0</v>
      </c>
      <c r="F558" s="60"/>
      <c r="G558" s="60"/>
      <c r="H558" s="60"/>
      <c r="I558" s="60"/>
      <c r="J558" s="156">
        <f t="shared" si="105"/>
        <v>14004778</v>
      </c>
      <c r="K558" s="60"/>
      <c r="L558" s="60"/>
      <c r="M558" s="60"/>
      <c r="N558" s="60">
        <f>O558</f>
        <v>14004778</v>
      </c>
      <c r="O558" s="60">
        <v>14004778</v>
      </c>
      <c r="P558" s="156">
        <f t="shared" si="106"/>
        <v>14004778</v>
      </c>
    </row>
    <row r="559" spans="1:16" s="61" customFormat="1" ht="25.5" hidden="1">
      <c r="A559" s="76" t="s">
        <v>990</v>
      </c>
      <c r="B559" s="76" t="s">
        <v>58</v>
      </c>
      <c r="C559" s="76"/>
      <c r="D559" s="100" t="s">
        <v>59</v>
      </c>
      <c r="E559" s="156">
        <f t="shared" si="104"/>
        <v>563436</v>
      </c>
      <c r="F559" s="87">
        <f>F560</f>
        <v>563436</v>
      </c>
      <c r="G559" s="87">
        <f>G560</f>
        <v>0</v>
      </c>
      <c r="H559" s="87">
        <f>H560</f>
        <v>0</v>
      </c>
      <c r="I559" s="87">
        <f>I560</f>
        <v>0</v>
      </c>
      <c r="J559" s="156">
        <f t="shared" si="105"/>
        <v>0</v>
      </c>
      <c r="K559" s="87">
        <f>K560</f>
        <v>0</v>
      </c>
      <c r="L559" s="87">
        <f>L560</f>
        <v>0</v>
      </c>
      <c r="M559" s="87">
        <f>M560</f>
        <v>0</v>
      </c>
      <c r="N559" s="87">
        <f>N560</f>
        <v>0</v>
      </c>
      <c r="O559" s="87">
        <f>O560</f>
        <v>0</v>
      </c>
      <c r="P559" s="156">
        <f t="shared" si="106"/>
        <v>563436</v>
      </c>
    </row>
    <row r="560" spans="1:16" s="61" customFormat="1" ht="12.75" hidden="1">
      <c r="A560" s="101" t="s">
        <v>991</v>
      </c>
      <c r="B560" s="101" t="s">
        <v>66</v>
      </c>
      <c r="C560" s="101"/>
      <c r="D560" s="126" t="s">
        <v>67</v>
      </c>
      <c r="E560" s="156">
        <f t="shared" si="104"/>
        <v>563436</v>
      </c>
      <c r="F560" s="104">
        <f>SUM(F561:F569)</f>
        <v>563436</v>
      </c>
      <c r="G560" s="104">
        <f>SUM(G561:G569)</f>
        <v>0</v>
      </c>
      <c r="H560" s="104">
        <f>SUM(H561:H569)</f>
        <v>0</v>
      </c>
      <c r="I560" s="104">
        <f>SUM(I561:I569)</f>
        <v>0</v>
      </c>
      <c r="J560" s="156">
        <f t="shared" si="105"/>
        <v>0</v>
      </c>
      <c r="K560" s="104">
        <f>SUM(K561:K569)</f>
        <v>0</v>
      </c>
      <c r="L560" s="104">
        <f>SUM(L561:L569)</f>
        <v>0</v>
      </c>
      <c r="M560" s="104">
        <f>SUM(M561:M569)</f>
        <v>0</v>
      </c>
      <c r="N560" s="104">
        <f>SUM(N561:N569)</f>
        <v>0</v>
      </c>
      <c r="O560" s="104">
        <f>SUM(O561:O569)</f>
        <v>0</v>
      </c>
      <c r="P560" s="156">
        <f t="shared" si="106"/>
        <v>563436</v>
      </c>
    </row>
    <row r="561" spans="1:16" ht="90" hidden="1">
      <c r="A561" s="18" t="s">
        <v>992</v>
      </c>
      <c r="B561" s="25" t="s">
        <v>69</v>
      </c>
      <c r="C561" s="25" t="s">
        <v>70</v>
      </c>
      <c r="D561" s="31" t="s">
        <v>71</v>
      </c>
      <c r="E561" s="156">
        <f t="shared" si="104"/>
        <v>0</v>
      </c>
      <c r="F561" s="27"/>
      <c r="G561" s="27"/>
      <c r="H561" s="27"/>
      <c r="I561" s="27"/>
      <c r="J561" s="156">
        <f t="shared" si="105"/>
        <v>0</v>
      </c>
      <c r="K561" s="27"/>
      <c r="L561" s="27"/>
      <c r="M561" s="27"/>
      <c r="N561" s="27"/>
      <c r="O561" s="27"/>
      <c r="P561" s="156">
        <f t="shared" si="106"/>
        <v>0</v>
      </c>
    </row>
    <row r="562" spans="1:16" s="41" customFormat="1" ht="60" hidden="1">
      <c r="A562" s="18" t="s">
        <v>993</v>
      </c>
      <c r="B562" s="18" t="s">
        <v>73</v>
      </c>
      <c r="C562" s="25" t="s">
        <v>70</v>
      </c>
      <c r="D562" s="39" t="s">
        <v>74</v>
      </c>
      <c r="E562" s="156">
        <f t="shared" si="104"/>
        <v>442133</v>
      </c>
      <c r="F562" s="40">
        <v>442133</v>
      </c>
      <c r="G562" s="40"/>
      <c r="H562" s="40"/>
      <c r="I562" s="40"/>
      <c r="J562" s="156">
        <f t="shared" si="105"/>
        <v>0</v>
      </c>
      <c r="K562" s="27"/>
      <c r="L562" s="27"/>
      <c r="M562" s="27"/>
      <c r="N562" s="27"/>
      <c r="O562" s="27"/>
      <c r="P562" s="156">
        <f t="shared" si="106"/>
        <v>442133</v>
      </c>
    </row>
    <row r="563" spans="1:16" ht="75" hidden="1">
      <c r="A563" s="18" t="s">
        <v>994</v>
      </c>
      <c r="B563" s="25" t="s">
        <v>76</v>
      </c>
      <c r="C563" s="25" t="s">
        <v>70</v>
      </c>
      <c r="D563" s="31" t="s">
        <v>77</v>
      </c>
      <c r="E563" s="156">
        <f t="shared" si="104"/>
        <v>43067</v>
      </c>
      <c r="F563" s="27">
        <v>43067</v>
      </c>
      <c r="G563" s="27"/>
      <c r="H563" s="27"/>
      <c r="I563" s="27"/>
      <c r="J563" s="156">
        <f t="shared" si="105"/>
        <v>0</v>
      </c>
      <c r="K563" s="27"/>
      <c r="L563" s="27"/>
      <c r="M563" s="27"/>
      <c r="N563" s="27"/>
      <c r="O563" s="27"/>
      <c r="P563" s="156">
        <f t="shared" si="106"/>
        <v>43067</v>
      </c>
    </row>
    <row r="564" spans="1:16" ht="75" hidden="1">
      <c r="A564" s="18" t="s">
        <v>995</v>
      </c>
      <c r="B564" s="25" t="s">
        <v>79</v>
      </c>
      <c r="C564" s="25" t="s">
        <v>70</v>
      </c>
      <c r="D564" s="31" t="s">
        <v>80</v>
      </c>
      <c r="E564" s="156">
        <f t="shared" si="104"/>
        <v>0</v>
      </c>
      <c r="F564" s="27"/>
      <c r="G564" s="27"/>
      <c r="H564" s="27"/>
      <c r="I564" s="27"/>
      <c r="J564" s="156">
        <f t="shared" si="105"/>
        <v>0</v>
      </c>
      <c r="K564" s="27"/>
      <c r="L564" s="27"/>
      <c r="M564" s="27"/>
      <c r="N564" s="27"/>
      <c r="O564" s="27"/>
      <c r="P564" s="156">
        <f t="shared" si="106"/>
        <v>0</v>
      </c>
    </row>
    <row r="565" spans="1:16" ht="90" hidden="1">
      <c r="A565" s="18" t="s">
        <v>996</v>
      </c>
      <c r="B565" s="25" t="s">
        <v>82</v>
      </c>
      <c r="C565" s="25" t="s">
        <v>70</v>
      </c>
      <c r="D565" s="31" t="s">
        <v>83</v>
      </c>
      <c r="E565" s="156">
        <f t="shared" si="104"/>
        <v>0</v>
      </c>
      <c r="F565" s="27"/>
      <c r="G565" s="27"/>
      <c r="H565" s="27"/>
      <c r="I565" s="27"/>
      <c r="J565" s="156">
        <f t="shared" si="105"/>
        <v>0</v>
      </c>
      <c r="K565" s="27"/>
      <c r="L565" s="27"/>
      <c r="M565" s="27"/>
      <c r="N565" s="27"/>
      <c r="O565" s="27"/>
      <c r="P565" s="156">
        <f t="shared" si="106"/>
        <v>0</v>
      </c>
    </row>
    <row r="566" spans="1:16" ht="90" hidden="1">
      <c r="A566" s="18" t="s">
        <v>997</v>
      </c>
      <c r="B566" s="25" t="s">
        <v>85</v>
      </c>
      <c r="C566" s="25" t="s">
        <v>70</v>
      </c>
      <c r="D566" s="31" t="s">
        <v>86</v>
      </c>
      <c r="E566" s="156">
        <f t="shared" si="104"/>
        <v>50000</v>
      </c>
      <c r="F566" s="27">
        <v>50000</v>
      </c>
      <c r="G566" s="27"/>
      <c r="H566" s="27"/>
      <c r="I566" s="27"/>
      <c r="J566" s="156">
        <f t="shared" si="105"/>
        <v>0</v>
      </c>
      <c r="K566" s="27"/>
      <c r="L566" s="27"/>
      <c r="M566" s="27"/>
      <c r="N566" s="27"/>
      <c r="O566" s="27"/>
      <c r="P566" s="156">
        <f t="shared" si="106"/>
        <v>50000</v>
      </c>
    </row>
    <row r="567" spans="1:16" ht="165" hidden="1">
      <c r="A567" s="18" t="s">
        <v>998</v>
      </c>
      <c r="B567" s="25" t="s">
        <v>90</v>
      </c>
      <c r="C567" s="25" t="s">
        <v>70</v>
      </c>
      <c r="D567" s="31" t="s">
        <v>91</v>
      </c>
      <c r="E567" s="156">
        <f t="shared" si="104"/>
        <v>0</v>
      </c>
      <c r="F567" s="43"/>
      <c r="G567" s="43"/>
      <c r="H567" s="43"/>
      <c r="I567" s="43"/>
      <c r="J567" s="156">
        <f t="shared" si="105"/>
        <v>0</v>
      </c>
      <c r="K567" s="43"/>
      <c r="L567" s="43"/>
      <c r="M567" s="43"/>
      <c r="N567" s="43"/>
      <c r="O567" s="43"/>
      <c r="P567" s="156">
        <f t="shared" si="106"/>
        <v>0</v>
      </c>
    </row>
    <row r="568" spans="1:16" ht="45" hidden="1">
      <c r="A568" s="18" t="s">
        <v>999</v>
      </c>
      <c r="B568" s="25" t="s">
        <v>95</v>
      </c>
      <c r="C568" s="25" t="s">
        <v>70</v>
      </c>
      <c r="D568" s="31" t="s">
        <v>96</v>
      </c>
      <c r="E568" s="156">
        <f t="shared" si="104"/>
        <v>28236</v>
      </c>
      <c r="F568" s="43">
        <v>28236</v>
      </c>
      <c r="G568" s="43"/>
      <c r="H568" s="43"/>
      <c r="I568" s="43"/>
      <c r="J568" s="156">
        <f t="shared" si="105"/>
        <v>0</v>
      </c>
      <c r="K568" s="43"/>
      <c r="L568" s="43"/>
      <c r="M568" s="43"/>
      <c r="N568" s="43"/>
      <c r="O568" s="43"/>
      <c r="P568" s="156">
        <f t="shared" si="106"/>
        <v>28236</v>
      </c>
    </row>
    <row r="569" spans="1:16" s="21" customFormat="1" hidden="1">
      <c r="A569" s="18" t="s">
        <v>1000</v>
      </c>
      <c r="B569" s="18" t="s">
        <v>898</v>
      </c>
      <c r="C569" s="18" t="s">
        <v>70</v>
      </c>
      <c r="D569" s="31" t="s">
        <v>98</v>
      </c>
      <c r="E569" s="156">
        <f t="shared" si="104"/>
        <v>0</v>
      </c>
      <c r="F569" s="20"/>
      <c r="G569" s="20"/>
      <c r="H569" s="20"/>
      <c r="I569" s="20"/>
      <c r="J569" s="156">
        <f t="shared" si="105"/>
        <v>0</v>
      </c>
      <c r="K569" s="20"/>
      <c r="L569" s="20"/>
      <c r="M569" s="20"/>
      <c r="N569" s="20"/>
      <c r="O569" s="20"/>
      <c r="P569" s="156">
        <f t="shared" si="106"/>
        <v>0</v>
      </c>
    </row>
    <row r="570" spans="1:16" s="61" customFormat="1" ht="12.75" hidden="1">
      <c r="A570" s="76" t="s">
        <v>1001</v>
      </c>
      <c r="B570" s="77" t="s">
        <v>102</v>
      </c>
      <c r="C570" s="77"/>
      <c r="D570" s="78" t="s">
        <v>103</v>
      </c>
      <c r="E570" s="156">
        <f>F570+I570</f>
        <v>0</v>
      </c>
      <c r="F570" s="87">
        <f>F571</f>
        <v>0</v>
      </c>
      <c r="G570" s="87">
        <f t="shared" ref="G570:I571" si="107">G571</f>
        <v>0</v>
      </c>
      <c r="H570" s="87">
        <f t="shared" si="107"/>
        <v>0</v>
      </c>
      <c r="I570" s="87">
        <f t="shared" si="107"/>
        <v>0</v>
      </c>
      <c r="J570" s="156">
        <f>K570+N570</f>
        <v>16850</v>
      </c>
      <c r="K570" s="87">
        <f t="shared" ref="K570:O571" si="108">K571</f>
        <v>16850</v>
      </c>
      <c r="L570" s="87">
        <f t="shared" si="108"/>
        <v>0</v>
      </c>
      <c r="M570" s="87">
        <f t="shared" si="108"/>
        <v>0</v>
      </c>
      <c r="N570" s="87">
        <f t="shared" si="108"/>
        <v>0</v>
      </c>
      <c r="O570" s="87">
        <f t="shared" si="108"/>
        <v>0</v>
      </c>
      <c r="P570" s="156">
        <f>E570+J570</f>
        <v>16850</v>
      </c>
    </row>
    <row r="571" spans="1:16" s="61" customFormat="1" ht="76.5" hidden="1">
      <c r="A571" s="101" t="s">
        <v>1002</v>
      </c>
      <c r="B571" s="101" t="s">
        <v>105</v>
      </c>
      <c r="C571" s="101"/>
      <c r="D571" s="103" t="s">
        <v>106</v>
      </c>
      <c r="E571" s="156">
        <f>F571+I571</f>
        <v>0</v>
      </c>
      <c r="F571" s="104">
        <f>F572</f>
        <v>0</v>
      </c>
      <c r="G571" s="104">
        <f t="shared" si="107"/>
        <v>0</v>
      </c>
      <c r="H571" s="104">
        <f t="shared" si="107"/>
        <v>0</v>
      </c>
      <c r="I571" s="104">
        <f t="shared" si="107"/>
        <v>0</v>
      </c>
      <c r="J571" s="156">
        <f>K571+N571</f>
        <v>16850</v>
      </c>
      <c r="K571" s="104">
        <f t="shared" si="108"/>
        <v>16850</v>
      </c>
      <c r="L571" s="104">
        <f t="shared" si="108"/>
        <v>0</v>
      </c>
      <c r="M571" s="104">
        <f t="shared" si="108"/>
        <v>0</v>
      </c>
      <c r="N571" s="104">
        <f t="shared" si="108"/>
        <v>0</v>
      </c>
      <c r="O571" s="104">
        <f t="shared" si="108"/>
        <v>0</v>
      </c>
      <c r="P571" s="156">
        <f>E571+J571</f>
        <v>16850</v>
      </c>
    </row>
    <row r="572" spans="1:16" s="61" customFormat="1" ht="30" hidden="1">
      <c r="A572" s="80" t="s">
        <v>1003</v>
      </c>
      <c r="B572" s="80" t="s">
        <v>108</v>
      </c>
      <c r="C572" s="80" t="s">
        <v>70</v>
      </c>
      <c r="D572" s="31" t="s">
        <v>109</v>
      </c>
      <c r="E572" s="156">
        <f>F572+I572</f>
        <v>0</v>
      </c>
      <c r="F572" s="60"/>
      <c r="G572" s="60"/>
      <c r="H572" s="60"/>
      <c r="I572" s="60"/>
      <c r="J572" s="156">
        <f>K572+N572</f>
        <v>16850</v>
      </c>
      <c r="K572" s="60">
        <v>16850</v>
      </c>
      <c r="L572" s="60"/>
      <c r="M572" s="60"/>
      <c r="N572" s="60"/>
      <c r="O572" s="60"/>
      <c r="P572" s="156">
        <f>E572+J572</f>
        <v>16850</v>
      </c>
    </row>
    <row r="573" spans="1:16" s="137" customFormat="1" ht="38.25" hidden="1">
      <c r="A573" s="107" t="s">
        <v>1004</v>
      </c>
      <c r="B573" s="107" t="s">
        <v>1005</v>
      </c>
      <c r="C573" s="107"/>
      <c r="D573" s="108" t="s">
        <v>1006</v>
      </c>
      <c r="E573" s="109">
        <f>F573+I573</f>
        <v>11713771</v>
      </c>
      <c r="F573" s="109">
        <f>F574</f>
        <v>11713771</v>
      </c>
      <c r="G573" s="109">
        <f>G574</f>
        <v>4234277</v>
      </c>
      <c r="H573" s="109">
        <f>H574</f>
        <v>655097</v>
      </c>
      <c r="I573" s="109">
        <f>I574</f>
        <v>0</v>
      </c>
      <c r="J573" s="109">
        <f>K573+N573</f>
        <v>5903267</v>
      </c>
      <c r="K573" s="109">
        <f>K574</f>
        <v>209387</v>
      </c>
      <c r="L573" s="109">
        <f>L574</f>
        <v>0</v>
      </c>
      <c r="M573" s="109">
        <f>M574</f>
        <v>0</v>
      </c>
      <c r="N573" s="109">
        <f>N574</f>
        <v>5693880</v>
      </c>
      <c r="O573" s="109">
        <f>O574</f>
        <v>5693880</v>
      </c>
      <c r="P573" s="109">
        <f>E573+J573</f>
        <v>17617038</v>
      </c>
    </row>
    <row r="574" spans="1:16" s="61" customFormat="1" ht="38.25" hidden="1">
      <c r="A574" s="80" t="s">
        <v>1007</v>
      </c>
      <c r="B574" s="80"/>
      <c r="C574" s="80"/>
      <c r="D574" s="72" t="s">
        <v>1006</v>
      </c>
      <c r="E574" s="60">
        <f>F574+I574</f>
        <v>11713771</v>
      </c>
      <c r="F574" s="60">
        <f>F575+F577+F580+F582+F593</f>
        <v>11713771</v>
      </c>
      <c r="G574" s="60">
        <f>G575+G577+G580+G582+G593</f>
        <v>4234277</v>
      </c>
      <c r="H574" s="60">
        <f>H575+H577+H580+H582+H593</f>
        <v>655097</v>
      </c>
      <c r="I574" s="60">
        <f>I575+I577+I580+I582+I593</f>
        <v>0</v>
      </c>
      <c r="J574" s="60">
        <f>K574+N574</f>
        <v>5903267</v>
      </c>
      <c r="K574" s="60">
        <f>K575+K577+K580+K582+K593</f>
        <v>209387</v>
      </c>
      <c r="L574" s="60">
        <f>L575+L577+L580+L582+L593</f>
        <v>0</v>
      </c>
      <c r="M574" s="60">
        <f>M575+M577+M580+M582+M593</f>
        <v>0</v>
      </c>
      <c r="N574" s="60">
        <f>N575+N577+N580+N582+N593</f>
        <v>5693880</v>
      </c>
      <c r="O574" s="60">
        <f>O575+O577+O580+O582+O593</f>
        <v>5693880</v>
      </c>
      <c r="P574" s="60">
        <f>E574+J574</f>
        <v>17617038</v>
      </c>
    </row>
    <row r="575" spans="1:16" s="61" customFormat="1" ht="12.75" hidden="1">
      <c r="A575" s="77" t="s">
        <v>1008</v>
      </c>
      <c r="B575" s="76" t="s">
        <v>21</v>
      </c>
      <c r="C575" s="76"/>
      <c r="D575" s="97" t="s">
        <v>22</v>
      </c>
      <c r="E575" s="60">
        <f t="shared" ref="E575:E592" si="109">F575+I575</f>
        <v>7948986</v>
      </c>
      <c r="F575" s="87">
        <f>F576</f>
        <v>7948986</v>
      </c>
      <c r="G575" s="87">
        <f>G576</f>
        <v>4234277</v>
      </c>
      <c r="H575" s="87">
        <f>H576</f>
        <v>655097</v>
      </c>
      <c r="I575" s="87">
        <f>I576</f>
        <v>0</v>
      </c>
      <c r="J575" s="60">
        <f t="shared" ref="J575:J592" si="110">K575+N575</f>
        <v>809387</v>
      </c>
      <c r="K575" s="87">
        <f>K576</f>
        <v>159387</v>
      </c>
      <c r="L575" s="87">
        <f>L576</f>
        <v>0</v>
      </c>
      <c r="M575" s="87">
        <f>M576</f>
        <v>0</v>
      </c>
      <c r="N575" s="87">
        <f>N576</f>
        <v>650000</v>
      </c>
      <c r="O575" s="87">
        <f>O576</f>
        <v>650000</v>
      </c>
      <c r="P575" s="60">
        <f t="shared" ref="P575:P592" si="111">E575+J575</f>
        <v>8758373</v>
      </c>
    </row>
    <row r="576" spans="1:16" s="147" customFormat="1" ht="120" hidden="1">
      <c r="A576" s="58" t="s">
        <v>1009</v>
      </c>
      <c r="B576" s="58" t="s">
        <v>116</v>
      </c>
      <c r="C576" s="58" t="s">
        <v>25</v>
      </c>
      <c r="D576" s="26" t="s">
        <v>881</v>
      </c>
      <c r="E576" s="60">
        <f t="shared" si="109"/>
        <v>7948986</v>
      </c>
      <c r="F576" s="60">
        <f>6762125+(1186861)</f>
        <v>7948986</v>
      </c>
      <c r="G576" s="60">
        <v>4234277</v>
      </c>
      <c r="H576" s="60">
        <v>655097</v>
      </c>
      <c r="I576" s="60"/>
      <c r="J576" s="60">
        <f t="shared" si="110"/>
        <v>809387</v>
      </c>
      <c r="K576" s="60">
        <v>159387</v>
      </c>
      <c r="L576" s="60"/>
      <c r="M576" s="60"/>
      <c r="N576" s="60">
        <f>O576</f>
        <v>650000</v>
      </c>
      <c r="O576" s="60">
        <v>650000</v>
      </c>
      <c r="P576" s="60">
        <f t="shared" si="111"/>
        <v>8758373</v>
      </c>
    </row>
    <row r="577" spans="1:16" s="147" customFormat="1" ht="25.5" hidden="1">
      <c r="A577" s="76" t="s">
        <v>1010</v>
      </c>
      <c r="B577" s="77" t="s">
        <v>598</v>
      </c>
      <c r="C577" s="77"/>
      <c r="D577" s="78" t="s">
        <v>599</v>
      </c>
      <c r="E577" s="60">
        <f t="shared" si="109"/>
        <v>3505975</v>
      </c>
      <c r="F577" s="87">
        <f>F578+F579</f>
        <v>3505975</v>
      </c>
      <c r="G577" s="87">
        <f>G578+G579</f>
        <v>0</v>
      </c>
      <c r="H577" s="87">
        <f>H578+H579</f>
        <v>0</v>
      </c>
      <c r="I577" s="87">
        <f>I578+I579</f>
        <v>0</v>
      </c>
      <c r="J577" s="60">
        <f t="shared" si="110"/>
        <v>0</v>
      </c>
      <c r="K577" s="87">
        <f>K578+K579</f>
        <v>0</v>
      </c>
      <c r="L577" s="87">
        <f>L578+L579</f>
        <v>0</v>
      </c>
      <c r="M577" s="87">
        <f>M578+M579</f>
        <v>0</v>
      </c>
      <c r="N577" s="87">
        <f>N578+N579</f>
        <v>0</v>
      </c>
      <c r="O577" s="87">
        <f>O578+O579</f>
        <v>0</v>
      </c>
      <c r="P577" s="60">
        <f t="shared" si="111"/>
        <v>3505975</v>
      </c>
    </row>
    <row r="578" spans="1:16" s="61" customFormat="1" ht="63.75" hidden="1">
      <c r="A578" s="28" t="s">
        <v>1011</v>
      </c>
      <c r="B578" s="28" t="s">
        <v>601</v>
      </c>
      <c r="C578" s="28" t="s">
        <v>602</v>
      </c>
      <c r="D578" s="29" t="s">
        <v>603</v>
      </c>
      <c r="E578" s="60">
        <f t="shared" si="109"/>
        <v>1666639</v>
      </c>
      <c r="F578" s="87">
        <v>1666639</v>
      </c>
      <c r="G578" s="87"/>
      <c r="H578" s="87"/>
      <c r="I578" s="87"/>
      <c r="J578" s="60">
        <f t="shared" si="110"/>
        <v>0</v>
      </c>
      <c r="K578" s="87"/>
      <c r="L578" s="87"/>
      <c r="M578" s="87"/>
      <c r="N578" s="87"/>
      <c r="O578" s="87"/>
      <c r="P578" s="60">
        <f t="shared" si="111"/>
        <v>1666639</v>
      </c>
    </row>
    <row r="579" spans="1:16" s="61" customFormat="1" ht="12.75" hidden="1">
      <c r="A579" s="80" t="s">
        <v>1012</v>
      </c>
      <c r="B579" s="80" t="s">
        <v>659</v>
      </c>
      <c r="C579" s="80" t="s">
        <v>618</v>
      </c>
      <c r="D579" s="72" t="s">
        <v>660</v>
      </c>
      <c r="E579" s="60">
        <f t="shared" si="109"/>
        <v>1839336</v>
      </c>
      <c r="F579" s="60">
        <v>1839336</v>
      </c>
      <c r="G579" s="60"/>
      <c r="H579" s="60"/>
      <c r="I579" s="60"/>
      <c r="J579" s="60">
        <f t="shared" si="110"/>
        <v>0</v>
      </c>
      <c r="K579" s="60"/>
      <c r="L579" s="60"/>
      <c r="M579" s="60"/>
      <c r="N579" s="60"/>
      <c r="O579" s="60"/>
      <c r="P579" s="60">
        <f t="shared" si="111"/>
        <v>1839336</v>
      </c>
    </row>
    <row r="580" spans="1:16" s="61" customFormat="1" ht="12.75" hidden="1">
      <c r="A580" s="76" t="s">
        <v>1013</v>
      </c>
      <c r="B580" s="76" t="s">
        <v>41</v>
      </c>
      <c r="C580" s="76"/>
      <c r="D580" s="97" t="s">
        <v>336</v>
      </c>
      <c r="E580" s="60">
        <f t="shared" si="109"/>
        <v>0</v>
      </c>
      <c r="F580" s="87">
        <f>F581</f>
        <v>0</v>
      </c>
      <c r="G580" s="87">
        <f>G581</f>
        <v>0</v>
      </c>
      <c r="H580" s="87">
        <f>H581</f>
        <v>0</v>
      </c>
      <c r="I580" s="87">
        <f>I581</f>
        <v>0</v>
      </c>
      <c r="J580" s="60">
        <f t="shared" si="110"/>
        <v>5043880</v>
      </c>
      <c r="K580" s="87">
        <f>K581</f>
        <v>0</v>
      </c>
      <c r="L580" s="87">
        <f>L581</f>
        <v>0</v>
      </c>
      <c r="M580" s="87">
        <f>M581</f>
        <v>0</v>
      </c>
      <c r="N580" s="87">
        <f>N581</f>
        <v>5043880</v>
      </c>
      <c r="O580" s="87">
        <f>O581</f>
        <v>5043880</v>
      </c>
      <c r="P580" s="60">
        <f t="shared" si="111"/>
        <v>5043880</v>
      </c>
    </row>
    <row r="581" spans="1:16" s="61" customFormat="1" ht="45" hidden="1">
      <c r="A581" s="80" t="s">
        <v>1014</v>
      </c>
      <c r="B581" s="80" t="s">
        <v>44</v>
      </c>
      <c r="C581" s="80" t="s">
        <v>45</v>
      </c>
      <c r="D581" s="31" t="s">
        <v>46</v>
      </c>
      <c r="E581" s="60">
        <f t="shared" si="109"/>
        <v>0</v>
      </c>
      <c r="F581" s="60"/>
      <c r="G581" s="60"/>
      <c r="H581" s="60"/>
      <c r="I581" s="60"/>
      <c r="J581" s="60">
        <f t="shared" si="110"/>
        <v>5043880</v>
      </c>
      <c r="K581" s="60"/>
      <c r="L581" s="60"/>
      <c r="M581" s="60"/>
      <c r="N581" s="60">
        <f>O581</f>
        <v>5043880</v>
      </c>
      <c r="O581" s="60">
        <f>4809114+147000+87766</f>
        <v>5043880</v>
      </c>
      <c r="P581" s="60">
        <f t="shared" si="111"/>
        <v>5043880</v>
      </c>
    </row>
    <row r="582" spans="1:16" s="61" customFormat="1" ht="25.5" hidden="1">
      <c r="A582" s="76" t="s">
        <v>1015</v>
      </c>
      <c r="B582" s="76" t="s">
        <v>58</v>
      </c>
      <c r="C582" s="76"/>
      <c r="D582" s="100" t="s">
        <v>59</v>
      </c>
      <c r="E582" s="60">
        <f t="shared" si="109"/>
        <v>258810</v>
      </c>
      <c r="F582" s="87">
        <f>F583</f>
        <v>258810</v>
      </c>
      <c r="G582" s="87">
        <f>G583</f>
        <v>0</v>
      </c>
      <c r="H582" s="87">
        <f>H583</f>
        <v>0</v>
      </c>
      <c r="I582" s="87">
        <f>I583</f>
        <v>0</v>
      </c>
      <c r="J582" s="60">
        <f t="shared" si="110"/>
        <v>0</v>
      </c>
      <c r="K582" s="87">
        <f>K583</f>
        <v>0</v>
      </c>
      <c r="L582" s="87">
        <f>L583</f>
        <v>0</v>
      </c>
      <c r="M582" s="87">
        <f>M583</f>
        <v>0</v>
      </c>
      <c r="N582" s="87">
        <f>N583</f>
        <v>0</v>
      </c>
      <c r="O582" s="87">
        <f>O583</f>
        <v>0</v>
      </c>
      <c r="P582" s="60">
        <f t="shared" si="111"/>
        <v>258810</v>
      </c>
    </row>
    <row r="583" spans="1:16" s="61" customFormat="1" ht="12.75" hidden="1">
      <c r="A583" s="101" t="s">
        <v>1016</v>
      </c>
      <c r="B583" s="101" t="s">
        <v>66</v>
      </c>
      <c r="C583" s="101"/>
      <c r="D583" s="126" t="s">
        <v>67</v>
      </c>
      <c r="E583" s="60">
        <f t="shared" si="109"/>
        <v>258810</v>
      </c>
      <c r="F583" s="104">
        <f>SUM(F584:F592)</f>
        <v>258810</v>
      </c>
      <c r="G583" s="104">
        <f>SUM(G584:G592)</f>
        <v>0</v>
      </c>
      <c r="H583" s="104">
        <f>SUM(H584:H592)</f>
        <v>0</v>
      </c>
      <c r="I583" s="104">
        <f>SUM(I584:I592)</f>
        <v>0</v>
      </c>
      <c r="J583" s="60">
        <f t="shared" si="110"/>
        <v>0</v>
      </c>
      <c r="K583" s="104">
        <f>SUM(K584:K592)</f>
        <v>0</v>
      </c>
      <c r="L583" s="104">
        <f>SUM(L584:L592)</f>
        <v>0</v>
      </c>
      <c r="M583" s="104">
        <f>SUM(M584:M592)</f>
        <v>0</v>
      </c>
      <c r="N583" s="104">
        <f>SUM(N584:N592)</f>
        <v>0</v>
      </c>
      <c r="O583" s="104">
        <f>SUM(O584:O592)</f>
        <v>0</v>
      </c>
      <c r="P583" s="60">
        <f t="shared" si="111"/>
        <v>258810</v>
      </c>
    </row>
    <row r="584" spans="1:16" ht="90" hidden="1">
      <c r="A584" s="18" t="s">
        <v>1017</v>
      </c>
      <c r="B584" s="25" t="s">
        <v>69</v>
      </c>
      <c r="C584" s="25" t="s">
        <v>70</v>
      </c>
      <c r="D584" s="31" t="s">
        <v>71</v>
      </c>
      <c r="E584" s="60">
        <f t="shared" si="109"/>
        <v>0</v>
      </c>
      <c r="F584" s="27"/>
      <c r="G584" s="27"/>
      <c r="H584" s="27"/>
      <c r="I584" s="27"/>
      <c r="J584" s="60">
        <f t="shared" si="110"/>
        <v>0</v>
      </c>
      <c r="K584" s="27"/>
      <c r="L584" s="27"/>
      <c r="M584" s="27"/>
      <c r="N584" s="27"/>
      <c r="O584" s="27"/>
      <c r="P584" s="60">
        <f t="shared" si="111"/>
        <v>0</v>
      </c>
    </row>
    <row r="585" spans="1:16" s="41" customFormat="1" ht="60" hidden="1">
      <c r="A585" s="18" t="s">
        <v>1018</v>
      </c>
      <c r="B585" s="18" t="s">
        <v>73</v>
      </c>
      <c r="C585" s="25" t="s">
        <v>70</v>
      </c>
      <c r="D585" s="39" t="s">
        <v>74</v>
      </c>
      <c r="E585" s="60">
        <f t="shared" si="109"/>
        <v>128000</v>
      </c>
      <c r="F585" s="40">
        <v>128000</v>
      </c>
      <c r="G585" s="40"/>
      <c r="H585" s="40"/>
      <c r="I585" s="40"/>
      <c r="J585" s="60">
        <f t="shared" si="110"/>
        <v>0</v>
      </c>
      <c r="K585" s="27"/>
      <c r="L585" s="27"/>
      <c r="M585" s="27"/>
      <c r="N585" s="27"/>
      <c r="O585" s="27"/>
      <c r="P585" s="60">
        <f t="shared" si="111"/>
        <v>128000</v>
      </c>
    </row>
    <row r="586" spans="1:16" ht="75" hidden="1">
      <c r="A586" s="18" t="s">
        <v>1019</v>
      </c>
      <c r="B586" s="25" t="s">
        <v>76</v>
      </c>
      <c r="C586" s="25" t="s">
        <v>70</v>
      </c>
      <c r="D586" s="31" t="s">
        <v>77</v>
      </c>
      <c r="E586" s="60">
        <f t="shared" si="109"/>
        <v>34052</v>
      </c>
      <c r="F586" s="27">
        <v>34052</v>
      </c>
      <c r="G586" s="27"/>
      <c r="H586" s="27"/>
      <c r="I586" s="27"/>
      <c r="J586" s="60">
        <f t="shared" si="110"/>
        <v>0</v>
      </c>
      <c r="K586" s="27"/>
      <c r="L586" s="27"/>
      <c r="M586" s="27"/>
      <c r="N586" s="27"/>
      <c r="O586" s="27"/>
      <c r="P586" s="60">
        <f t="shared" si="111"/>
        <v>34052</v>
      </c>
    </row>
    <row r="587" spans="1:16" ht="75" hidden="1">
      <c r="A587" s="18" t="s">
        <v>1020</v>
      </c>
      <c r="B587" s="25" t="s">
        <v>79</v>
      </c>
      <c r="C587" s="25" t="s">
        <v>70</v>
      </c>
      <c r="D587" s="31" t="s">
        <v>80</v>
      </c>
      <c r="E587" s="60">
        <f t="shared" si="109"/>
        <v>0</v>
      </c>
      <c r="F587" s="27"/>
      <c r="G587" s="27"/>
      <c r="H587" s="27"/>
      <c r="I587" s="27"/>
      <c r="J587" s="60">
        <f t="shared" si="110"/>
        <v>0</v>
      </c>
      <c r="K587" s="27"/>
      <c r="L587" s="27"/>
      <c r="M587" s="27"/>
      <c r="N587" s="27"/>
      <c r="O587" s="27"/>
      <c r="P587" s="60">
        <f t="shared" si="111"/>
        <v>0</v>
      </c>
    </row>
    <row r="588" spans="1:16" ht="90" hidden="1">
      <c r="A588" s="18" t="s">
        <v>1021</v>
      </c>
      <c r="B588" s="25" t="s">
        <v>82</v>
      </c>
      <c r="C588" s="25" t="s">
        <v>70</v>
      </c>
      <c r="D588" s="31" t="s">
        <v>83</v>
      </c>
      <c r="E588" s="60">
        <f t="shared" si="109"/>
        <v>0</v>
      </c>
      <c r="F588" s="27"/>
      <c r="G588" s="27"/>
      <c r="H588" s="27"/>
      <c r="I588" s="27"/>
      <c r="J588" s="60">
        <f t="shared" si="110"/>
        <v>0</v>
      </c>
      <c r="K588" s="27"/>
      <c r="L588" s="27"/>
      <c r="M588" s="27"/>
      <c r="N588" s="27"/>
      <c r="O588" s="27"/>
      <c r="P588" s="60">
        <f t="shared" si="111"/>
        <v>0</v>
      </c>
    </row>
    <row r="589" spans="1:16" ht="90" hidden="1">
      <c r="A589" s="18" t="s">
        <v>1022</v>
      </c>
      <c r="B589" s="25" t="s">
        <v>85</v>
      </c>
      <c r="C589" s="25" t="s">
        <v>70</v>
      </c>
      <c r="D589" s="31" t="s">
        <v>86</v>
      </c>
      <c r="E589" s="60">
        <f t="shared" si="109"/>
        <v>54168</v>
      </c>
      <c r="F589" s="27">
        <v>54168</v>
      </c>
      <c r="G589" s="27"/>
      <c r="H589" s="27"/>
      <c r="I589" s="27"/>
      <c r="J589" s="60">
        <f t="shared" si="110"/>
        <v>0</v>
      </c>
      <c r="K589" s="27"/>
      <c r="L589" s="27"/>
      <c r="M589" s="27"/>
      <c r="N589" s="27"/>
      <c r="O589" s="27"/>
      <c r="P589" s="60">
        <f t="shared" si="111"/>
        <v>54168</v>
      </c>
    </row>
    <row r="590" spans="1:16" ht="165" hidden="1">
      <c r="A590" s="18" t="s">
        <v>1023</v>
      </c>
      <c r="B590" s="25" t="s">
        <v>90</v>
      </c>
      <c r="C590" s="25" t="s">
        <v>70</v>
      </c>
      <c r="D590" s="31" t="s">
        <v>91</v>
      </c>
      <c r="E590" s="60">
        <f t="shared" si="109"/>
        <v>0</v>
      </c>
      <c r="F590" s="43"/>
      <c r="G590" s="43"/>
      <c r="H590" s="43"/>
      <c r="I590" s="43"/>
      <c r="J590" s="60">
        <f t="shared" si="110"/>
        <v>0</v>
      </c>
      <c r="K590" s="43"/>
      <c r="L590" s="43"/>
      <c r="M590" s="43"/>
      <c r="N590" s="43"/>
      <c r="O590" s="43"/>
      <c r="P590" s="60">
        <f t="shared" si="111"/>
        <v>0</v>
      </c>
    </row>
    <row r="591" spans="1:16" ht="45" hidden="1">
      <c r="A591" s="18" t="s">
        <v>1024</v>
      </c>
      <c r="B591" s="25" t="s">
        <v>95</v>
      </c>
      <c r="C591" s="25" t="s">
        <v>70</v>
      </c>
      <c r="D591" s="31" t="s">
        <v>96</v>
      </c>
      <c r="E591" s="60">
        <f t="shared" si="109"/>
        <v>42590</v>
      </c>
      <c r="F591" s="43">
        <v>42590</v>
      </c>
      <c r="G591" s="43"/>
      <c r="H591" s="43"/>
      <c r="I591" s="43"/>
      <c r="J591" s="60">
        <f t="shared" si="110"/>
        <v>0</v>
      </c>
      <c r="K591" s="43"/>
      <c r="L591" s="43"/>
      <c r="M591" s="43"/>
      <c r="N591" s="43"/>
      <c r="O591" s="43"/>
      <c r="P591" s="60">
        <f t="shared" si="111"/>
        <v>42590</v>
      </c>
    </row>
    <row r="592" spans="1:16" s="21" customFormat="1" hidden="1">
      <c r="A592" s="18" t="s">
        <v>1025</v>
      </c>
      <c r="B592" s="18" t="s">
        <v>898</v>
      </c>
      <c r="C592" s="18" t="s">
        <v>70</v>
      </c>
      <c r="D592" s="31" t="s">
        <v>98</v>
      </c>
      <c r="E592" s="60">
        <f t="shared" si="109"/>
        <v>0</v>
      </c>
      <c r="F592" s="20"/>
      <c r="G592" s="20"/>
      <c r="H592" s="20"/>
      <c r="I592" s="20"/>
      <c r="J592" s="60">
        <f t="shared" si="110"/>
        <v>0</v>
      </c>
      <c r="K592" s="20"/>
      <c r="L592" s="20"/>
      <c r="M592" s="20"/>
      <c r="N592" s="20"/>
      <c r="O592" s="20"/>
      <c r="P592" s="60">
        <f t="shared" si="111"/>
        <v>0</v>
      </c>
    </row>
    <row r="593" spans="1:16" s="61" customFormat="1" ht="12.75" hidden="1">
      <c r="A593" s="76" t="s">
        <v>1026</v>
      </c>
      <c r="B593" s="77" t="s">
        <v>102</v>
      </c>
      <c r="C593" s="77"/>
      <c r="D593" s="100" t="s">
        <v>103</v>
      </c>
      <c r="E593" s="60">
        <f>F593+I593</f>
        <v>0</v>
      </c>
      <c r="F593" s="87">
        <f>F594</f>
        <v>0</v>
      </c>
      <c r="G593" s="87">
        <f t="shared" ref="G593:I594" si="112">G594</f>
        <v>0</v>
      </c>
      <c r="H593" s="87">
        <f t="shared" si="112"/>
        <v>0</v>
      </c>
      <c r="I593" s="87">
        <f t="shared" si="112"/>
        <v>0</v>
      </c>
      <c r="J593" s="60">
        <f>K593+N593</f>
        <v>50000</v>
      </c>
      <c r="K593" s="87">
        <f t="shared" ref="K593:O594" si="113">K594</f>
        <v>50000</v>
      </c>
      <c r="L593" s="87">
        <f t="shared" si="113"/>
        <v>0</v>
      </c>
      <c r="M593" s="87">
        <f t="shared" si="113"/>
        <v>0</v>
      </c>
      <c r="N593" s="87">
        <f t="shared" si="113"/>
        <v>0</v>
      </c>
      <c r="O593" s="87">
        <f t="shared" si="113"/>
        <v>0</v>
      </c>
      <c r="P593" s="60">
        <f>E593+J593</f>
        <v>50000</v>
      </c>
    </row>
    <row r="594" spans="1:16" s="61" customFormat="1" ht="76.5" hidden="1">
      <c r="A594" s="101" t="s">
        <v>1027</v>
      </c>
      <c r="B594" s="101" t="s">
        <v>105</v>
      </c>
      <c r="C594" s="101"/>
      <c r="D594" s="126" t="s">
        <v>106</v>
      </c>
      <c r="E594" s="60">
        <f>F594+I594</f>
        <v>0</v>
      </c>
      <c r="F594" s="104">
        <f>F595</f>
        <v>0</v>
      </c>
      <c r="G594" s="104">
        <f t="shared" si="112"/>
        <v>0</v>
      </c>
      <c r="H594" s="104">
        <f t="shared" si="112"/>
        <v>0</v>
      </c>
      <c r="I594" s="104">
        <f t="shared" si="112"/>
        <v>0</v>
      </c>
      <c r="J594" s="60">
        <f>K594+N594</f>
        <v>50000</v>
      </c>
      <c r="K594" s="104">
        <f t="shared" si="113"/>
        <v>50000</v>
      </c>
      <c r="L594" s="104">
        <f t="shared" si="113"/>
        <v>0</v>
      </c>
      <c r="M594" s="104">
        <f t="shared" si="113"/>
        <v>0</v>
      </c>
      <c r="N594" s="104">
        <f t="shared" si="113"/>
        <v>0</v>
      </c>
      <c r="O594" s="104">
        <f t="shared" si="113"/>
        <v>0</v>
      </c>
      <c r="P594" s="60">
        <f>E594+J594</f>
        <v>50000</v>
      </c>
    </row>
    <row r="595" spans="1:16" s="61" customFormat="1" ht="30" hidden="1">
      <c r="A595" s="80" t="s">
        <v>1028</v>
      </c>
      <c r="B595" s="80" t="s">
        <v>108</v>
      </c>
      <c r="C595" s="80" t="s">
        <v>70</v>
      </c>
      <c r="D595" s="31" t="s">
        <v>109</v>
      </c>
      <c r="E595" s="60">
        <f>F595+I595</f>
        <v>0</v>
      </c>
      <c r="F595" s="60"/>
      <c r="G595" s="60"/>
      <c r="H595" s="60"/>
      <c r="I595" s="60"/>
      <c r="J595" s="60">
        <f>K595+N595</f>
        <v>50000</v>
      </c>
      <c r="K595" s="60">
        <v>50000</v>
      </c>
      <c r="L595" s="60"/>
      <c r="M595" s="60"/>
      <c r="N595" s="60"/>
      <c r="O595" s="60"/>
      <c r="P595" s="60">
        <f>E595+J595</f>
        <v>50000</v>
      </c>
    </row>
    <row r="596" spans="1:16" s="137" customFormat="1" ht="38.25" hidden="1">
      <c r="A596" s="107" t="s">
        <v>1029</v>
      </c>
      <c r="B596" s="107" t="s">
        <v>1030</v>
      </c>
      <c r="C596" s="107"/>
      <c r="D596" s="108" t="s">
        <v>1031</v>
      </c>
      <c r="E596" s="109">
        <f>F596+I596</f>
        <v>19014633</v>
      </c>
      <c r="F596" s="109">
        <f>F597</f>
        <v>19014633</v>
      </c>
      <c r="G596" s="109">
        <f>G597</f>
        <v>4572369</v>
      </c>
      <c r="H596" s="109">
        <f>H597</f>
        <v>457532</v>
      </c>
      <c r="I596" s="109">
        <f>I597</f>
        <v>0</v>
      </c>
      <c r="J596" s="109">
        <f>K596+N596</f>
        <v>7217529</v>
      </c>
      <c r="K596" s="109">
        <f>K597</f>
        <v>45516</v>
      </c>
      <c r="L596" s="109">
        <f>L597</f>
        <v>0</v>
      </c>
      <c r="M596" s="109">
        <f>M597</f>
        <v>0</v>
      </c>
      <c r="N596" s="109">
        <f>N597</f>
        <v>7172013</v>
      </c>
      <c r="O596" s="109">
        <f>O597</f>
        <v>7172013</v>
      </c>
      <c r="P596" s="109">
        <f>E596+J596</f>
        <v>26232162</v>
      </c>
    </row>
    <row r="597" spans="1:16" s="61" customFormat="1" ht="38.25" hidden="1">
      <c r="A597" s="80" t="s">
        <v>1032</v>
      </c>
      <c r="B597" s="80"/>
      <c r="C597" s="80"/>
      <c r="D597" s="72" t="s">
        <v>1031</v>
      </c>
      <c r="E597" s="60">
        <f>F597+I597</f>
        <v>19014633</v>
      </c>
      <c r="F597" s="60">
        <f>F598+F600+F603+F605+F616</f>
        <v>19014633</v>
      </c>
      <c r="G597" s="60">
        <f>G598+G600+G603+G605+G616</f>
        <v>4572369</v>
      </c>
      <c r="H597" s="60">
        <f>H598+H600+H603+H605+H616</f>
        <v>457532</v>
      </c>
      <c r="I597" s="60">
        <f>I598+I600+I603+I605+I616</f>
        <v>0</v>
      </c>
      <c r="J597" s="60">
        <f>K597+N597</f>
        <v>7217529</v>
      </c>
      <c r="K597" s="60">
        <f>K598+K600+K603+K605+K616</f>
        <v>45516</v>
      </c>
      <c r="L597" s="60">
        <f>L598+L600+L603+L605+L616</f>
        <v>0</v>
      </c>
      <c r="M597" s="60">
        <f>M598+M600+M603+M605+M616</f>
        <v>0</v>
      </c>
      <c r="N597" s="60">
        <f>N598+N600+N603+N605+N616</f>
        <v>7172013</v>
      </c>
      <c r="O597" s="60">
        <f>O598+O600+O603+O605+O616</f>
        <v>7172013</v>
      </c>
      <c r="P597" s="60">
        <f>E597+J597</f>
        <v>26232162</v>
      </c>
    </row>
    <row r="598" spans="1:16" s="61" customFormat="1" ht="12.75" hidden="1">
      <c r="A598" s="77" t="s">
        <v>1033</v>
      </c>
      <c r="B598" s="76" t="s">
        <v>21</v>
      </c>
      <c r="C598" s="76"/>
      <c r="D598" s="97" t="s">
        <v>22</v>
      </c>
      <c r="E598" s="60">
        <f t="shared" ref="E598:E615" si="114">F598+I598</f>
        <v>9819898</v>
      </c>
      <c r="F598" s="87">
        <f>F599</f>
        <v>9819898</v>
      </c>
      <c r="G598" s="87">
        <f>G599</f>
        <v>4572369</v>
      </c>
      <c r="H598" s="87">
        <f>H599</f>
        <v>457532</v>
      </c>
      <c r="I598" s="87">
        <f>I599</f>
        <v>0</v>
      </c>
      <c r="J598" s="60">
        <f t="shared" ref="J598:J615" si="115">K598+N598</f>
        <v>991564</v>
      </c>
      <c r="K598" s="87">
        <f>K599</f>
        <v>45516</v>
      </c>
      <c r="L598" s="87">
        <f>L599</f>
        <v>0</v>
      </c>
      <c r="M598" s="87">
        <f>M599</f>
        <v>0</v>
      </c>
      <c r="N598" s="87">
        <f>N599</f>
        <v>946048</v>
      </c>
      <c r="O598" s="87">
        <f>O599</f>
        <v>946048</v>
      </c>
      <c r="P598" s="60">
        <f t="shared" ref="P598:P615" si="116">E598+J598</f>
        <v>10811462</v>
      </c>
    </row>
    <row r="599" spans="1:16" s="147" customFormat="1" ht="120" hidden="1">
      <c r="A599" s="58" t="s">
        <v>1034</v>
      </c>
      <c r="B599" s="58" t="s">
        <v>116</v>
      </c>
      <c r="C599" s="58" t="s">
        <v>25</v>
      </c>
      <c r="D599" s="26" t="s">
        <v>881</v>
      </c>
      <c r="E599" s="60">
        <f t="shared" si="114"/>
        <v>9819898</v>
      </c>
      <c r="F599" s="159">
        <f>6735414+(3084484)</f>
        <v>9819898</v>
      </c>
      <c r="G599" s="159">
        <v>4572369</v>
      </c>
      <c r="H599" s="159">
        <v>457532</v>
      </c>
      <c r="I599" s="159"/>
      <c r="J599" s="60">
        <f t="shared" si="115"/>
        <v>991564</v>
      </c>
      <c r="K599" s="159">
        <v>45516</v>
      </c>
      <c r="L599" s="159"/>
      <c r="M599" s="159"/>
      <c r="N599" s="159">
        <f>O599</f>
        <v>946048</v>
      </c>
      <c r="O599" s="159">
        <v>946048</v>
      </c>
      <c r="P599" s="60">
        <f t="shared" si="116"/>
        <v>10811462</v>
      </c>
    </row>
    <row r="600" spans="1:16" s="147" customFormat="1" ht="25.5" hidden="1">
      <c r="A600" s="76" t="s">
        <v>1035</v>
      </c>
      <c r="B600" s="77" t="s">
        <v>598</v>
      </c>
      <c r="C600" s="77"/>
      <c r="D600" s="78" t="s">
        <v>599</v>
      </c>
      <c r="E600" s="60">
        <f t="shared" si="114"/>
        <v>8885246</v>
      </c>
      <c r="F600" s="79">
        <f>F601+F602</f>
        <v>8885246</v>
      </c>
      <c r="G600" s="79">
        <f>G601+G602</f>
        <v>0</v>
      </c>
      <c r="H600" s="79">
        <f>H601+H602</f>
        <v>0</v>
      </c>
      <c r="I600" s="79">
        <f>I601+I602</f>
        <v>0</v>
      </c>
      <c r="J600" s="60">
        <f t="shared" si="115"/>
        <v>0</v>
      </c>
      <c r="K600" s="79">
        <f>K601+K602</f>
        <v>0</v>
      </c>
      <c r="L600" s="79">
        <f>L601+L602</f>
        <v>0</v>
      </c>
      <c r="M600" s="79">
        <f>M601+M602</f>
        <v>0</v>
      </c>
      <c r="N600" s="79">
        <f>N601+N602</f>
        <v>0</v>
      </c>
      <c r="O600" s="79">
        <f>O601+O602</f>
        <v>0</v>
      </c>
      <c r="P600" s="60">
        <f t="shared" si="116"/>
        <v>8885246</v>
      </c>
    </row>
    <row r="601" spans="1:16" s="61" customFormat="1" ht="63.75" hidden="1">
      <c r="A601" s="28" t="s">
        <v>1036</v>
      </c>
      <c r="B601" s="28" t="s">
        <v>601</v>
      </c>
      <c r="C601" s="28" t="s">
        <v>602</v>
      </c>
      <c r="D601" s="29" t="s">
        <v>603</v>
      </c>
      <c r="E601" s="60">
        <f t="shared" si="114"/>
        <v>3949783</v>
      </c>
      <c r="F601" s="87">
        <v>3949783</v>
      </c>
      <c r="G601" s="87"/>
      <c r="H601" s="87"/>
      <c r="I601" s="87"/>
      <c r="J601" s="60">
        <f t="shared" si="115"/>
        <v>0</v>
      </c>
      <c r="K601" s="87"/>
      <c r="L601" s="87"/>
      <c r="M601" s="87"/>
      <c r="N601" s="87"/>
      <c r="O601" s="87"/>
      <c r="P601" s="60">
        <f t="shared" si="116"/>
        <v>3949783</v>
      </c>
    </row>
    <row r="602" spans="1:16" s="61" customFormat="1" ht="12.75" hidden="1">
      <c r="A602" s="80" t="s">
        <v>1037</v>
      </c>
      <c r="B602" s="80" t="s">
        <v>659</v>
      </c>
      <c r="C602" s="80" t="s">
        <v>618</v>
      </c>
      <c r="D602" s="72" t="s">
        <v>660</v>
      </c>
      <c r="E602" s="60">
        <f t="shared" si="114"/>
        <v>4935463</v>
      </c>
      <c r="F602" s="60">
        <v>4935463</v>
      </c>
      <c r="G602" s="60"/>
      <c r="H602" s="60"/>
      <c r="I602" s="60"/>
      <c r="J602" s="60">
        <f t="shared" si="115"/>
        <v>0</v>
      </c>
      <c r="K602" s="60"/>
      <c r="L602" s="60"/>
      <c r="M602" s="60"/>
      <c r="N602" s="60"/>
      <c r="O602" s="60"/>
      <c r="P602" s="60">
        <f t="shared" si="116"/>
        <v>4935463</v>
      </c>
    </row>
    <row r="603" spans="1:16" s="61" customFormat="1" ht="12.75" hidden="1">
      <c r="A603" s="28" t="s">
        <v>1038</v>
      </c>
      <c r="B603" s="22" t="s">
        <v>41</v>
      </c>
      <c r="C603" s="22"/>
      <c r="D603" s="23" t="s">
        <v>336</v>
      </c>
      <c r="E603" s="60">
        <f t="shared" si="114"/>
        <v>0</v>
      </c>
      <c r="F603" s="24">
        <f>F604</f>
        <v>0</v>
      </c>
      <c r="G603" s="24">
        <f>G604</f>
        <v>0</v>
      </c>
      <c r="H603" s="24">
        <f>H604</f>
        <v>0</v>
      </c>
      <c r="I603" s="24">
        <f>I604</f>
        <v>0</v>
      </c>
      <c r="J603" s="60">
        <f t="shared" si="115"/>
        <v>6225965</v>
      </c>
      <c r="K603" s="24">
        <f>K604</f>
        <v>0</v>
      </c>
      <c r="L603" s="24">
        <f>L604</f>
        <v>0</v>
      </c>
      <c r="M603" s="24">
        <f>M604</f>
        <v>0</v>
      </c>
      <c r="N603" s="24">
        <f>N604</f>
        <v>6225965</v>
      </c>
      <c r="O603" s="24">
        <f>O604</f>
        <v>6225965</v>
      </c>
      <c r="P603" s="60">
        <f t="shared" si="116"/>
        <v>6225965</v>
      </c>
    </row>
    <row r="604" spans="1:16" s="61" customFormat="1" ht="45" hidden="1">
      <c r="A604" s="25" t="s">
        <v>1039</v>
      </c>
      <c r="B604" s="25" t="s">
        <v>44</v>
      </c>
      <c r="C604" s="25" t="s">
        <v>45</v>
      </c>
      <c r="D604" s="26" t="s">
        <v>46</v>
      </c>
      <c r="E604" s="60">
        <f t="shared" si="114"/>
        <v>0</v>
      </c>
      <c r="F604" s="60"/>
      <c r="G604" s="60"/>
      <c r="H604" s="60"/>
      <c r="I604" s="60"/>
      <c r="J604" s="60">
        <f t="shared" si="115"/>
        <v>6225965</v>
      </c>
      <c r="K604" s="60"/>
      <c r="L604" s="60"/>
      <c r="M604" s="60"/>
      <c r="N604" s="60">
        <f>O604</f>
        <v>6225965</v>
      </c>
      <c r="O604" s="60">
        <f>6275965+((300000))-350000</f>
        <v>6225965</v>
      </c>
      <c r="P604" s="60">
        <f t="shared" si="116"/>
        <v>6225965</v>
      </c>
    </row>
    <row r="605" spans="1:16" s="61" customFormat="1" ht="25.5" hidden="1">
      <c r="A605" s="76" t="s">
        <v>1040</v>
      </c>
      <c r="B605" s="77" t="s">
        <v>58</v>
      </c>
      <c r="C605" s="77"/>
      <c r="D605" s="100" t="s">
        <v>59</v>
      </c>
      <c r="E605" s="60">
        <f t="shared" si="114"/>
        <v>309489</v>
      </c>
      <c r="F605" s="87">
        <f>F606</f>
        <v>309489</v>
      </c>
      <c r="G605" s="87">
        <f>G606</f>
        <v>0</v>
      </c>
      <c r="H605" s="87">
        <f>H606</f>
        <v>0</v>
      </c>
      <c r="I605" s="87">
        <f>I606</f>
        <v>0</v>
      </c>
      <c r="J605" s="60">
        <f t="shared" si="115"/>
        <v>0</v>
      </c>
      <c r="K605" s="87">
        <f>K606</f>
        <v>0</v>
      </c>
      <c r="L605" s="87">
        <f>L606</f>
        <v>0</v>
      </c>
      <c r="M605" s="87">
        <f>M606</f>
        <v>0</v>
      </c>
      <c r="N605" s="87">
        <f>N606</f>
        <v>0</v>
      </c>
      <c r="O605" s="87">
        <f>O606</f>
        <v>0</v>
      </c>
      <c r="P605" s="60">
        <f t="shared" si="116"/>
        <v>309489</v>
      </c>
    </row>
    <row r="606" spans="1:16" s="61" customFormat="1" ht="12.75" hidden="1">
      <c r="A606" s="101" t="s">
        <v>1041</v>
      </c>
      <c r="B606" s="101" t="s">
        <v>66</v>
      </c>
      <c r="C606" s="101"/>
      <c r="D606" s="126" t="s">
        <v>67</v>
      </c>
      <c r="E606" s="60">
        <f t="shared" si="114"/>
        <v>309489</v>
      </c>
      <c r="F606" s="104">
        <f>SUM(F607:F615)</f>
        <v>309489</v>
      </c>
      <c r="G606" s="104">
        <f>SUM(G607:G615)</f>
        <v>0</v>
      </c>
      <c r="H606" s="104">
        <f>SUM(H607:H615)</f>
        <v>0</v>
      </c>
      <c r="I606" s="104">
        <f>SUM(I607:I615)</f>
        <v>0</v>
      </c>
      <c r="J606" s="60">
        <f t="shared" si="115"/>
        <v>0</v>
      </c>
      <c r="K606" s="104">
        <f>SUM(K607:K615)</f>
        <v>0</v>
      </c>
      <c r="L606" s="104">
        <f>SUM(L607:L615)</f>
        <v>0</v>
      </c>
      <c r="M606" s="104">
        <f>SUM(M607:M615)</f>
        <v>0</v>
      </c>
      <c r="N606" s="104">
        <f>SUM(N607:N615)</f>
        <v>0</v>
      </c>
      <c r="O606" s="104">
        <f>SUM(O607:O615)</f>
        <v>0</v>
      </c>
      <c r="P606" s="60">
        <f t="shared" si="116"/>
        <v>309489</v>
      </c>
    </row>
    <row r="607" spans="1:16" ht="90" hidden="1">
      <c r="A607" s="18" t="s">
        <v>1042</v>
      </c>
      <c r="B607" s="25" t="s">
        <v>69</v>
      </c>
      <c r="C607" s="25" t="s">
        <v>70</v>
      </c>
      <c r="D607" s="31" t="s">
        <v>71</v>
      </c>
      <c r="E607" s="60">
        <f t="shared" si="114"/>
        <v>0</v>
      </c>
      <c r="F607" s="27"/>
      <c r="G607" s="27"/>
      <c r="H607" s="27"/>
      <c r="I607" s="27"/>
      <c r="J607" s="60">
        <f t="shared" si="115"/>
        <v>0</v>
      </c>
      <c r="K607" s="27"/>
      <c r="L607" s="27"/>
      <c r="M607" s="27"/>
      <c r="N607" s="27"/>
      <c r="O607" s="27"/>
      <c r="P607" s="60">
        <f t="shared" si="116"/>
        <v>0</v>
      </c>
    </row>
    <row r="608" spans="1:16" s="41" customFormat="1" ht="60" hidden="1">
      <c r="A608" s="18" t="s">
        <v>1043</v>
      </c>
      <c r="B608" s="18" t="s">
        <v>73</v>
      </c>
      <c r="C608" s="25" t="s">
        <v>70</v>
      </c>
      <c r="D608" s="39" t="s">
        <v>74</v>
      </c>
      <c r="E608" s="60">
        <f t="shared" si="114"/>
        <v>173009</v>
      </c>
      <c r="F608" s="40">
        <v>173009</v>
      </c>
      <c r="G608" s="40"/>
      <c r="H608" s="40"/>
      <c r="I608" s="40"/>
      <c r="J608" s="60">
        <f t="shared" si="115"/>
        <v>0</v>
      </c>
      <c r="K608" s="27"/>
      <c r="L608" s="27"/>
      <c r="M608" s="27"/>
      <c r="N608" s="27"/>
      <c r="O608" s="27"/>
      <c r="P608" s="60">
        <f t="shared" si="116"/>
        <v>173009</v>
      </c>
    </row>
    <row r="609" spans="1:16" ht="75" hidden="1">
      <c r="A609" s="18" t="s">
        <v>1044</v>
      </c>
      <c r="B609" s="25" t="s">
        <v>76</v>
      </c>
      <c r="C609" s="25" t="s">
        <v>70</v>
      </c>
      <c r="D609" s="31" t="s">
        <v>77</v>
      </c>
      <c r="E609" s="60">
        <f t="shared" si="114"/>
        <v>86480</v>
      </c>
      <c r="F609" s="27">
        <v>86480</v>
      </c>
      <c r="G609" s="27"/>
      <c r="H609" s="27"/>
      <c r="I609" s="27"/>
      <c r="J609" s="60">
        <f t="shared" si="115"/>
        <v>0</v>
      </c>
      <c r="K609" s="27"/>
      <c r="L609" s="27"/>
      <c r="M609" s="27"/>
      <c r="N609" s="27"/>
      <c r="O609" s="27"/>
      <c r="P609" s="60">
        <f t="shared" si="116"/>
        <v>86480</v>
      </c>
    </row>
    <row r="610" spans="1:16" ht="75" hidden="1">
      <c r="A610" s="18" t="s">
        <v>1045</v>
      </c>
      <c r="B610" s="25" t="s">
        <v>79</v>
      </c>
      <c r="C610" s="25" t="s">
        <v>70</v>
      </c>
      <c r="D610" s="31" t="s">
        <v>80</v>
      </c>
      <c r="E610" s="60">
        <f t="shared" si="114"/>
        <v>0</v>
      </c>
      <c r="F610" s="27"/>
      <c r="G610" s="27"/>
      <c r="H610" s="27"/>
      <c r="I610" s="27"/>
      <c r="J610" s="60">
        <f t="shared" si="115"/>
        <v>0</v>
      </c>
      <c r="K610" s="27"/>
      <c r="L610" s="27"/>
      <c r="M610" s="27"/>
      <c r="N610" s="27"/>
      <c r="O610" s="27"/>
      <c r="P610" s="60">
        <f t="shared" si="116"/>
        <v>0</v>
      </c>
    </row>
    <row r="611" spans="1:16" ht="90" hidden="1">
      <c r="A611" s="18" t="s">
        <v>1046</v>
      </c>
      <c r="B611" s="25" t="s">
        <v>82</v>
      </c>
      <c r="C611" s="25" t="s">
        <v>70</v>
      </c>
      <c r="D611" s="31" t="s">
        <v>83</v>
      </c>
      <c r="E611" s="60">
        <f t="shared" si="114"/>
        <v>0</v>
      </c>
      <c r="F611" s="27"/>
      <c r="G611" s="27"/>
      <c r="H611" s="27"/>
      <c r="I611" s="27"/>
      <c r="J611" s="60">
        <f t="shared" si="115"/>
        <v>0</v>
      </c>
      <c r="K611" s="27"/>
      <c r="L611" s="27"/>
      <c r="M611" s="27"/>
      <c r="N611" s="27"/>
      <c r="O611" s="27"/>
      <c r="P611" s="60">
        <f t="shared" si="116"/>
        <v>0</v>
      </c>
    </row>
    <row r="612" spans="1:16" ht="90" hidden="1">
      <c r="A612" s="18" t="s">
        <v>1047</v>
      </c>
      <c r="B612" s="25" t="s">
        <v>85</v>
      </c>
      <c r="C612" s="25" t="s">
        <v>70</v>
      </c>
      <c r="D612" s="31" t="s">
        <v>86</v>
      </c>
      <c r="E612" s="60">
        <f t="shared" si="114"/>
        <v>50000</v>
      </c>
      <c r="F612" s="27">
        <v>50000</v>
      </c>
      <c r="G612" s="27"/>
      <c r="H612" s="27"/>
      <c r="I612" s="27"/>
      <c r="J612" s="60">
        <f t="shared" si="115"/>
        <v>0</v>
      </c>
      <c r="K612" s="27"/>
      <c r="L612" s="27"/>
      <c r="M612" s="27"/>
      <c r="N612" s="27"/>
      <c r="O612" s="27"/>
      <c r="P612" s="60">
        <f t="shared" si="116"/>
        <v>50000</v>
      </c>
    </row>
    <row r="613" spans="1:16" ht="165" hidden="1">
      <c r="A613" s="18" t="s">
        <v>1048</v>
      </c>
      <c r="B613" s="25" t="s">
        <v>90</v>
      </c>
      <c r="C613" s="25" t="s">
        <v>70</v>
      </c>
      <c r="D613" s="31" t="s">
        <v>91</v>
      </c>
      <c r="E613" s="60">
        <f t="shared" si="114"/>
        <v>0</v>
      </c>
      <c r="F613" s="43"/>
      <c r="G613" s="43"/>
      <c r="H613" s="43"/>
      <c r="I613" s="43"/>
      <c r="J613" s="60">
        <f t="shared" si="115"/>
        <v>0</v>
      </c>
      <c r="K613" s="43"/>
      <c r="L613" s="43"/>
      <c r="M613" s="43"/>
      <c r="N613" s="43"/>
      <c r="O613" s="43"/>
      <c r="P613" s="60">
        <f t="shared" si="116"/>
        <v>0</v>
      </c>
    </row>
    <row r="614" spans="1:16" ht="45" hidden="1">
      <c r="A614" s="18" t="s">
        <v>1049</v>
      </c>
      <c r="B614" s="25" t="s">
        <v>95</v>
      </c>
      <c r="C614" s="25" t="s">
        <v>70</v>
      </c>
      <c r="D614" s="31" t="s">
        <v>96</v>
      </c>
      <c r="E614" s="60">
        <f t="shared" si="114"/>
        <v>0</v>
      </c>
      <c r="F614" s="43"/>
      <c r="G614" s="43"/>
      <c r="H614" s="43"/>
      <c r="I614" s="43"/>
      <c r="J614" s="60">
        <f t="shared" si="115"/>
        <v>0</v>
      </c>
      <c r="K614" s="43"/>
      <c r="L614" s="43"/>
      <c r="M614" s="43"/>
      <c r="N614" s="43"/>
      <c r="O614" s="43"/>
      <c r="P614" s="60">
        <f t="shared" si="116"/>
        <v>0</v>
      </c>
    </row>
    <row r="615" spans="1:16" s="21" customFormat="1" hidden="1">
      <c r="A615" s="18" t="s">
        <v>1050</v>
      </c>
      <c r="B615" s="18" t="s">
        <v>898</v>
      </c>
      <c r="C615" s="18" t="s">
        <v>70</v>
      </c>
      <c r="D615" s="31" t="s">
        <v>98</v>
      </c>
      <c r="E615" s="60">
        <f t="shared" si="114"/>
        <v>0</v>
      </c>
      <c r="F615" s="20"/>
      <c r="G615" s="20"/>
      <c r="H615" s="20"/>
      <c r="I615" s="20"/>
      <c r="J615" s="60">
        <f t="shared" si="115"/>
        <v>0</v>
      </c>
      <c r="K615" s="20"/>
      <c r="L615" s="20"/>
      <c r="M615" s="20"/>
      <c r="N615" s="20"/>
      <c r="O615" s="20"/>
      <c r="P615" s="60">
        <f t="shared" si="116"/>
        <v>0</v>
      </c>
    </row>
    <row r="616" spans="1:16" s="17" customFormat="1" hidden="1">
      <c r="A616" s="28" t="s">
        <v>1051</v>
      </c>
      <c r="B616" s="22" t="s">
        <v>102</v>
      </c>
      <c r="C616" s="22"/>
      <c r="D616" s="71" t="s">
        <v>103</v>
      </c>
      <c r="E616" s="60">
        <f>F616+I616</f>
        <v>0</v>
      </c>
      <c r="F616" s="30">
        <f>F617</f>
        <v>0</v>
      </c>
      <c r="G616" s="30">
        <f t="shared" ref="G616:I617" si="117">G617</f>
        <v>0</v>
      </c>
      <c r="H616" s="30">
        <f t="shared" si="117"/>
        <v>0</v>
      </c>
      <c r="I616" s="30">
        <f t="shared" si="117"/>
        <v>0</v>
      </c>
      <c r="J616" s="60">
        <f>K616+N616</f>
        <v>0</v>
      </c>
      <c r="K616" s="30">
        <f t="shared" ref="K616:O617" si="118">K617</f>
        <v>0</v>
      </c>
      <c r="L616" s="30">
        <f t="shared" si="118"/>
        <v>0</v>
      </c>
      <c r="M616" s="30">
        <f t="shared" si="118"/>
        <v>0</v>
      </c>
      <c r="N616" s="30">
        <f t="shared" si="118"/>
        <v>0</v>
      </c>
      <c r="O616" s="30">
        <f t="shared" si="118"/>
        <v>0</v>
      </c>
      <c r="P616" s="60">
        <f>E616+J616</f>
        <v>0</v>
      </c>
    </row>
    <row r="617" spans="1:16" s="61" customFormat="1" ht="76.5" hidden="1">
      <c r="A617" s="101" t="s">
        <v>1027</v>
      </c>
      <c r="B617" s="101" t="s">
        <v>105</v>
      </c>
      <c r="C617" s="101"/>
      <c r="D617" s="126" t="s">
        <v>106</v>
      </c>
      <c r="E617" s="60">
        <f>F617+I617</f>
        <v>0</v>
      </c>
      <c r="F617" s="104">
        <f>F618</f>
        <v>0</v>
      </c>
      <c r="G617" s="104">
        <f t="shared" si="117"/>
        <v>0</v>
      </c>
      <c r="H617" s="104">
        <f t="shared" si="117"/>
        <v>0</v>
      </c>
      <c r="I617" s="104">
        <f t="shared" si="117"/>
        <v>0</v>
      </c>
      <c r="J617" s="60">
        <f>K617+N617</f>
        <v>0</v>
      </c>
      <c r="K617" s="104">
        <f t="shared" si="118"/>
        <v>0</v>
      </c>
      <c r="L617" s="104">
        <f t="shared" si="118"/>
        <v>0</v>
      </c>
      <c r="M617" s="104">
        <f t="shared" si="118"/>
        <v>0</v>
      </c>
      <c r="N617" s="104">
        <f t="shared" si="118"/>
        <v>0</v>
      </c>
      <c r="O617" s="104">
        <f t="shared" si="118"/>
        <v>0</v>
      </c>
      <c r="P617" s="60">
        <f>E617+J617</f>
        <v>0</v>
      </c>
    </row>
    <row r="618" spans="1:16" s="61" customFormat="1" ht="25.5" hidden="1">
      <c r="A618" s="80" t="s">
        <v>1052</v>
      </c>
      <c r="B618" s="80" t="s">
        <v>108</v>
      </c>
      <c r="C618" s="80"/>
      <c r="D618" s="160" t="s">
        <v>109</v>
      </c>
      <c r="E618" s="60">
        <f>F618+I618</f>
        <v>0</v>
      </c>
      <c r="F618" s="60"/>
      <c r="G618" s="60"/>
      <c r="H618" s="60"/>
      <c r="I618" s="60"/>
      <c r="J618" s="60">
        <f>K618+N618</f>
        <v>0</v>
      </c>
      <c r="K618" s="60"/>
      <c r="L618" s="60"/>
      <c r="M618" s="60"/>
      <c r="N618" s="60"/>
      <c r="O618" s="60"/>
      <c r="P618" s="60">
        <f>E618+J618</f>
        <v>0</v>
      </c>
    </row>
    <row r="619" spans="1:16" ht="15.75" hidden="1">
      <c r="A619" s="107"/>
      <c r="B619" s="107"/>
      <c r="C619" s="107"/>
      <c r="D619" s="161" t="s">
        <v>1053</v>
      </c>
      <c r="E619" s="109">
        <f>E14+E49+E102+E124+E160+E244+E253+E257+E279+E291+E295+E321+E346+E353+E362+E366+E370+E376+E396+E416+E424+E441+E449+E457+E480+E503+E527+E550+E573+E596</f>
        <v>3089137922</v>
      </c>
      <c r="F619" s="109">
        <f t="shared" ref="F619:P619" si="119">F14+F457+F480+F503+F527+F550+F573+F596+F253+F49+F124+F160+F244+F416+F346+F279+F257+F396+F353+F376+F366+F441+F449+F424+F370+F295+F277+F291+F102+F321+F362</f>
        <v>3089137922</v>
      </c>
      <c r="G619" s="109">
        <f t="shared" si="119"/>
        <v>317617716</v>
      </c>
      <c r="H619" s="109">
        <f t="shared" si="119"/>
        <v>24462244</v>
      </c>
      <c r="I619" s="109">
        <f t="shared" si="119"/>
        <v>0</v>
      </c>
      <c r="J619" s="109">
        <f t="shared" si="119"/>
        <v>1542606513</v>
      </c>
      <c r="K619" s="109">
        <f t="shared" si="119"/>
        <v>10303181</v>
      </c>
      <c r="L619" s="109">
        <f t="shared" si="119"/>
        <v>4072855</v>
      </c>
      <c r="M619" s="109">
        <f t="shared" si="119"/>
        <v>1003733</v>
      </c>
      <c r="N619" s="109">
        <f t="shared" si="119"/>
        <v>1532303332</v>
      </c>
      <c r="O619" s="109">
        <f t="shared" si="119"/>
        <v>1510431783</v>
      </c>
      <c r="P619" s="109">
        <f t="shared" si="119"/>
        <v>4631744435</v>
      </c>
    </row>
    <row r="622" spans="1:16">
      <c r="A622" t="s">
        <v>1059</v>
      </c>
      <c r="M622" t="s">
        <v>1057</v>
      </c>
    </row>
  </sheetData>
  <mergeCells count="21">
    <mergeCell ref="P10:P12"/>
    <mergeCell ref="E11:E12"/>
    <mergeCell ref="F11:F12"/>
    <mergeCell ref="G11:H11"/>
    <mergeCell ref="I11:I12"/>
    <mergeCell ref="J11:J12"/>
    <mergeCell ref="K11:K12"/>
    <mergeCell ref="L11:M11"/>
    <mergeCell ref="N11:N12"/>
    <mergeCell ref="E10:I10"/>
    <mergeCell ref="A10:A12"/>
    <mergeCell ref="B10:B12"/>
    <mergeCell ref="C10:C12"/>
    <mergeCell ref="D10:D12"/>
    <mergeCell ref="J10:O10"/>
    <mergeCell ref="O9:P9"/>
    <mergeCell ref="J3:K3"/>
    <mergeCell ref="J4:K4"/>
    <mergeCell ref="J6:K6"/>
    <mergeCell ref="B7:P7"/>
    <mergeCell ref="A8:P8"/>
  </mergeCells>
  <pageMargins left="0.39370078740157483" right="0.19685039370078741" top="0.74803149606299213" bottom="0.55118110236220474" header="0.31496062992125984" footer="0.31496062992125984"/>
  <pageSetup paperSize="9" scale="64" orientation="landscape" horizontalDpi="180"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2017-12-29T09:22:38Z</dcterms:modified>
</cp:coreProperties>
</file>