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арина\СЕССИЯ 20.12.2017\Программа\"/>
    </mc:Choice>
  </mc:AlternateContent>
  <bookViews>
    <workbookView xWindow="0" yWindow="0" windowWidth="28800" windowHeight="12330"/>
  </bookViews>
  <sheets>
    <sheet name="додаток 1.1.ДІБ" sheetId="4" r:id="rId1"/>
  </sheets>
  <definedNames>
    <definedName name="_xlnm.Print_Area" localSheetId="0">'додаток 1.1.ДІБ'!$A$1:$H$122</definedName>
  </definedNames>
  <calcPr calcId="162913"/>
</workbook>
</file>

<file path=xl/calcChain.xml><?xml version="1.0" encoding="utf-8"?>
<calcChain xmlns="http://schemas.openxmlformats.org/spreadsheetml/2006/main">
  <c r="F76" i="4" l="1"/>
  <c r="F21" i="4"/>
  <c r="F44" i="4" l="1"/>
  <c r="F78" i="4" l="1"/>
  <c r="F72" i="4" l="1"/>
  <c r="F77" i="4" l="1"/>
  <c r="F33" i="4"/>
  <c r="F31" i="4"/>
  <c r="F58" i="4"/>
  <c r="F80" i="4"/>
  <c r="F71" i="4"/>
  <c r="F61" i="4"/>
  <c r="F28" i="4" l="1"/>
  <c r="F27" i="4"/>
  <c r="F98" i="4"/>
  <c r="F110" i="4" l="1"/>
  <c r="F60" i="4" l="1"/>
  <c r="F59" i="4"/>
  <c r="F79" i="4" l="1"/>
  <c r="F65" i="4"/>
  <c r="F36" i="4"/>
  <c r="F47" i="4"/>
  <c r="F46" i="4"/>
  <c r="F73" i="4"/>
  <c r="F113" i="4" l="1"/>
  <c r="F18" i="4" l="1"/>
  <c r="F25" i="4" l="1"/>
  <c r="F24" i="4"/>
  <c r="F107" i="4" l="1"/>
  <c r="F87" i="4" l="1"/>
  <c r="F67" i="4"/>
  <c r="F93" i="4"/>
  <c r="F37" i="4"/>
  <c r="F53" i="4"/>
  <c r="F55" i="4"/>
  <c r="F56" i="4"/>
  <c r="F69" i="4"/>
  <c r="F35" i="4"/>
  <c r="E100" i="4" l="1"/>
  <c r="G100" i="4" l="1"/>
  <c r="H100" i="4"/>
  <c r="F100" i="4"/>
  <c r="E107" i="4"/>
  <c r="F106" i="4"/>
  <c r="E106" i="4" s="1"/>
  <c r="G93" i="4"/>
  <c r="H95" i="4" s="1"/>
  <c r="G103" i="4" l="1"/>
  <c r="F102" i="4"/>
  <c r="H103" i="4" l="1"/>
  <c r="E103" i="4"/>
  <c r="F68" i="4"/>
  <c r="F48" i="4"/>
  <c r="F95" i="4"/>
  <c r="G95" i="4" s="1"/>
  <c r="F116" i="4" l="1"/>
  <c r="F94" i="4"/>
  <c r="G94" i="4" s="1"/>
  <c r="E95" i="4" l="1"/>
  <c r="F92" i="4" l="1"/>
  <c r="F34" i="4"/>
  <c r="F104" i="4" l="1"/>
  <c r="F22" i="4" l="1"/>
  <c r="E22" i="4"/>
  <c r="F17" i="4" l="1"/>
  <c r="F51" i="4" l="1"/>
  <c r="F52" i="4" l="1"/>
  <c r="G66" i="4"/>
  <c r="H66" i="4" l="1"/>
  <c r="E66" i="4" s="1"/>
  <c r="G70" i="4" l="1"/>
  <c r="G71" i="4"/>
  <c r="H71" i="4" l="1"/>
  <c r="E71" i="4" s="1"/>
  <c r="H70" i="4"/>
  <c r="E70" i="4" s="1"/>
  <c r="G65" i="4"/>
  <c r="H65" i="4" s="1"/>
  <c r="E65" i="4" l="1"/>
  <c r="F85" i="4" l="1"/>
  <c r="G83" i="4" l="1"/>
  <c r="G84" i="4"/>
  <c r="H83" i="4" l="1"/>
  <c r="E83" i="4" s="1"/>
  <c r="H84" i="4"/>
  <c r="E84" i="4" s="1"/>
  <c r="F86" i="4" l="1"/>
  <c r="F62" i="4"/>
  <c r="F45" i="4"/>
  <c r="G47" i="4"/>
  <c r="H47" i="4" s="1"/>
  <c r="F64" i="4"/>
  <c r="G88" i="4" l="1"/>
  <c r="H88" i="4" s="1"/>
  <c r="E47" i="4"/>
  <c r="E88" i="4" l="1"/>
  <c r="E116" i="4"/>
  <c r="H115" i="4"/>
  <c r="G115" i="4"/>
  <c r="F115" i="4"/>
  <c r="E115" i="4" l="1"/>
  <c r="G64" i="4" l="1"/>
  <c r="H64" i="4" s="1"/>
  <c r="F57" i="4"/>
  <c r="F41" i="4"/>
  <c r="E64" i="4" l="1"/>
  <c r="F26" i="4" l="1"/>
  <c r="G85" i="4" l="1"/>
  <c r="H85" i="4" s="1"/>
  <c r="E85" i="4" l="1"/>
  <c r="G104" i="4" l="1"/>
  <c r="H104" i="4" l="1"/>
  <c r="E104" i="4" l="1"/>
  <c r="G102" i="4" l="1"/>
  <c r="H102" i="4" s="1"/>
  <c r="G74" i="4" l="1"/>
  <c r="H74" i="4" l="1"/>
  <c r="E74" i="4" l="1"/>
  <c r="E102" i="4" l="1"/>
  <c r="F38" i="4" l="1"/>
  <c r="F43" i="4"/>
  <c r="G82" i="4"/>
  <c r="H82" i="4" s="1"/>
  <c r="F30" i="4" l="1"/>
  <c r="E82" i="4"/>
  <c r="G86" i="4"/>
  <c r="H86" i="4" s="1"/>
  <c r="G80" i="4" l="1"/>
  <c r="H80" i="4" s="1"/>
  <c r="G81" i="4"/>
  <c r="H81" i="4" l="1"/>
  <c r="E81" i="4" s="1"/>
  <c r="G101" i="4"/>
  <c r="F23" i="4"/>
  <c r="F20" i="4" s="1"/>
  <c r="H101" i="4" l="1"/>
  <c r="E80" i="4"/>
  <c r="G79" i="4"/>
  <c r="E101" i="4" l="1"/>
  <c r="H79" i="4"/>
  <c r="E79" i="4" s="1"/>
  <c r="G40" i="4" l="1"/>
  <c r="H40" i="4" s="1"/>
  <c r="E120" i="4"/>
  <c r="E119" i="4" s="1"/>
  <c r="F119" i="4"/>
  <c r="E40" i="4" l="1"/>
  <c r="G27" i="4"/>
  <c r="H27" i="4" s="1"/>
  <c r="G28" i="4"/>
  <c r="G26" i="4"/>
  <c r="E27" i="4" l="1"/>
  <c r="H28" i="4"/>
  <c r="E28" i="4" s="1"/>
  <c r="F75" i="4"/>
  <c r="F117" i="4" s="1"/>
  <c r="H26" i="4"/>
  <c r="H17" i="4"/>
  <c r="G17" i="4"/>
  <c r="E18" i="4"/>
  <c r="G67" i="4"/>
  <c r="G87" i="4"/>
  <c r="G90" i="4"/>
  <c r="H90" i="4" s="1"/>
  <c r="E86" i="4"/>
  <c r="G21" i="4"/>
  <c r="H21" i="4" s="1"/>
  <c r="E21" i="4" s="1"/>
  <c r="G24" i="4"/>
  <c r="G91" i="4"/>
  <c r="G89" i="4"/>
  <c r="G34" i="4"/>
  <c r="H34" i="4" s="1"/>
  <c r="E34" i="4" s="1"/>
  <c r="G69" i="4"/>
  <c r="G77" i="4"/>
  <c r="H77" i="4" s="1"/>
  <c r="E77" i="4" s="1"/>
  <c r="G76" i="4"/>
  <c r="G59" i="4"/>
  <c r="H59" i="4" s="1"/>
  <c r="E59" i="4" s="1"/>
  <c r="G60" i="4"/>
  <c r="G61" i="4"/>
  <c r="H61" i="4" s="1"/>
  <c r="E61" i="4" s="1"/>
  <c r="G62" i="4"/>
  <c r="H62" i="4" s="1"/>
  <c r="G63" i="4"/>
  <c r="H63" i="4" s="1"/>
  <c r="E63" i="4" s="1"/>
  <c r="G68" i="4"/>
  <c r="G72" i="4"/>
  <c r="H72" i="4" s="1"/>
  <c r="E72" i="4" s="1"/>
  <c r="G73" i="4"/>
  <c r="H73" i="4" s="1"/>
  <c r="G54" i="4"/>
  <c r="H54" i="4" s="1"/>
  <c r="G56" i="4"/>
  <c r="H56" i="4" s="1"/>
  <c r="E56" i="4" s="1"/>
  <c r="G53" i="4"/>
  <c r="G48" i="4"/>
  <c r="G49" i="4"/>
  <c r="H49" i="4" s="1"/>
  <c r="E49" i="4" s="1"/>
  <c r="G50" i="4"/>
  <c r="G35" i="4"/>
  <c r="G36" i="4"/>
  <c r="H36" i="4" s="1"/>
  <c r="E36" i="4" s="1"/>
  <c r="G37" i="4"/>
  <c r="H37" i="4" s="1"/>
  <c r="G38" i="4"/>
  <c r="H38" i="4" s="1"/>
  <c r="E38" i="4" s="1"/>
  <c r="G39" i="4"/>
  <c r="H39" i="4" s="1"/>
  <c r="E39" i="4" s="1"/>
  <c r="G41" i="4"/>
  <c r="H41" i="4" s="1"/>
  <c r="E41" i="4" s="1"/>
  <c r="G42" i="4"/>
  <c r="H42" i="4" s="1"/>
  <c r="G43" i="4"/>
  <c r="H43" i="4" s="1"/>
  <c r="E43" i="4" s="1"/>
  <c r="G44" i="4"/>
  <c r="H44" i="4" s="1"/>
  <c r="E44" i="4" s="1"/>
  <c r="G33" i="4"/>
  <c r="H33" i="4" s="1"/>
  <c r="G32" i="4"/>
  <c r="H32" i="4" s="1"/>
  <c r="G31" i="4"/>
  <c r="H31" i="4" s="1"/>
  <c r="G113" i="4"/>
  <c r="G110" i="4"/>
  <c r="G109" i="4" s="1"/>
  <c r="G98" i="4"/>
  <c r="G97" i="4" s="1"/>
  <c r="G46" i="4"/>
  <c r="H46" i="4" s="1"/>
  <c r="E46" i="4" s="1"/>
  <c r="G51" i="4"/>
  <c r="H51" i="4" s="1"/>
  <c r="E51" i="4" s="1"/>
  <c r="G55" i="4"/>
  <c r="H55" i="4" s="1"/>
  <c r="F109" i="4"/>
  <c r="F112" i="4"/>
  <c r="F97" i="4"/>
  <c r="G23" i="4"/>
  <c r="J117" i="4" l="1"/>
  <c r="H89" i="4"/>
  <c r="E89" i="4" s="1"/>
  <c r="H91" i="4"/>
  <c r="H93" i="4"/>
  <c r="G92" i="4"/>
  <c r="H94" i="4" s="1"/>
  <c r="H113" i="4"/>
  <c r="H112" i="4" s="1"/>
  <c r="G112" i="4"/>
  <c r="G20" i="4"/>
  <c r="G45" i="4"/>
  <c r="G52" i="4"/>
  <c r="H35" i="4"/>
  <c r="G30" i="4"/>
  <c r="H87" i="4"/>
  <c r="G78" i="4"/>
  <c r="H78" i="4" s="1"/>
  <c r="E91" i="4"/>
  <c r="E93" i="4"/>
  <c r="E33" i="4"/>
  <c r="E42" i="4"/>
  <c r="H110" i="4"/>
  <c r="E17" i="4"/>
  <c r="H98" i="4"/>
  <c r="E90" i="4"/>
  <c r="E55" i="4"/>
  <c r="E73" i="4"/>
  <c r="E62" i="4"/>
  <c r="H76" i="4"/>
  <c r="H68" i="4"/>
  <c r="E68" i="4" s="1"/>
  <c r="H24" i="4"/>
  <c r="E24" i="4" s="1"/>
  <c r="E26" i="4"/>
  <c r="H48" i="4"/>
  <c r="E37" i="4"/>
  <c r="E31" i="4"/>
  <c r="H67" i="4"/>
  <c r="E67" i="4" s="1"/>
  <c r="E32" i="4"/>
  <c r="H60" i="4"/>
  <c r="E60" i="4" s="1"/>
  <c r="G58" i="4"/>
  <c r="G57" i="4" s="1"/>
  <c r="H50" i="4"/>
  <c r="E50" i="4" s="1"/>
  <c r="H69" i="4"/>
  <c r="E69" i="4" s="1"/>
  <c r="H23" i="4"/>
  <c r="H20" i="4" s="1"/>
  <c r="H53" i="4"/>
  <c r="H52" i="4" s="1"/>
  <c r="E54" i="4"/>
  <c r="E94" i="4" l="1"/>
  <c r="H92" i="4"/>
  <c r="E113" i="4"/>
  <c r="G75" i="4"/>
  <c r="G117" i="4" s="1"/>
  <c r="H109" i="4"/>
  <c r="E109" i="4" s="1"/>
  <c r="H97" i="4"/>
  <c r="E97" i="4" s="1"/>
  <c r="H45" i="4"/>
  <c r="E45" i="4" s="1"/>
  <c r="E35" i="4"/>
  <c r="H30" i="4"/>
  <c r="E30" i="4" s="1"/>
  <c r="E92" i="4"/>
  <c r="E87" i="4"/>
  <c r="H75" i="4"/>
  <c r="E78" i="4"/>
  <c r="E112" i="4"/>
  <c r="E110" i="4"/>
  <c r="E98" i="4"/>
  <c r="E76" i="4"/>
  <c r="E23" i="4"/>
  <c r="E53" i="4"/>
  <c r="H58" i="4"/>
  <c r="H57" i="4" s="1"/>
  <c r="E48" i="4"/>
  <c r="E75" i="4" l="1"/>
  <c r="H117" i="4"/>
  <c r="E20" i="4"/>
  <c r="E58" i="4"/>
  <c r="E57" i="4"/>
  <c r="E52" i="4" l="1"/>
  <c r="E117" i="4" s="1"/>
</calcChain>
</file>

<file path=xl/sharedStrings.xml><?xml version="1.0" encoding="utf-8"?>
<sst xmlns="http://schemas.openxmlformats.org/spreadsheetml/2006/main" count="147" uniqueCount="121">
  <si>
    <t>Найменування завдання</t>
  </si>
  <si>
    <t>Найменування заходу</t>
  </si>
  <si>
    <t>Головний розпорядник бюджетних коштів, виконавці</t>
  </si>
  <si>
    <t>Джерела фінансування (бюджет міста, державний, обласний бюджети, інші)</t>
  </si>
  <si>
    <t>Всього</t>
  </si>
  <si>
    <t>за роками</t>
  </si>
  <si>
    <t>Завдання і заходи</t>
  </si>
  <si>
    <t>бюджет міста</t>
  </si>
  <si>
    <t xml:space="preserve">нанесення дорожньої розмітки </t>
  </si>
  <si>
    <t xml:space="preserve">енергопостачання засобів регулювання дорожнього руху </t>
  </si>
  <si>
    <t xml:space="preserve">утримання міських фонтанів </t>
  </si>
  <si>
    <t>догляд за зеленими насадженнями</t>
  </si>
  <si>
    <t xml:space="preserve">забезпечення перевезення експертних трупів </t>
  </si>
  <si>
    <t>капітальний ремонт об’єктів транспортної інфраструктури</t>
  </si>
  <si>
    <t>утримання парків</t>
  </si>
  <si>
    <t xml:space="preserve">утримання міських пляжів </t>
  </si>
  <si>
    <t>Утримання об'єктів благоустрою, в тому числі:</t>
  </si>
  <si>
    <t>Енергопостачання об'єктів благоустрою, в тому числі:</t>
  </si>
  <si>
    <t>енергопостачання парків</t>
  </si>
  <si>
    <t xml:space="preserve">енергопостачання пляжів </t>
  </si>
  <si>
    <t xml:space="preserve">енергопостачання фонтанів </t>
  </si>
  <si>
    <t>Водопостачання та водовідведення об'єктів благоустрою, в тому числі:</t>
  </si>
  <si>
    <t>водопостачання та водовідведення парків</t>
  </si>
  <si>
    <t xml:space="preserve">водопостачання та водовідведення пляжів </t>
  </si>
  <si>
    <t xml:space="preserve">водопостачання та водовідведення фонтанів </t>
  </si>
  <si>
    <t>Поточний ремонт об’єктів благоустрою, в тому числі:</t>
  </si>
  <si>
    <t xml:space="preserve">поточний ремонт та технічне обслуговування фонтанів </t>
  </si>
  <si>
    <t xml:space="preserve">поточний ремонт об’єктів кладовищ </t>
  </si>
  <si>
    <t xml:space="preserve">утримання і благоустрій кладовищ </t>
  </si>
  <si>
    <t>Будівництво, реконструкція та капітальний ремонт об’єктів благоустрою, в тому числі:</t>
  </si>
  <si>
    <t xml:space="preserve">поховання померлих одиноких громадян, осіб без певного місця проживання, громадян, від поховання яких відмовилися рідні, знайдених невпізнаних трупів  </t>
  </si>
  <si>
    <t>Поховання померлих безрідних та невідомих громадян міста, в тому числі:</t>
  </si>
  <si>
    <t>Проведення заходів з підготовки міста Запоріжжя до святкування Новорічних та Різдвяних свят</t>
  </si>
  <si>
    <t>Проведення заходів з забезпечення підготовки та завершення святкування Новорічних і Різдвяних свят в місті Запоріжжя, в тому числі:</t>
  </si>
  <si>
    <t>Прогнозні обсяги, тис.грн</t>
  </si>
  <si>
    <t>Реалізація заходів  щодо інвестиційного розвитку території</t>
  </si>
  <si>
    <t>Реалізація заходів  щодо інвестиційного розвитку території, в тому числі:</t>
  </si>
  <si>
    <t>Всього по програмі</t>
  </si>
  <si>
    <t>Секретар міської ради</t>
  </si>
  <si>
    <t>забезпечення  проектування, будівництва та реконструкції об'єктів</t>
  </si>
  <si>
    <t>освітлення міста</t>
  </si>
  <si>
    <t>поточний ремонт доріг</t>
  </si>
  <si>
    <t>поточний ремонт засобів регулювання дорожнього руху</t>
  </si>
  <si>
    <t>технічне обслуговування засобів регулювання дорожнього руху</t>
  </si>
  <si>
    <t>поховання померлих почесних громадян міста</t>
  </si>
  <si>
    <t>Поховання померлих почесних громадян міста, в тому числі:</t>
  </si>
  <si>
    <t>Поховання померлих безрідних і невідомих громадян міста</t>
  </si>
  <si>
    <t>Поховання померлих почесних громадян міста</t>
  </si>
  <si>
    <t>забезпечення  проектування, будівництва та реконструкції об'єктів транспортної інфраструктури</t>
  </si>
  <si>
    <t>встановлення малих архітектурних форм в парках та скверах</t>
  </si>
  <si>
    <t>ЗАТВЕРДЖЕНО</t>
  </si>
  <si>
    <t>Рішення міської ради</t>
  </si>
  <si>
    <t>поточний ремонт доріг приватного сектору</t>
  </si>
  <si>
    <t>експлуатація та утримання мостів</t>
  </si>
  <si>
    <t>Р.О. Пидорич</t>
  </si>
  <si>
    <t xml:space="preserve">обслуговування мобільних туалетних кабін </t>
  </si>
  <si>
    <t>внески у статутні капітали комунальних  підприємств міста (придбання спеціальної техніки), в тому числі:</t>
  </si>
  <si>
    <t>в тому числі за рахунок надходжень до спеціального фонду бюджету міста</t>
  </si>
  <si>
    <t xml:space="preserve">поточний ремонт тротуарів </t>
  </si>
  <si>
    <t>департамент інфраструктури та благоустрою міста Запорізької міської ради</t>
  </si>
  <si>
    <t xml:space="preserve">Благоустрій міста та розвиток інфраструктури </t>
  </si>
  <si>
    <t>експлуатація та утримання доріг</t>
  </si>
  <si>
    <t>з виконання Програми розвитку інфраструктури та комплексного благоустрою міста Запоріжжя на 2017-2019 роки</t>
  </si>
  <si>
    <t>До Програми розвитку інфраструктури та комплексного благоустрою міста Запоріжжя на 2017-2019 роки</t>
  </si>
  <si>
    <t>______________ №____</t>
  </si>
  <si>
    <t>Додаток 1.1.</t>
  </si>
  <si>
    <t>влаштування пристроїв примусового зниження швидкості («лежачі поліцейські»)</t>
  </si>
  <si>
    <t>утримання громадських вбиралень (туалетів) та модульних туалетних кабін</t>
  </si>
  <si>
    <t>видалення несанкціонованих надписів типу «графіті» на об’єктах благоустрою (зафарбовування графіті)</t>
  </si>
  <si>
    <t xml:space="preserve">водопостачання та водовідведення громадських вбиралень (туалетів) та модульних туалетних кабін </t>
  </si>
  <si>
    <t>поточний ремонт та технічне обслуговування малих архітектурних форм парків, скверів та пляжів</t>
  </si>
  <si>
    <t>утримання мереж зливової каналізації (прочистка гідродинамічним методом)</t>
  </si>
  <si>
    <t>заміна та встановлення дорожніх знаків</t>
  </si>
  <si>
    <t>квіткове озеленення з використанням вертикальних конструкцій</t>
  </si>
  <si>
    <t>Проведення технічної інвентаризації та паспортизації об'єктів благоустрою</t>
  </si>
  <si>
    <t>паспортизація мостів</t>
  </si>
  <si>
    <t>капітальний ремонт фонтану</t>
  </si>
  <si>
    <t>встановлення та заміна павільонів очікування</t>
  </si>
  <si>
    <t>Керівництво і управління у сфері комунального господарства</t>
  </si>
  <si>
    <t>капітальний ремонт приміщень за адресою пр. Соборний, 214</t>
  </si>
  <si>
    <t>Капітальний ремонт приміщення</t>
  </si>
  <si>
    <t xml:space="preserve">Спеціалізоване комунальне підприємство "Запорізька ритуальна служба" </t>
  </si>
  <si>
    <t xml:space="preserve">Комунальне підприємство "Титан" </t>
  </si>
  <si>
    <t>Комунальне ремонтно-будівельне підприємство "Зеленбуд"</t>
  </si>
  <si>
    <t>утримання та поточний ремонт мереж зовнішнього освітлення (світлоточок)</t>
  </si>
  <si>
    <t>Інші кошти</t>
  </si>
  <si>
    <t>Відшкодування витрат за поховання загиблих</t>
  </si>
  <si>
    <t>Дозволити спеціалізованому комунальному підприємству «Запорізька ритуальна служба» за рахунок прибутку підприємства здійснити оплату частини вартості поховання двох війсковослужбовців, які загинули під час участі в антитерористичній операції, у розмірі 9,331тис.грн. (Цинкуш Вячеслав Іванович, Рева Юрій Андрійович).</t>
  </si>
  <si>
    <t>очистка дна акваторії Центрального та Правобережного пляжів</t>
  </si>
  <si>
    <t xml:space="preserve">капітальний ремонт ділянки дороги з влаштуванням  паркувальних кишень по Прибережній магістралі в районі Центрального  пляжу в м. Запоріжжі </t>
  </si>
  <si>
    <t>Фінансова підтримка комунальних підприємств на поповнення обігових коштів</t>
  </si>
  <si>
    <t>Фінансова підтримка комунальних підприємств на поповнення обігових коштів, в тому числі:</t>
  </si>
  <si>
    <t>поповнення обігових коштів комунального підприємства для придбання пляжного обладнання</t>
  </si>
  <si>
    <t>встановлення малих архітектурних форм  на площі Фестивальній в м. Запоріжжі</t>
  </si>
  <si>
    <t xml:space="preserve">обстеження дна акваторії Центрального та Правобережного пляжів </t>
  </si>
  <si>
    <t>поповнення обігових коштів комунального підприємства на охорону території</t>
  </si>
  <si>
    <t>благоустрій зони відпочинку на Центральному міському пляжі (ліва сторона)  в м. Запоріжжя</t>
  </si>
  <si>
    <t>влаштування зони відпочинку на Центральному міському пляжі (ліва сторона)  в м. Запоріжжя</t>
  </si>
  <si>
    <t>поповнення обігових коштів комунального підприємства для перевезення експертних трупів</t>
  </si>
  <si>
    <t>проведення робіт з монтажу та демонтажу міської новорічної ялинки, новорічних гірлянд  та інші заходи з підготовки та проведення новорічних і різдвяних свят</t>
  </si>
  <si>
    <t xml:space="preserve">встановлення модульних туалетних кабін </t>
  </si>
  <si>
    <t>влаштування мереж водопостачання та водовідведення Центрального міського пляжу у Вознесенівському районі м.Запоріжжя</t>
  </si>
  <si>
    <t>поточний ремонт колесо-відбійного брусу</t>
  </si>
  <si>
    <t>Виконання доручень депутатів обласної ради</t>
  </si>
  <si>
    <t>обласний бюджет</t>
  </si>
  <si>
    <t>виконання доручень депутатів обласної ради</t>
  </si>
  <si>
    <t>впровадження 5-ти ступеневої схеми управління зовнішнім освітленням міста Запоріжжя</t>
  </si>
  <si>
    <t>виконання робіт по встановленню звукових пристроїв супроводу на світлофорних об'єктах в м. Запоріжжі</t>
  </si>
  <si>
    <t>в т.ч. за рахунок коштів субвенції з державного бюджету місцевим бюджетам на здійснення заходів щодо соціально-економічного розвитку окремих територій</t>
  </si>
  <si>
    <t>благоустрій території по вул.Гладкова в м.Запоріжжя</t>
  </si>
  <si>
    <t xml:space="preserve">капітальний ремонт тротуару по Прибережній магістралі в районі Центрального  пляжу в місті Запоріжжі </t>
  </si>
  <si>
    <t>демонтаж металевих конструкцій малих архітерктурних форм</t>
  </si>
  <si>
    <t>установлення сигнальних пристроїв на пішохідних переходах</t>
  </si>
  <si>
    <t>інвентаризація земельних ділянок міських кладовищ</t>
  </si>
  <si>
    <t>проведення незалежної оцінки мереж зовнішнього освітлення</t>
  </si>
  <si>
    <t xml:space="preserve">очищення металевих та бетонних поверхонь об'єктів благоустрою </t>
  </si>
  <si>
    <t>отримання сертифікатів про готовність об'єкту до  експлуатації</t>
  </si>
  <si>
    <t>інвентаризація земельних ділянок безгосподарних кладовищ</t>
  </si>
  <si>
    <t>поповнення обігових коштів комунального підприємства на охорону модульних туалетних кабін</t>
  </si>
  <si>
    <t>Інші видатки</t>
  </si>
  <si>
    <t xml:space="preserve">Комунальне підприємство "Експлуатаційне лінійне управління автомобільних шляхів" на придбання спецтехніки - 22 484,818 тис.грн.,з яких: 18 635,651 тис.грн. - видатки на поповнення статутного капіталу; 
3 849,167 тис.грн. - видатки на погашення заборгованості по статутним внескам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</si>
</sst>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9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2" borderId="0" xfId="0" applyFont="1" applyFill="1" applyAlignment="1">
      <alignment horizontal="center" vertical="top" wrapText="1"/>
    </xf>
    <xf numFmtId="164" fontId="2" fillId="2" borderId="0" xfId="0" applyNumberFormat="1" applyFont="1" applyFill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Border="1" applyAlignment="1">
      <alignment vertical="top" wrapText="1"/>
    </xf>
    <xf numFmtId="164" fontId="2" fillId="2" borderId="0" xfId="0" applyNumberFormat="1" applyFont="1" applyFill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vertical="top" wrapText="1"/>
    </xf>
    <xf numFmtId="164" fontId="3" fillId="2" borderId="3" xfId="0" applyNumberFormat="1" applyFont="1" applyFill="1" applyBorder="1" applyAlignment="1">
      <alignment horizontal="center" vertical="top" wrapText="1"/>
    </xf>
    <xf numFmtId="164" fontId="2" fillId="2" borderId="3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top" wrapText="1"/>
    </xf>
    <xf numFmtId="164" fontId="3" fillId="2" borderId="0" xfId="0" applyNumberFormat="1" applyFont="1" applyFill="1" applyAlignment="1">
      <alignment horizontal="center" vertical="top" wrapText="1"/>
    </xf>
    <xf numFmtId="164" fontId="8" fillId="2" borderId="0" xfId="0" applyNumberFormat="1" applyFont="1" applyFill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</cellXfs>
  <cellStyles count="2">
    <cellStyle name="Звичайни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M128"/>
  <sheetViews>
    <sheetView tabSelected="1" view="pageBreakPreview" zoomScaleNormal="75" zoomScaleSheetLayoutView="100" workbookViewId="0">
      <selection activeCell="F18" sqref="F18"/>
    </sheetView>
  </sheetViews>
  <sheetFormatPr defaultColWidth="9.140625" defaultRowHeight="12.75" x14ac:dyDescent="0.2"/>
  <cols>
    <col min="1" max="1" width="29.7109375" style="3" customWidth="1"/>
    <col min="2" max="2" width="32.85546875" style="3" customWidth="1"/>
    <col min="3" max="3" width="22.7109375" style="1" customWidth="1"/>
    <col min="4" max="4" width="22.28515625" style="1" customWidth="1"/>
    <col min="5" max="5" width="14.85546875" style="1" customWidth="1"/>
    <col min="6" max="6" width="16.85546875" style="1" customWidth="1"/>
    <col min="7" max="7" width="16.140625" style="1" customWidth="1"/>
    <col min="8" max="8" width="14.5703125" style="1" customWidth="1"/>
    <col min="9" max="9" width="11.42578125" style="3" bestFit="1" customWidth="1"/>
    <col min="10" max="10" width="10.5703125" style="3" bestFit="1" customWidth="1"/>
    <col min="11" max="16384" width="9.140625" style="3"/>
  </cols>
  <sheetData>
    <row r="1" spans="1:9" ht="23.25" x14ac:dyDescent="0.2">
      <c r="C1" s="4"/>
      <c r="D1" s="4"/>
      <c r="E1" s="4"/>
      <c r="F1" s="55" t="s">
        <v>50</v>
      </c>
      <c r="G1" s="55"/>
      <c r="H1" s="55"/>
    </row>
    <row r="2" spans="1:9" ht="23.25" x14ac:dyDescent="0.2">
      <c r="C2" s="4"/>
      <c r="D2" s="4"/>
      <c r="E2" s="4"/>
      <c r="F2" s="55" t="s">
        <v>51</v>
      </c>
      <c r="G2" s="55"/>
      <c r="H2" s="55"/>
    </row>
    <row r="3" spans="1:9" ht="23.25" x14ac:dyDescent="0.2">
      <c r="C3" s="4"/>
      <c r="D3" s="4"/>
      <c r="E3" s="4"/>
      <c r="F3" s="56" t="s">
        <v>64</v>
      </c>
      <c r="G3" s="56"/>
      <c r="H3" s="56"/>
    </row>
    <row r="4" spans="1:9" ht="23.25" x14ac:dyDescent="0.2">
      <c r="C4" s="4"/>
      <c r="D4" s="4"/>
      <c r="E4" s="4"/>
      <c r="F4" s="34"/>
      <c r="G4" s="34"/>
      <c r="H4" s="34"/>
    </row>
    <row r="5" spans="1:9" s="5" customFormat="1" ht="25.5" customHeight="1" x14ac:dyDescent="0.2">
      <c r="C5" s="4"/>
      <c r="D5" s="4"/>
      <c r="E5" s="4"/>
      <c r="F5" s="55" t="s">
        <v>65</v>
      </c>
      <c r="G5" s="55"/>
      <c r="H5" s="55"/>
    </row>
    <row r="6" spans="1:9" s="5" customFormat="1" ht="141" customHeight="1" x14ac:dyDescent="0.2">
      <c r="C6" s="6"/>
      <c r="D6" s="6"/>
      <c r="E6" s="6"/>
      <c r="F6" s="59" t="s">
        <v>63</v>
      </c>
      <c r="G6" s="59"/>
      <c r="H6" s="59"/>
    </row>
    <row r="7" spans="1:9" x14ac:dyDescent="0.2">
      <c r="I7" s="7"/>
    </row>
    <row r="8" spans="1:9" s="5" customFormat="1" ht="22.5" x14ac:dyDescent="0.2">
      <c r="A8" s="58" t="s">
        <v>6</v>
      </c>
      <c r="B8" s="58"/>
      <c r="C8" s="58"/>
      <c r="D8" s="58"/>
      <c r="E8" s="58"/>
      <c r="F8" s="58"/>
      <c r="G8" s="58"/>
      <c r="H8" s="58"/>
    </row>
    <row r="9" spans="1:9" s="5" customFormat="1" ht="20.25" x14ac:dyDescent="0.2">
      <c r="A9" s="60" t="s">
        <v>62</v>
      </c>
      <c r="B9" s="60"/>
      <c r="C9" s="60"/>
      <c r="D9" s="60"/>
      <c r="E9" s="60"/>
      <c r="F9" s="60"/>
      <c r="G9" s="60"/>
      <c r="H9" s="60"/>
    </row>
    <row r="10" spans="1:9" s="5" customFormat="1" ht="9.75" customHeight="1" x14ac:dyDescent="0.2">
      <c r="A10" s="40"/>
      <c r="B10" s="40"/>
      <c r="C10" s="40"/>
      <c r="D10" s="40"/>
      <c r="E10" s="40"/>
      <c r="F10" s="40"/>
      <c r="G10" s="40"/>
      <c r="H10" s="40"/>
    </row>
    <row r="12" spans="1:9" s="10" customFormat="1" ht="23.25" customHeight="1" x14ac:dyDescent="0.2">
      <c r="A12" s="57" t="s">
        <v>0</v>
      </c>
      <c r="B12" s="57" t="s">
        <v>1</v>
      </c>
      <c r="C12" s="57" t="s">
        <v>2</v>
      </c>
      <c r="D12" s="57" t="s">
        <v>3</v>
      </c>
      <c r="E12" s="57" t="s">
        <v>34</v>
      </c>
      <c r="F12" s="57"/>
      <c r="G12" s="57"/>
      <c r="H12" s="57"/>
    </row>
    <row r="13" spans="1:9" s="10" customFormat="1" ht="23.25" customHeight="1" x14ac:dyDescent="0.2">
      <c r="A13" s="57"/>
      <c r="B13" s="57"/>
      <c r="C13" s="57"/>
      <c r="D13" s="57"/>
      <c r="E13" s="57" t="s">
        <v>4</v>
      </c>
      <c r="F13" s="57" t="s">
        <v>5</v>
      </c>
      <c r="G13" s="57"/>
      <c r="H13" s="57"/>
    </row>
    <row r="14" spans="1:9" s="10" customFormat="1" x14ac:dyDescent="0.2">
      <c r="A14" s="57"/>
      <c r="B14" s="57"/>
      <c r="C14" s="57"/>
      <c r="D14" s="57"/>
      <c r="E14" s="57"/>
      <c r="F14" s="38">
        <v>2017</v>
      </c>
      <c r="G14" s="38">
        <v>2018</v>
      </c>
      <c r="H14" s="38">
        <v>2019</v>
      </c>
    </row>
    <row r="15" spans="1:9" s="10" customFormat="1" x14ac:dyDescent="0.2">
      <c r="A15" s="38">
        <v>1</v>
      </c>
      <c r="B15" s="38">
        <v>2</v>
      </c>
      <c r="C15" s="38">
        <v>3</v>
      </c>
      <c r="D15" s="38">
        <v>4</v>
      </c>
      <c r="E15" s="38">
        <v>5</v>
      </c>
      <c r="F15" s="38">
        <v>6</v>
      </c>
      <c r="G15" s="38">
        <v>7</v>
      </c>
      <c r="H15" s="38">
        <v>8</v>
      </c>
    </row>
    <row r="16" spans="1:9" s="10" customFormat="1" x14ac:dyDescent="0.2">
      <c r="A16" s="52" t="s">
        <v>78</v>
      </c>
      <c r="B16" s="53"/>
      <c r="C16" s="53"/>
      <c r="D16" s="53"/>
      <c r="E16" s="53"/>
      <c r="F16" s="53"/>
      <c r="G16" s="53"/>
      <c r="H16" s="54"/>
    </row>
    <row r="17" spans="1:10" s="10" customFormat="1" x14ac:dyDescent="0.2">
      <c r="A17" s="46" t="s">
        <v>80</v>
      </c>
      <c r="B17" s="14"/>
      <c r="C17" s="14"/>
      <c r="D17" s="14"/>
      <c r="E17" s="13">
        <f>F17+G17+H17</f>
        <v>838.75</v>
      </c>
      <c r="F17" s="13">
        <f>F18</f>
        <v>838.75</v>
      </c>
      <c r="G17" s="13">
        <f>G18</f>
        <v>0</v>
      </c>
      <c r="H17" s="13">
        <f>H18</f>
        <v>0</v>
      </c>
    </row>
    <row r="18" spans="1:10" s="10" customFormat="1" ht="53.25" customHeight="1" x14ac:dyDescent="0.2">
      <c r="A18" s="51"/>
      <c r="B18" s="11" t="s">
        <v>79</v>
      </c>
      <c r="C18" s="38" t="s">
        <v>59</v>
      </c>
      <c r="D18" s="38" t="s">
        <v>7</v>
      </c>
      <c r="E18" s="12">
        <f>F18+G18+H18</f>
        <v>838.75</v>
      </c>
      <c r="F18" s="12">
        <f>807.034+31.716</f>
        <v>838.75</v>
      </c>
      <c r="G18" s="12">
        <v>0</v>
      </c>
      <c r="H18" s="12">
        <v>0</v>
      </c>
    </row>
    <row r="19" spans="1:10" s="10" customFormat="1" x14ac:dyDescent="0.2">
      <c r="A19" s="41" t="s">
        <v>35</v>
      </c>
      <c r="B19" s="42"/>
      <c r="C19" s="42"/>
      <c r="D19" s="42"/>
      <c r="E19" s="42"/>
      <c r="F19" s="42"/>
      <c r="G19" s="42"/>
      <c r="H19" s="43"/>
    </row>
    <row r="20" spans="1:10" s="10" customFormat="1" ht="12.75" customHeight="1" x14ac:dyDescent="0.2">
      <c r="A20" s="46" t="s">
        <v>36</v>
      </c>
      <c r="B20" s="35"/>
      <c r="C20" s="44" t="s">
        <v>59</v>
      </c>
      <c r="D20" s="44" t="s">
        <v>7</v>
      </c>
      <c r="E20" s="18">
        <f>F20+G20+H20</f>
        <v>343350.22100566002</v>
      </c>
      <c r="F20" s="18">
        <f>SUM(F21:F21)+F23</f>
        <v>108488.28100000002</v>
      </c>
      <c r="G20" s="18">
        <f t="shared" ref="G20:H20" si="0">SUM(G21:G21)+G23</f>
        <v>114455.136455</v>
      </c>
      <c r="H20" s="18">
        <f t="shared" si="0"/>
        <v>120406.80355066001</v>
      </c>
    </row>
    <row r="21" spans="1:10" s="10" customFormat="1" ht="27.75" customHeight="1" x14ac:dyDescent="0.2">
      <c r="A21" s="47"/>
      <c r="B21" s="36" t="s">
        <v>39</v>
      </c>
      <c r="C21" s="45"/>
      <c r="D21" s="45"/>
      <c r="E21" s="19">
        <f>F21+G21+H21</f>
        <v>255915.31423056003</v>
      </c>
      <c r="F21" s="19">
        <f>103430.612-600+600+31.462-755.479-122.344-7224.348+602.089-1612.519+135.799+737.426+4.262-0.404-209.076-2450+11896.717+135.42-309.068+1093.644-2200.481+3037.278+251.209+2600+121.965-793.553-388.092-1100+9728.768-2719.492-5719.334-22564.217-127.185-4649.563</f>
        <v>80861.496000000014</v>
      </c>
      <c r="G21" s="19">
        <f>F21*1.055</f>
        <v>85308.878280000004</v>
      </c>
      <c r="H21" s="19">
        <f>G21*1.052</f>
        <v>89744.939950560016</v>
      </c>
    </row>
    <row r="22" spans="1:10" s="15" customFormat="1" ht="63.75" x14ac:dyDescent="0.2">
      <c r="A22" s="47"/>
      <c r="B22" s="20" t="s">
        <v>108</v>
      </c>
      <c r="C22" s="45"/>
      <c r="D22" s="45"/>
      <c r="E22" s="21">
        <f>F22+G22+H22</f>
        <v>2211.9079999999999</v>
      </c>
      <c r="F22" s="21">
        <f>2600-388.092</f>
        <v>2211.9079999999999</v>
      </c>
      <c r="G22" s="21"/>
      <c r="H22" s="21"/>
    </row>
    <row r="23" spans="1:10" s="10" customFormat="1" ht="51" x14ac:dyDescent="0.2">
      <c r="A23" s="47"/>
      <c r="B23" s="36" t="s">
        <v>56</v>
      </c>
      <c r="C23" s="45"/>
      <c r="D23" s="45"/>
      <c r="E23" s="19">
        <f>F23+G23+H23</f>
        <v>87434.906775099997</v>
      </c>
      <c r="F23" s="19">
        <f>F24+F26+F27+F28</f>
        <v>27626.785</v>
      </c>
      <c r="G23" s="19">
        <f>F23*1.055</f>
        <v>29146.258174999999</v>
      </c>
      <c r="H23" s="19">
        <f>G23*1.052</f>
        <v>30661.863600100001</v>
      </c>
      <c r="I23" s="17"/>
    </row>
    <row r="24" spans="1:10" s="10" customFormat="1" ht="117" customHeight="1" x14ac:dyDescent="0.2">
      <c r="A24" s="47"/>
      <c r="B24" s="20" t="s">
        <v>120</v>
      </c>
      <c r="C24" s="45"/>
      <c r="D24" s="45"/>
      <c r="E24" s="21">
        <f>F24+G24+H24</f>
        <v>71161.301095479997</v>
      </c>
      <c r="F24" s="21">
        <f>10000+3849.167+3510+5125.651</f>
        <v>22484.817999999999</v>
      </c>
      <c r="G24" s="19">
        <f>F24*1.055</f>
        <v>23721.482989999997</v>
      </c>
      <c r="H24" s="19">
        <f>G24*1.052</f>
        <v>24955.000105479998</v>
      </c>
      <c r="J24" s="17"/>
    </row>
    <row r="25" spans="1:10" s="10" customFormat="1" ht="69" customHeight="1" x14ac:dyDescent="0.2">
      <c r="A25" s="32"/>
      <c r="B25" s="20" t="s">
        <v>108</v>
      </c>
      <c r="C25" s="33"/>
      <c r="D25" s="33"/>
      <c r="E25" s="21"/>
      <c r="F25" s="21">
        <f>3136</f>
        <v>3136</v>
      </c>
      <c r="G25" s="19"/>
      <c r="H25" s="19"/>
    </row>
    <row r="26" spans="1:10" s="10" customFormat="1" ht="38.25" x14ac:dyDescent="0.2">
      <c r="A26" s="32"/>
      <c r="B26" s="20" t="s">
        <v>81</v>
      </c>
      <c r="C26" s="33"/>
      <c r="D26" s="33"/>
      <c r="E26" s="21">
        <f>F26+G26+H26</f>
        <v>8228.5821973800012</v>
      </c>
      <c r="F26" s="21">
        <f>2600-0.017</f>
        <v>2599.9830000000002</v>
      </c>
      <c r="G26" s="19">
        <f>F26*1.055</f>
        <v>2742.9820650000001</v>
      </c>
      <c r="H26" s="19">
        <f>G26*1.052</f>
        <v>2885.6171323800004</v>
      </c>
    </row>
    <row r="27" spans="1:10" s="10" customFormat="1" x14ac:dyDescent="0.2">
      <c r="A27" s="32"/>
      <c r="B27" s="20" t="s">
        <v>82</v>
      </c>
      <c r="C27" s="33"/>
      <c r="D27" s="33"/>
      <c r="E27" s="21">
        <f t="shared" ref="E27:E28" si="1">F27+G27+H27</f>
        <v>764.32634943999983</v>
      </c>
      <c r="F27" s="21">
        <f>254.762+440-440-9.55-3.708</f>
        <v>241.50399999999993</v>
      </c>
      <c r="G27" s="19">
        <f t="shared" ref="G27:G28" si="2">F27*1.055</f>
        <v>254.78671999999992</v>
      </c>
      <c r="H27" s="19">
        <f t="shared" ref="H27:H28" si="3">G27*1.052</f>
        <v>268.03562943999992</v>
      </c>
    </row>
    <row r="28" spans="1:10" s="10" customFormat="1" ht="25.5" x14ac:dyDescent="0.2">
      <c r="A28" s="32"/>
      <c r="B28" s="20" t="s">
        <v>83</v>
      </c>
      <c r="C28" s="33"/>
      <c r="D28" s="33"/>
      <c r="E28" s="21">
        <f t="shared" si="1"/>
        <v>7280.6971327999981</v>
      </c>
      <c r="F28" s="21">
        <f>1298.604+2206.72-108.604-1096.24</f>
        <v>2300.4799999999996</v>
      </c>
      <c r="G28" s="19">
        <f t="shared" si="2"/>
        <v>2427.0063999999993</v>
      </c>
      <c r="H28" s="19">
        <f t="shared" si="3"/>
        <v>2553.2107327999993</v>
      </c>
    </row>
    <row r="29" spans="1:10" s="1" customFormat="1" x14ac:dyDescent="0.2">
      <c r="A29" s="48" t="s">
        <v>60</v>
      </c>
      <c r="B29" s="48"/>
      <c r="C29" s="48"/>
      <c r="D29" s="48"/>
      <c r="E29" s="48"/>
      <c r="F29" s="48"/>
      <c r="G29" s="48"/>
      <c r="H29" s="48"/>
    </row>
    <row r="30" spans="1:10" s="1" customFormat="1" ht="12.75" customHeight="1" x14ac:dyDescent="0.2">
      <c r="A30" s="46" t="s">
        <v>16</v>
      </c>
      <c r="B30" s="35"/>
      <c r="C30" s="44" t="s">
        <v>59</v>
      </c>
      <c r="D30" s="44" t="s">
        <v>7</v>
      </c>
      <c r="E30" s="18">
        <f>F30+G30+H30</f>
        <v>450882.00776992005</v>
      </c>
      <c r="F30" s="18">
        <f>SUM(F31:F44)-F32</f>
        <v>142465.07200000001</v>
      </c>
      <c r="G30" s="18">
        <f t="shared" ref="G30:H30" si="4">SUM(G31:G44)-G32</f>
        <v>150300.65096000003</v>
      </c>
      <c r="H30" s="18">
        <f t="shared" si="4"/>
        <v>158116.28480991998</v>
      </c>
    </row>
    <row r="31" spans="1:10" ht="12.75" customHeight="1" x14ac:dyDescent="0.2">
      <c r="A31" s="47"/>
      <c r="B31" s="36" t="s">
        <v>61</v>
      </c>
      <c r="C31" s="45"/>
      <c r="D31" s="45"/>
      <c r="E31" s="19">
        <f t="shared" ref="E31:E56" si="5">F31+G31+H31</f>
        <v>302927.81888149999</v>
      </c>
      <c r="F31" s="19">
        <f>69700+30016.025-4000</f>
        <v>95716.024999999994</v>
      </c>
      <c r="G31" s="19">
        <f>F31*1.055</f>
        <v>100980.40637499999</v>
      </c>
      <c r="H31" s="19">
        <f>G31*1.052</f>
        <v>106231.38750649999</v>
      </c>
    </row>
    <row r="32" spans="1:10" s="8" customFormat="1" ht="42.75" hidden="1" customHeight="1" x14ac:dyDescent="0.2">
      <c r="A32" s="47"/>
      <c r="B32" s="20" t="s">
        <v>57</v>
      </c>
      <c r="C32" s="45"/>
      <c r="D32" s="45"/>
      <c r="E32" s="21">
        <f t="shared" si="5"/>
        <v>0</v>
      </c>
      <c r="F32" s="21">
        <v>0</v>
      </c>
      <c r="G32" s="21">
        <f>F32*1.055</f>
        <v>0</v>
      </c>
      <c r="H32" s="21">
        <f>G32*1.052</f>
        <v>0</v>
      </c>
    </row>
    <row r="33" spans="1:8" s="8" customFormat="1" x14ac:dyDescent="0.2">
      <c r="A33" s="47"/>
      <c r="B33" s="36" t="s">
        <v>53</v>
      </c>
      <c r="C33" s="45"/>
      <c r="D33" s="45"/>
      <c r="E33" s="19">
        <f t="shared" si="5"/>
        <v>3164.86</v>
      </c>
      <c r="F33" s="19">
        <f>1000</f>
        <v>1000</v>
      </c>
      <c r="G33" s="19">
        <f>F33*1.055</f>
        <v>1055</v>
      </c>
      <c r="H33" s="19">
        <f>G33*1.052</f>
        <v>1109.8600000000001</v>
      </c>
    </row>
    <row r="34" spans="1:8" s="8" customFormat="1" ht="25.5" x14ac:dyDescent="0.2">
      <c r="A34" s="47"/>
      <c r="B34" s="36" t="s">
        <v>71</v>
      </c>
      <c r="C34" s="45"/>
      <c r="D34" s="45"/>
      <c r="E34" s="19">
        <f>F34+G34+H34</f>
        <v>3382.9979755000004</v>
      </c>
      <c r="F34" s="19">
        <f>1202.458-133.533</f>
        <v>1068.9250000000002</v>
      </c>
      <c r="G34" s="19">
        <f>F34*1.055</f>
        <v>1127.7158750000001</v>
      </c>
      <c r="H34" s="19">
        <f>G34*1.052</f>
        <v>1186.3571005000001</v>
      </c>
    </row>
    <row r="35" spans="1:8" ht="25.5" x14ac:dyDescent="0.2">
      <c r="A35" s="47"/>
      <c r="B35" s="22" t="s">
        <v>43</v>
      </c>
      <c r="C35" s="45"/>
      <c r="D35" s="45"/>
      <c r="E35" s="19">
        <f t="shared" si="5"/>
        <v>28013.229758379999</v>
      </c>
      <c r="F35" s="19">
        <f>9162.333-311</f>
        <v>8851.3330000000005</v>
      </c>
      <c r="G35" s="19">
        <f t="shared" ref="G35:G44" si="6">F35*1.055</f>
        <v>9338.1563150000002</v>
      </c>
      <c r="H35" s="19">
        <f t="shared" ref="H35:H44" si="7">G35*1.052</f>
        <v>9823.7404433800002</v>
      </c>
    </row>
    <row r="36" spans="1:8" ht="25.5" x14ac:dyDescent="0.2">
      <c r="A36" s="47"/>
      <c r="B36" s="22" t="s">
        <v>84</v>
      </c>
      <c r="C36" s="45"/>
      <c r="D36" s="45"/>
      <c r="E36" s="19">
        <f t="shared" si="5"/>
        <v>81184.513991</v>
      </c>
      <c r="F36" s="19">
        <f>16949.459+5338.621+3500-136.23</f>
        <v>25651.85</v>
      </c>
      <c r="G36" s="19">
        <f t="shared" si="6"/>
        <v>27062.701749999997</v>
      </c>
      <c r="H36" s="19">
        <f t="shared" si="7"/>
        <v>28469.962240999997</v>
      </c>
    </row>
    <row r="37" spans="1:8" x14ac:dyDescent="0.2">
      <c r="A37" s="47"/>
      <c r="B37" s="22" t="s">
        <v>14</v>
      </c>
      <c r="C37" s="45"/>
      <c r="D37" s="45"/>
      <c r="E37" s="19">
        <f t="shared" si="5"/>
        <v>8108.7004654399989</v>
      </c>
      <c r="F37" s="19">
        <f>1820.022+656.65+85.432</f>
        <v>2562.1039999999998</v>
      </c>
      <c r="G37" s="19">
        <f t="shared" si="6"/>
        <v>2703.0197199999998</v>
      </c>
      <c r="H37" s="19">
        <f t="shared" si="7"/>
        <v>2843.5767454399997</v>
      </c>
    </row>
    <row r="38" spans="1:8" x14ac:dyDescent="0.2">
      <c r="A38" s="47"/>
      <c r="B38" s="22" t="s">
        <v>15</v>
      </c>
      <c r="C38" s="45"/>
      <c r="D38" s="45"/>
      <c r="E38" s="19">
        <f t="shared" si="5"/>
        <v>2621.0990736799999</v>
      </c>
      <c r="F38" s="19">
        <f>828.188</f>
        <v>828.18799999999999</v>
      </c>
      <c r="G38" s="19">
        <f t="shared" si="6"/>
        <v>873.73833999999988</v>
      </c>
      <c r="H38" s="19">
        <f t="shared" si="7"/>
        <v>919.17273367999996</v>
      </c>
    </row>
    <row r="39" spans="1:8" ht="30" customHeight="1" x14ac:dyDescent="0.2">
      <c r="A39" s="47"/>
      <c r="B39" s="22" t="s">
        <v>94</v>
      </c>
      <c r="C39" s="45"/>
      <c r="D39" s="45"/>
      <c r="E39" s="19">
        <f t="shared" si="5"/>
        <v>260.8161126</v>
      </c>
      <c r="F39" s="19">
        <v>82.41</v>
      </c>
      <c r="G39" s="19">
        <f t="shared" si="6"/>
        <v>86.942549999999997</v>
      </c>
      <c r="H39" s="19">
        <f t="shared" si="7"/>
        <v>91.463562600000003</v>
      </c>
    </row>
    <row r="40" spans="1:8" ht="25.5" x14ac:dyDescent="0.2">
      <c r="A40" s="47"/>
      <c r="B40" s="22" t="s">
        <v>88</v>
      </c>
      <c r="C40" s="45"/>
      <c r="D40" s="45"/>
      <c r="E40" s="19">
        <f t="shared" si="5"/>
        <v>75.557867639999998</v>
      </c>
      <c r="F40" s="19">
        <v>23.873999999999999</v>
      </c>
      <c r="G40" s="19">
        <f t="shared" ref="G40" si="8">F40*1.055</f>
        <v>25.187069999999999</v>
      </c>
      <c r="H40" s="19">
        <f t="shared" ref="H40" si="9">G40*1.052</f>
        <v>26.49679764</v>
      </c>
    </row>
    <row r="41" spans="1:8" x14ac:dyDescent="0.2">
      <c r="A41" s="47"/>
      <c r="B41" s="22" t="s">
        <v>10</v>
      </c>
      <c r="C41" s="45"/>
      <c r="D41" s="45"/>
      <c r="E41" s="19">
        <f t="shared" si="5"/>
        <v>1788.3421213199999</v>
      </c>
      <c r="F41" s="19">
        <f>565.062</f>
        <v>565.06200000000001</v>
      </c>
      <c r="G41" s="19">
        <f t="shared" si="6"/>
        <v>596.14040999999997</v>
      </c>
      <c r="H41" s="19">
        <f t="shared" si="7"/>
        <v>627.13971131999995</v>
      </c>
    </row>
    <row r="42" spans="1:8" ht="25.5" x14ac:dyDescent="0.2">
      <c r="A42" s="47"/>
      <c r="B42" s="22" t="s">
        <v>67</v>
      </c>
      <c r="C42" s="45"/>
      <c r="D42" s="45"/>
      <c r="E42" s="19">
        <f t="shared" si="5"/>
        <v>1336.2988378</v>
      </c>
      <c r="F42" s="19">
        <v>422.23</v>
      </c>
      <c r="G42" s="19">
        <f t="shared" si="6"/>
        <v>445.45265000000001</v>
      </c>
      <c r="H42" s="19">
        <f t="shared" si="7"/>
        <v>468.61618780000003</v>
      </c>
    </row>
    <row r="43" spans="1:8" ht="25.5" x14ac:dyDescent="0.2">
      <c r="A43" s="47"/>
      <c r="B43" s="22" t="s">
        <v>55</v>
      </c>
      <c r="C43" s="45"/>
      <c r="D43" s="45"/>
      <c r="E43" s="19">
        <f t="shared" si="5"/>
        <v>1215.464483</v>
      </c>
      <c r="F43" s="19">
        <f>384.05</f>
        <v>384.05</v>
      </c>
      <c r="G43" s="19">
        <f t="shared" si="6"/>
        <v>405.17275000000001</v>
      </c>
      <c r="H43" s="19">
        <f t="shared" si="7"/>
        <v>426.24173300000001</v>
      </c>
    </row>
    <row r="44" spans="1:8" x14ac:dyDescent="0.2">
      <c r="A44" s="47"/>
      <c r="B44" s="22" t="s">
        <v>28</v>
      </c>
      <c r="C44" s="45"/>
      <c r="D44" s="45"/>
      <c r="E44" s="19">
        <f>F44+G44+H44</f>
        <v>16802.308202059998</v>
      </c>
      <c r="F44" s="19">
        <f>3500+2457.328-413.375-234.932</f>
        <v>5309.0209999999997</v>
      </c>
      <c r="G44" s="19">
        <f t="shared" si="6"/>
        <v>5601.0171549999995</v>
      </c>
      <c r="H44" s="19">
        <f t="shared" si="7"/>
        <v>5892.2700470599993</v>
      </c>
    </row>
    <row r="45" spans="1:8" ht="12.75" customHeight="1" x14ac:dyDescent="0.2">
      <c r="A45" s="46" t="s">
        <v>17</v>
      </c>
      <c r="B45" s="22"/>
      <c r="C45" s="44" t="s">
        <v>59</v>
      </c>
      <c r="D45" s="44" t="s">
        <v>7</v>
      </c>
      <c r="E45" s="18">
        <f t="shared" si="5"/>
        <v>100576.27583159998</v>
      </c>
      <c r="F45" s="18">
        <f>SUM(F46:F51)</f>
        <v>31779.059999999998</v>
      </c>
      <c r="G45" s="18">
        <f>SUM(G46:G51)</f>
        <v>33526.908299999996</v>
      </c>
      <c r="H45" s="18">
        <f>SUM(H46:H51)</f>
        <v>35270.307531599989</v>
      </c>
    </row>
    <row r="46" spans="1:8" x14ac:dyDescent="0.2">
      <c r="A46" s="47"/>
      <c r="B46" s="22" t="s">
        <v>40</v>
      </c>
      <c r="C46" s="45"/>
      <c r="D46" s="45"/>
      <c r="E46" s="19">
        <f t="shared" si="5"/>
        <v>89789.347404619984</v>
      </c>
      <c r="F46" s="19">
        <f>19230.872+10442.923-553.233-749.845</f>
        <v>28370.716999999997</v>
      </c>
      <c r="G46" s="19">
        <f>F46*1.055</f>
        <v>29931.106434999994</v>
      </c>
      <c r="H46" s="19">
        <f>G46*1.052</f>
        <v>31487.523969619997</v>
      </c>
    </row>
    <row r="47" spans="1:8" ht="38.25" x14ac:dyDescent="0.2">
      <c r="A47" s="47"/>
      <c r="B47" s="22" t="s">
        <v>106</v>
      </c>
      <c r="C47" s="45"/>
      <c r="D47" s="45"/>
      <c r="E47" s="19">
        <f t="shared" si="5"/>
        <v>1750.9049923799998</v>
      </c>
      <c r="F47" s="19">
        <f>553.233</f>
        <v>553.23299999999995</v>
      </c>
      <c r="G47" s="19">
        <f>F47*1.055</f>
        <v>583.66081499999996</v>
      </c>
      <c r="H47" s="19">
        <f>G47*1.052</f>
        <v>614.01117737999994</v>
      </c>
    </row>
    <row r="48" spans="1:8" ht="25.5" x14ac:dyDescent="0.2">
      <c r="A48" s="47"/>
      <c r="B48" s="36" t="s">
        <v>9</v>
      </c>
      <c r="C48" s="45"/>
      <c r="D48" s="45"/>
      <c r="E48" s="19">
        <f t="shared" si="5"/>
        <v>4340.4377524199999</v>
      </c>
      <c r="F48" s="19">
        <f>1824.7-453.253</f>
        <v>1371.4470000000001</v>
      </c>
      <c r="G48" s="19">
        <f t="shared" ref="G48:G91" si="10">F48*1.055</f>
        <v>1446.876585</v>
      </c>
      <c r="H48" s="19">
        <f t="shared" ref="H48:H87" si="11">G48*1.052</f>
        <v>1522.1141674200001</v>
      </c>
    </row>
    <row r="49" spans="1:8" x14ac:dyDescent="0.2">
      <c r="A49" s="47"/>
      <c r="B49" s="22" t="s">
        <v>18</v>
      </c>
      <c r="C49" s="45"/>
      <c r="D49" s="45"/>
      <c r="E49" s="19">
        <f t="shared" si="5"/>
        <v>766.69049986000005</v>
      </c>
      <c r="F49" s="19">
        <v>242.251</v>
      </c>
      <c r="G49" s="19">
        <f t="shared" si="10"/>
        <v>255.574805</v>
      </c>
      <c r="H49" s="19">
        <f t="shared" si="11"/>
        <v>268.86469485999999</v>
      </c>
    </row>
    <row r="50" spans="1:8" x14ac:dyDescent="0.2">
      <c r="A50" s="47"/>
      <c r="B50" s="22" t="s">
        <v>19</v>
      </c>
      <c r="C50" s="45"/>
      <c r="D50" s="45"/>
      <c r="E50" s="19">
        <f t="shared" si="5"/>
        <v>395.37963007999997</v>
      </c>
      <c r="F50" s="19">
        <v>124.928</v>
      </c>
      <c r="G50" s="19">
        <f t="shared" si="10"/>
        <v>131.79903999999999</v>
      </c>
      <c r="H50" s="19">
        <f t="shared" si="11"/>
        <v>138.65259008000001</v>
      </c>
    </row>
    <row r="51" spans="1:8" x14ac:dyDescent="0.2">
      <c r="A51" s="47"/>
      <c r="B51" s="22" t="s">
        <v>20</v>
      </c>
      <c r="C51" s="45"/>
      <c r="D51" s="45"/>
      <c r="E51" s="19">
        <f t="shared" si="5"/>
        <v>3533.5155522399996</v>
      </c>
      <c r="F51" s="19">
        <f>1372.213-255.729</f>
        <v>1116.4839999999999</v>
      </c>
      <c r="G51" s="19">
        <f t="shared" si="10"/>
        <v>1177.8906199999999</v>
      </c>
      <c r="H51" s="19">
        <f t="shared" si="11"/>
        <v>1239.14093224</v>
      </c>
    </row>
    <row r="52" spans="1:8" ht="12.75" customHeight="1" x14ac:dyDescent="0.2">
      <c r="A52" s="46" t="s">
        <v>21</v>
      </c>
      <c r="B52" s="22"/>
      <c r="C52" s="44" t="s">
        <v>59</v>
      </c>
      <c r="D52" s="44" t="s">
        <v>7</v>
      </c>
      <c r="E52" s="18">
        <f t="shared" si="5"/>
        <v>366.10467507999999</v>
      </c>
      <c r="F52" s="18">
        <f>SUM(F53:F56)</f>
        <v>115.678</v>
      </c>
      <c r="G52" s="18">
        <f t="shared" ref="G52:H52" si="12">SUM(G53:G56)</f>
        <v>122.04029</v>
      </c>
      <c r="H52" s="18">
        <f t="shared" si="12"/>
        <v>128.38638508</v>
      </c>
    </row>
    <row r="53" spans="1:8" ht="25.5" x14ac:dyDescent="0.2">
      <c r="A53" s="47"/>
      <c r="B53" s="22" t="s">
        <v>22</v>
      </c>
      <c r="C53" s="45"/>
      <c r="D53" s="45"/>
      <c r="E53" s="19">
        <f t="shared" si="5"/>
        <v>27.714679019999998</v>
      </c>
      <c r="F53" s="19">
        <f>18.838-10.081</f>
        <v>8.7570000000000014</v>
      </c>
      <c r="G53" s="19">
        <f t="shared" si="10"/>
        <v>9.2386350000000004</v>
      </c>
      <c r="H53" s="19">
        <f t="shared" si="11"/>
        <v>9.7190440200000001</v>
      </c>
    </row>
    <row r="54" spans="1:8" ht="25.5" x14ac:dyDescent="0.2">
      <c r="A54" s="47"/>
      <c r="B54" s="22" t="s">
        <v>23</v>
      </c>
      <c r="C54" s="45"/>
      <c r="D54" s="45"/>
      <c r="E54" s="19">
        <f t="shared" si="5"/>
        <v>82.849705079999993</v>
      </c>
      <c r="F54" s="19">
        <v>26.178000000000001</v>
      </c>
      <c r="G54" s="19">
        <f t="shared" si="10"/>
        <v>27.617789999999999</v>
      </c>
      <c r="H54" s="19">
        <f t="shared" si="11"/>
        <v>29.053915079999999</v>
      </c>
    </row>
    <row r="55" spans="1:8" ht="25.5" x14ac:dyDescent="0.2">
      <c r="A55" s="47"/>
      <c r="B55" s="22" t="s">
        <v>24</v>
      </c>
      <c r="C55" s="45"/>
      <c r="D55" s="45"/>
      <c r="E55" s="19">
        <f t="shared" si="5"/>
        <v>171.34235553999997</v>
      </c>
      <c r="F55" s="19">
        <f>114.246-31.455-28.652</f>
        <v>54.138999999999996</v>
      </c>
      <c r="G55" s="19">
        <f t="shared" si="10"/>
        <v>57.116644999999991</v>
      </c>
      <c r="H55" s="19">
        <f t="shared" si="11"/>
        <v>60.086710539999991</v>
      </c>
    </row>
    <row r="56" spans="1:8" ht="38.25" x14ac:dyDescent="0.2">
      <c r="A56" s="47"/>
      <c r="B56" s="22" t="s">
        <v>69</v>
      </c>
      <c r="C56" s="45"/>
      <c r="D56" s="45"/>
      <c r="E56" s="19">
        <f t="shared" si="5"/>
        <v>84.197935439999995</v>
      </c>
      <c r="F56" s="19">
        <f>116.603-43.3-46.699</f>
        <v>26.603999999999999</v>
      </c>
      <c r="G56" s="19">
        <f t="shared" si="10"/>
        <v>28.067219999999999</v>
      </c>
      <c r="H56" s="19">
        <f t="shared" si="11"/>
        <v>29.52671544</v>
      </c>
    </row>
    <row r="57" spans="1:8" ht="12.75" customHeight="1" x14ac:dyDescent="0.2">
      <c r="A57" s="46" t="s">
        <v>25</v>
      </c>
      <c r="B57" s="22"/>
      <c r="C57" s="44" t="s">
        <v>59</v>
      </c>
      <c r="D57" s="44" t="s">
        <v>7</v>
      </c>
      <c r="E57" s="18">
        <f t="shared" ref="E57:E85" si="13">F57+G57+H57</f>
        <v>990234.95506023988</v>
      </c>
      <c r="F57" s="18">
        <f>SUM(F58:F74)</f>
        <v>312884.28399999987</v>
      </c>
      <c r="G57" s="18">
        <f>SUM(G58:G74)</f>
        <v>330092.91961999988</v>
      </c>
      <c r="H57" s="18">
        <f>SUM(H58:H74)</f>
        <v>347257.75144024001</v>
      </c>
    </row>
    <row r="58" spans="1:8" x14ac:dyDescent="0.2">
      <c r="A58" s="47"/>
      <c r="B58" s="22" t="s">
        <v>41</v>
      </c>
      <c r="C58" s="45"/>
      <c r="D58" s="45"/>
      <c r="E58" s="19">
        <f t="shared" si="13"/>
        <v>674035.09005283983</v>
      </c>
      <c r="F58" s="19">
        <f>160484.411-771.7+88733.852-799.565-19103.23-15300-269.074</f>
        <v>212974.69399999996</v>
      </c>
      <c r="G58" s="19">
        <f t="shared" si="10"/>
        <v>224688.30216999995</v>
      </c>
      <c r="H58" s="19">
        <f t="shared" si="11"/>
        <v>236372.09388283995</v>
      </c>
    </row>
    <row r="59" spans="1:8" x14ac:dyDescent="0.2">
      <c r="A59" s="47"/>
      <c r="B59" s="22" t="s">
        <v>58</v>
      </c>
      <c r="C59" s="45"/>
      <c r="D59" s="45"/>
      <c r="E59" s="19">
        <f t="shared" si="13"/>
        <v>65401.534403159996</v>
      </c>
      <c r="F59" s="19">
        <f>22233.481-68.575-1500</f>
        <v>20664.905999999999</v>
      </c>
      <c r="G59" s="19">
        <f t="shared" si="10"/>
        <v>21801.475829999999</v>
      </c>
      <c r="H59" s="19">
        <f t="shared" si="11"/>
        <v>22935.152573160001</v>
      </c>
    </row>
    <row r="60" spans="1:8" ht="25.5" x14ac:dyDescent="0.2">
      <c r="A60" s="47"/>
      <c r="B60" s="22" t="s">
        <v>52</v>
      </c>
      <c r="C60" s="45"/>
      <c r="D60" s="45"/>
      <c r="E60" s="19">
        <f t="shared" si="13"/>
        <v>40679.300140079999</v>
      </c>
      <c r="F60" s="19">
        <f>14925.276-62.104+98-2376.818+269.074</f>
        <v>12853.428</v>
      </c>
      <c r="G60" s="19">
        <f t="shared" si="10"/>
        <v>13560.366539999999</v>
      </c>
      <c r="H60" s="19">
        <f t="shared" si="11"/>
        <v>14265.50560008</v>
      </c>
    </row>
    <row r="61" spans="1:8" ht="25.5" x14ac:dyDescent="0.2">
      <c r="A61" s="47"/>
      <c r="B61" s="22" t="s">
        <v>42</v>
      </c>
      <c r="C61" s="45"/>
      <c r="D61" s="45"/>
      <c r="E61" s="19">
        <f t="shared" si="13"/>
        <v>2188.21901746</v>
      </c>
      <c r="F61" s="19">
        <f>631.411+85-25</f>
        <v>691.41099999999994</v>
      </c>
      <c r="G61" s="19">
        <f t="shared" si="10"/>
        <v>729.43860499999994</v>
      </c>
      <c r="H61" s="19">
        <f t="shared" si="11"/>
        <v>767.36941245999992</v>
      </c>
    </row>
    <row r="62" spans="1:8" ht="18" customHeight="1" x14ac:dyDescent="0.2">
      <c r="A62" s="47"/>
      <c r="B62" s="22" t="s">
        <v>8</v>
      </c>
      <c r="C62" s="45"/>
      <c r="D62" s="45"/>
      <c r="E62" s="19">
        <f t="shared" si="13"/>
        <v>13694.89041106</v>
      </c>
      <c r="F62" s="19">
        <f>3090.22+1236.951</f>
        <v>4327.1710000000003</v>
      </c>
      <c r="G62" s="19">
        <f t="shared" si="10"/>
        <v>4565.1654049999997</v>
      </c>
      <c r="H62" s="19">
        <f t="shared" si="11"/>
        <v>4802.5540060599997</v>
      </c>
    </row>
    <row r="63" spans="1:8" ht="38.25" x14ac:dyDescent="0.2">
      <c r="A63" s="47"/>
      <c r="B63" s="22" t="s">
        <v>70</v>
      </c>
      <c r="C63" s="45"/>
      <c r="D63" s="45"/>
      <c r="E63" s="19">
        <f>F63+G63+H63</f>
        <v>779.63477725999996</v>
      </c>
      <c r="F63" s="19">
        <v>246.34100000000001</v>
      </c>
      <c r="G63" s="19">
        <f t="shared" si="10"/>
        <v>259.88975499999998</v>
      </c>
      <c r="H63" s="19">
        <f t="shared" si="11"/>
        <v>273.40402225999998</v>
      </c>
    </row>
    <row r="64" spans="1:8" ht="25.5" x14ac:dyDescent="0.2">
      <c r="A64" s="47"/>
      <c r="B64" s="22" t="s">
        <v>102</v>
      </c>
      <c r="C64" s="45"/>
      <c r="D64" s="45"/>
      <c r="E64" s="19">
        <f>F64+G64+H64</f>
        <v>569.6748</v>
      </c>
      <c r="F64" s="19">
        <f>90+90</f>
        <v>180</v>
      </c>
      <c r="G64" s="19">
        <f t="shared" ref="G64" si="14">F64*1.055</f>
        <v>189.89999999999998</v>
      </c>
      <c r="H64" s="19">
        <f t="shared" ref="H64" si="15">G64*1.052</f>
        <v>199.7748</v>
      </c>
    </row>
    <row r="65" spans="1:8" ht="25.5" x14ac:dyDescent="0.2">
      <c r="A65" s="47"/>
      <c r="B65" s="22" t="s">
        <v>114</v>
      </c>
      <c r="C65" s="45"/>
      <c r="D65" s="45"/>
      <c r="E65" s="19">
        <f>F65+G65+H65</f>
        <v>85.10941511999998</v>
      </c>
      <c r="F65" s="19">
        <f>258.7-231.808</f>
        <v>26.891999999999996</v>
      </c>
      <c r="G65" s="19">
        <f t="shared" ref="G65" si="16">F65*1.055</f>
        <v>28.371059999999993</v>
      </c>
      <c r="H65" s="19">
        <f t="shared" ref="H65" si="17">G65*1.052</f>
        <v>29.846355119999995</v>
      </c>
    </row>
    <row r="66" spans="1:8" ht="25.5" x14ac:dyDescent="0.2">
      <c r="A66" s="47"/>
      <c r="B66" s="22" t="s">
        <v>112</v>
      </c>
      <c r="C66" s="45"/>
      <c r="D66" s="45"/>
      <c r="E66" s="19">
        <f>F66+G66+H66</f>
        <v>466.25666978000004</v>
      </c>
      <c r="F66" s="19">
        <v>147.32300000000001</v>
      </c>
      <c r="G66" s="19">
        <f t="shared" ref="G66" si="18">F66*1.055</f>
        <v>155.42576500000001</v>
      </c>
      <c r="H66" s="19">
        <f t="shared" ref="H66" si="19">G66*1.052</f>
        <v>163.50790478000002</v>
      </c>
    </row>
    <row r="67" spans="1:8" ht="15.75" customHeight="1" x14ac:dyDescent="0.2">
      <c r="A67" s="47"/>
      <c r="B67" s="22" t="s">
        <v>11</v>
      </c>
      <c r="C67" s="45"/>
      <c r="D67" s="45"/>
      <c r="E67" s="19">
        <f>F67+G67+H67</f>
        <v>177537.75888159999</v>
      </c>
      <c r="F67" s="19">
        <f>40000+1659.215+10000+7437.345-3000</f>
        <v>56096.56</v>
      </c>
      <c r="G67" s="19">
        <f t="shared" si="10"/>
        <v>59181.870799999997</v>
      </c>
      <c r="H67" s="19">
        <f t="shared" si="11"/>
        <v>62259.328081599997</v>
      </c>
    </row>
    <row r="68" spans="1:8" ht="25.5" x14ac:dyDescent="0.2">
      <c r="A68" s="47"/>
      <c r="B68" s="22" t="s">
        <v>26</v>
      </c>
      <c r="C68" s="45"/>
      <c r="D68" s="45"/>
      <c r="E68" s="19">
        <f t="shared" si="13"/>
        <v>9981.0379711599981</v>
      </c>
      <c r="F68" s="19">
        <f>2429.872+330.484+393.35</f>
        <v>3153.7059999999997</v>
      </c>
      <c r="G68" s="19">
        <f t="shared" si="10"/>
        <v>3327.1598299999996</v>
      </c>
      <c r="H68" s="19">
        <f t="shared" si="11"/>
        <v>3500.1721411599997</v>
      </c>
    </row>
    <row r="69" spans="1:8" ht="38.25" x14ac:dyDescent="0.2">
      <c r="A69" s="47"/>
      <c r="B69" s="22" t="s">
        <v>68</v>
      </c>
      <c r="C69" s="45"/>
      <c r="D69" s="45"/>
      <c r="E69" s="19">
        <f>F69+G69+H69</f>
        <v>221.5402</v>
      </c>
      <c r="F69" s="19">
        <f>50+20</f>
        <v>70</v>
      </c>
      <c r="G69" s="19">
        <f t="shared" si="10"/>
        <v>73.849999999999994</v>
      </c>
      <c r="H69" s="19">
        <f t="shared" si="11"/>
        <v>77.690200000000004</v>
      </c>
    </row>
    <row r="70" spans="1:8" ht="30.75" customHeight="1" x14ac:dyDescent="0.2">
      <c r="A70" s="47"/>
      <c r="B70" s="22" t="s">
        <v>115</v>
      </c>
      <c r="C70" s="45"/>
      <c r="D70" s="45"/>
      <c r="E70" s="19">
        <f t="shared" ref="E70:E71" si="20">F70+G70+H70</f>
        <v>189.89159999999998</v>
      </c>
      <c r="F70" s="19">
        <v>60</v>
      </c>
      <c r="G70" s="19">
        <f t="shared" ref="G70:G71" si="21">F70*1.055</f>
        <v>63.3</v>
      </c>
      <c r="H70" s="19">
        <f t="shared" ref="H70:H71" si="22">G70*1.052</f>
        <v>66.5916</v>
      </c>
    </row>
    <row r="71" spans="1:8" ht="25.5" hidden="1" x14ac:dyDescent="0.2">
      <c r="A71" s="47"/>
      <c r="B71" s="22" t="s">
        <v>111</v>
      </c>
      <c r="C71" s="45"/>
      <c r="D71" s="45"/>
      <c r="E71" s="19">
        <f t="shared" si="20"/>
        <v>0</v>
      </c>
      <c r="F71" s="19">
        <f>198.592-198.592</f>
        <v>0</v>
      </c>
      <c r="G71" s="19">
        <f t="shared" si="21"/>
        <v>0</v>
      </c>
      <c r="H71" s="19">
        <f t="shared" si="22"/>
        <v>0</v>
      </c>
    </row>
    <row r="72" spans="1:8" x14ac:dyDescent="0.2">
      <c r="A72" s="47"/>
      <c r="B72" s="22" t="s">
        <v>27</v>
      </c>
      <c r="C72" s="45"/>
      <c r="D72" s="45"/>
      <c r="E72" s="19">
        <f t="shared" si="13"/>
        <v>158.24299999999999</v>
      </c>
      <c r="F72" s="19">
        <f>50</f>
        <v>50</v>
      </c>
      <c r="G72" s="19">
        <f t="shared" si="10"/>
        <v>52.75</v>
      </c>
      <c r="H72" s="19">
        <f t="shared" si="11"/>
        <v>55.493000000000002</v>
      </c>
    </row>
    <row r="73" spans="1:8" ht="25.5" x14ac:dyDescent="0.2">
      <c r="A73" s="47"/>
      <c r="B73" s="36" t="s">
        <v>12</v>
      </c>
      <c r="C73" s="45"/>
      <c r="D73" s="45"/>
      <c r="E73" s="19">
        <f t="shared" si="13"/>
        <v>2574.29395914</v>
      </c>
      <c r="F73" s="19">
        <f>2402.408-565-377.809-450-196.2</f>
        <v>813.39899999999989</v>
      </c>
      <c r="G73" s="19">
        <f t="shared" si="10"/>
        <v>858.13594499999988</v>
      </c>
      <c r="H73" s="19">
        <f t="shared" si="11"/>
        <v>902.75901413999986</v>
      </c>
    </row>
    <row r="74" spans="1:8" ht="38.25" x14ac:dyDescent="0.2">
      <c r="A74" s="32"/>
      <c r="B74" s="36" t="s">
        <v>96</v>
      </c>
      <c r="C74" s="33"/>
      <c r="D74" s="33"/>
      <c r="E74" s="19">
        <f t="shared" ref="E74" si="23">F74+G74+H74</f>
        <v>1672.4797615799998</v>
      </c>
      <c r="F74" s="19">
        <v>528.45299999999997</v>
      </c>
      <c r="G74" s="19">
        <f t="shared" ref="G74" si="24">F74*1.055</f>
        <v>557.5179149999999</v>
      </c>
      <c r="H74" s="19">
        <f t="shared" ref="H74" si="25">G74*1.052</f>
        <v>586.50884657999995</v>
      </c>
    </row>
    <row r="75" spans="1:8" x14ac:dyDescent="0.2">
      <c r="A75" s="46" t="s">
        <v>29</v>
      </c>
      <c r="B75" s="36"/>
      <c r="C75" s="33"/>
      <c r="D75" s="33"/>
      <c r="E75" s="18">
        <f t="shared" si="13"/>
        <v>306999.22137990012</v>
      </c>
      <c r="F75" s="18">
        <f>SUM(F76:F91)</f>
        <v>97002.46500000004</v>
      </c>
      <c r="G75" s="18">
        <f>SUM(G76:G91)</f>
        <v>102337.60057500003</v>
      </c>
      <c r="H75" s="18">
        <f>SUM(H76:H91)</f>
        <v>107659.15580490002</v>
      </c>
    </row>
    <row r="76" spans="1:8" ht="38.25" x14ac:dyDescent="0.2">
      <c r="A76" s="47"/>
      <c r="B76" s="22" t="s">
        <v>48</v>
      </c>
      <c r="C76" s="33"/>
      <c r="D76" s="33"/>
      <c r="E76" s="19">
        <f>F76+G76+H76</f>
        <v>113402.63687772</v>
      </c>
      <c r="F76" s="19">
        <f>119946.229-2600-436.885-17813.078-1838.781-200+366.637-19000-3430+1156.971-3667.977-298.475-28608.594-7044.245-700</f>
        <v>35831.802000000003</v>
      </c>
      <c r="G76" s="19">
        <f>F76*1.055</f>
        <v>37802.55111</v>
      </c>
      <c r="H76" s="19">
        <f>G76*1.052</f>
        <v>39768.28376772</v>
      </c>
    </row>
    <row r="77" spans="1:8" ht="25.5" x14ac:dyDescent="0.2">
      <c r="A77" s="47"/>
      <c r="B77" s="22" t="s">
        <v>13</v>
      </c>
      <c r="C77" s="33"/>
      <c r="D77" s="33"/>
      <c r="E77" s="19">
        <f>F77+G77+H77</f>
        <v>166511.08281504005</v>
      </c>
      <c r="F77" s="19">
        <f>64314.562+366.701+15262.874+1838.781-887.891-546.378-1898.696-1564.081-538.431-2887.8-97.912+298.475-11711.649-9336.091</f>
        <v>52612.464000000014</v>
      </c>
      <c r="G77" s="19">
        <f>F77*1.055</f>
        <v>55506.149520000014</v>
      </c>
      <c r="H77" s="19">
        <f>G77*1.052</f>
        <v>58392.46929504002</v>
      </c>
    </row>
    <row r="78" spans="1:8" ht="38.25" x14ac:dyDescent="0.2">
      <c r="A78" s="47"/>
      <c r="B78" s="36" t="s">
        <v>66</v>
      </c>
      <c r="C78" s="33"/>
      <c r="D78" s="33"/>
      <c r="E78" s="19">
        <f>F78+G78+H78</f>
        <v>531.70280972</v>
      </c>
      <c r="F78" s="19">
        <f>225.352-31.462-25.888</f>
        <v>168.00200000000001</v>
      </c>
      <c r="G78" s="19">
        <f>F78*1.055</f>
        <v>177.24211</v>
      </c>
      <c r="H78" s="19">
        <f>G78*1.052</f>
        <v>186.45869972</v>
      </c>
    </row>
    <row r="79" spans="1:8" ht="36" customHeight="1" x14ac:dyDescent="0.2">
      <c r="A79" s="47"/>
      <c r="B79" s="23" t="s">
        <v>93</v>
      </c>
      <c r="C79" s="33"/>
      <c r="D79" s="33"/>
      <c r="E79" s="19">
        <f t="shared" si="13"/>
        <v>1567.4602121999999</v>
      </c>
      <c r="F79" s="19">
        <f>499.993-4.723</f>
        <v>495.27</v>
      </c>
      <c r="G79" s="19">
        <f t="shared" ref="G79" si="26">F79*1.055</f>
        <v>522.50984999999991</v>
      </c>
      <c r="H79" s="19">
        <f t="shared" ref="H79" si="27">G79*1.052</f>
        <v>549.68036219999999</v>
      </c>
    </row>
    <row r="80" spans="1:8" ht="41.25" customHeight="1" x14ac:dyDescent="0.2">
      <c r="A80" s="47"/>
      <c r="B80" s="22" t="s">
        <v>110</v>
      </c>
      <c r="C80" s="33"/>
      <c r="D80" s="33"/>
      <c r="E80" s="19">
        <f t="shared" si="13"/>
        <v>3426.2173036599997</v>
      </c>
      <c r="F80" s="19">
        <f>2688.308-105.727-1500</f>
        <v>1082.5810000000001</v>
      </c>
      <c r="G80" s="19">
        <f t="shared" ref="G80:G85" si="28">F80*1.055</f>
        <v>1142.122955</v>
      </c>
      <c r="H80" s="19">
        <f>G80*1.052</f>
        <v>1201.51334866</v>
      </c>
    </row>
    <row r="81" spans="1:8" ht="53.25" customHeight="1" x14ac:dyDescent="0.2">
      <c r="A81" s="47"/>
      <c r="B81" s="22" t="s">
        <v>89</v>
      </c>
      <c r="C81" s="33"/>
      <c r="D81" s="33"/>
      <c r="E81" s="19">
        <f t="shared" si="13"/>
        <v>8360.5093864800001</v>
      </c>
      <c r="F81" s="19">
        <v>2641.6680000000001</v>
      </c>
      <c r="G81" s="19">
        <f t="shared" si="28"/>
        <v>2786.9597399999998</v>
      </c>
      <c r="H81" s="19">
        <f>G81*1.052</f>
        <v>2931.8816464799997</v>
      </c>
    </row>
    <row r="82" spans="1:8" ht="42" customHeight="1" x14ac:dyDescent="0.2">
      <c r="A82" s="47"/>
      <c r="B82" s="22" t="s">
        <v>97</v>
      </c>
      <c r="C82" s="33"/>
      <c r="D82" s="33"/>
      <c r="E82" s="19">
        <f t="shared" si="13"/>
        <v>944.85945842000001</v>
      </c>
      <c r="F82" s="19">
        <v>298.54700000000003</v>
      </c>
      <c r="G82" s="19">
        <f t="shared" si="28"/>
        <v>314.967085</v>
      </c>
      <c r="H82" s="19">
        <f>G82*1.052</f>
        <v>331.34537341999999</v>
      </c>
    </row>
    <row r="83" spans="1:8" ht="25.5" customHeight="1" x14ac:dyDescent="0.2">
      <c r="A83" s="47"/>
      <c r="B83" s="11" t="s">
        <v>109</v>
      </c>
      <c r="C83" s="33"/>
      <c r="D83" s="33"/>
      <c r="E83" s="19">
        <f t="shared" ref="E83" si="29">F83+G83+H83</f>
        <v>318.77419377999996</v>
      </c>
      <c r="F83" s="19">
        <v>100.723</v>
      </c>
      <c r="G83" s="19">
        <f t="shared" ref="G83" si="30">F83*1.055</f>
        <v>106.26276499999999</v>
      </c>
      <c r="H83" s="19">
        <f t="shared" ref="H83" si="31">G83*1.052</f>
        <v>111.78842877999999</v>
      </c>
    </row>
    <row r="84" spans="1:8" ht="25.5" x14ac:dyDescent="0.2">
      <c r="A84" s="47"/>
      <c r="B84" s="22" t="s">
        <v>100</v>
      </c>
      <c r="C84" s="33"/>
      <c r="D84" s="33"/>
      <c r="E84" s="19">
        <f t="shared" si="13"/>
        <v>2155.6304540400001</v>
      </c>
      <c r="F84" s="19">
        <v>681.11400000000003</v>
      </c>
      <c r="G84" s="19">
        <f t="shared" si="28"/>
        <v>718.57527000000005</v>
      </c>
      <c r="H84" s="19">
        <f t="shared" ref="H84:H85" si="32">G84*1.052</f>
        <v>755.94118404000005</v>
      </c>
    </row>
    <row r="85" spans="1:8" ht="53.25" customHeight="1" x14ac:dyDescent="0.2">
      <c r="A85" s="47"/>
      <c r="B85" s="22" t="s">
        <v>101</v>
      </c>
      <c r="C85" s="33"/>
      <c r="D85" s="33"/>
      <c r="E85" s="19">
        <f t="shared" si="13"/>
        <v>101.81038134000003</v>
      </c>
      <c r="F85" s="19">
        <f>270-237.831</f>
        <v>32.169000000000011</v>
      </c>
      <c r="G85" s="19">
        <f t="shared" si="28"/>
        <v>33.938295000000011</v>
      </c>
      <c r="H85" s="19">
        <f t="shared" si="32"/>
        <v>35.703086340000013</v>
      </c>
    </row>
    <row r="86" spans="1:8" x14ac:dyDescent="0.2">
      <c r="A86" s="47"/>
      <c r="B86" s="36" t="s">
        <v>76</v>
      </c>
      <c r="C86" s="45"/>
      <c r="D86" s="45"/>
      <c r="E86" s="19">
        <f>F86+G86+H86</f>
        <v>1920.1015728399998</v>
      </c>
      <c r="F86" s="19">
        <f>2000-793.306-600</f>
        <v>606.69399999999996</v>
      </c>
      <c r="G86" s="19">
        <f t="shared" ref="G86" si="33">F86*1.055</f>
        <v>640.06216999999992</v>
      </c>
      <c r="H86" s="19">
        <f t="shared" ref="H86" si="34">G86*1.052</f>
        <v>673.34540283999991</v>
      </c>
    </row>
    <row r="87" spans="1:8" x14ac:dyDescent="0.2">
      <c r="A87" s="47"/>
      <c r="B87" s="22" t="s">
        <v>72</v>
      </c>
      <c r="C87" s="45"/>
      <c r="D87" s="45"/>
      <c r="E87" s="19">
        <f t="shared" ref="E87:E90" si="35">F87+G87+H87</f>
        <v>4023.1953508799998</v>
      </c>
      <c r="F87" s="19">
        <f>1500+487.861-716.653</f>
        <v>1271.2079999999999</v>
      </c>
      <c r="G87" s="19">
        <f t="shared" si="10"/>
        <v>1341.1244399999998</v>
      </c>
      <c r="H87" s="19">
        <f t="shared" si="11"/>
        <v>1410.8629108799998</v>
      </c>
    </row>
    <row r="88" spans="1:8" ht="38.25" x14ac:dyDescent="0.2">
      <c r="A88" s="47"/>
      <c r="B88" s="22" t="s">
        <v>107</v>
      </c>
      <c r="C88" s="45"/>
      <c r="D88" s="45"/>
      <c r="E88" s="19">
        <f t="shared" ref="E88" si="36">F88+G88+H88</f>
        <v>61.695780839999998</v>
      </c>
      <c r="F88" s="19">
        <v>19.494</v>
      </c>
      <c r="G88" s="19">
        <f t="shared" ref="G88" si="37">F88*1.055</f>
        <v>20.56617</v>
      </c>
      <c r="H88" s="19">
        <f t="shared" ref="H88" si="38">G88*1.052</f>
        <v>21.635610840000002</v>
      </c>
    </row>
    <row r="89" spans="1:8" ht="25.5" x14ac:dyDescent="0.2">
      <c r="A89" s="47"/>
      <c r="B89" s="22" t="s">
        <v>49</v>
      </c>
      <c r="C89" s="45"/>
      <c r="D89" s="45"/>
      <c r="E89" s="19">
        <f t="shared" si="35"/>
        <v>508.68478293999999</v>
      </c>
      <c r="F89" s="19">
        <v>160.72900000000001</v>
      </c>
      <c r="G89" s="19">
        <f t="shared" si="10"/>
        <v>169.569095</v>
      </c>
      <c r="H89" s="19">
        <f>G89*1.052</f>
        <v>178.38668794</v>
      </c>
    </row>
    <row r="90" spans="1:8" ht="25.5" x14ac:dyDescent="0.2">
      <c r="A90" s="47"/>
      <c r="B90" s="22" t="s">
        <v>77</v>
      </c>
      <c r="C90" s="45"/>
      <c r="D90" s="45"/>
      <c r="E90" s="19">
        <f t="shared" si="35"/>
        <v>2215.402</v>
      </c>
      <c r="F90" s="19">
        <v>700</v>
      </c>
      <c r="G90" s="19">
        <f t="shared" si="10"/>
        <v>738.5</v>
      </c>
      <c r="H90" s="19">
        <f>G90*1.052</f>
        <v>776.90200000000004</v>
      </c>
    </row>
    <row r="91" spans="1:8" ht="25.5" x14ac:dyDescent="0.2">
      <c r="A91" s="51"/>
      <c r="B91" s="22" t="s">
        <v>73</v>
      </c>
      <c r="C91" s="45"/>
      <c r="D91" s="45"/>
      <c r="E91" s="19">
        <f>F91+G91+H91</f>
        <v>949.45800000000008</v>
      </c>
      <c r="F91" s="19">
        <v>300</v>
      </c>
      <c r="G91" s="19">
        <f t="shared" si="10"/>
        <v>316.5</v>
      </c>
      <c r="H91" s="19">
        <f>G91*1.052</f>
        <v>332.95800000000003</v>
      </c>
    </row>
    <row r="92" spans="1:8" ht="13.5" customHeight="1" x14ac:dyDescent="0.2">
      <c r="A92" s="46" t="s">
        <v>74</v>
      </c>
      <c r="B92" s="22"/>
      <c r="C92" s="44" t="s">
        <v>59</v>
      </c>
      <c r="D92" s="44" t="s">
        <v>7</v>
      </c>
      <c r="E92" s="18">
        <f>SUM(F92:H92)</f>
        <v>2754.0758999999998</v>
      </c>
      <c r="F92" s="18">
        <f>F93+F94+F95</f>
        <v>765</v>
      </c>
      <c r="G92" s="18">
        <f t="shared" ref="G92:H92" si="39">G93+G94</f>
        <v>807.07499999999993</v>
      </c>
      <c r="H92" s="18">
        <f t="shared" si="39"/>
        <v>1182.0009</v>
      </c>
    </row>
    <row r="93" spans="1:8" ht="13.5" customHeight="1" x14ac:dyDescent="0.2">
      <c r="A93" s="47"/>
      <c r="B93" s="22" t="s">
        <v>75</v>
      </c>
      <c r="C93" s="45"/>
      <c r="D93" s="45"/>
      <c r="E93" s="19">
        <f>SUM(F93:H93)</f>
        <v>332.95800000000003</v>
      </c>
      <c r="F93" s="19">
        <f>500-500</f>
        <v>0</v>
      </c>
      <c r="G93" s="19">
        <f>F93*1.055</f>
        <v>0</v>
      </c>
      <c r="H93" s="19">
        <f>G91*1.052</f>
        <v>332.95800000000003</v>
      </c>
    </row>
    <row r="94" spans="1:8" ht="26.25" customHeight="1" x14ac:dyDescent="0.2">
      <c r="A94" s="47"/>
      <c r="B94" s="22" t="s">
        <v>113</v>
      </c>
      <c r="C94" s="45"/>
      <c r="D94" s="45"/>
      <c r="E94" s="19">
        <f t="shared" ref="E94:E95" si="40">SUM(F94:H94)</f>
        <v>2421.1178999999997</v>
      </c>
      <c r="F94" s="19">
        <f>773.968-8.968</f>
        <v>765</v>
      </c>
      <c r="G94" s="19">
        <f>F94*1.055</f>
        <v>807.07499999999993</v>
      </c>
      <c r="H94" s="19">
        <f>G92*1.052</f>
        <v>849.04289999999992</v>
      </c>
    </row>
    <row r="95" spans="1:8" ht="26.25" hidden="1" customHeight="1" x14ac:dyDescent="0.2">
      <c r="A95" s="32"/>
      <c r="B95" s="22" t="s">
        <v>117</v>
      </c>
      <c r="C95" s="33"/>
      <c r="D95" s="33"/>
      <c r="E95" s="19">
        <f t="shared" si="40"/>
        <v>0</v>
      </c>
      <c r="F95" s="19">
        <f>266.461-266.461</f>
        <v>0</v>
      </c>
      <c r="G95" s="19">
        <f>F95*1.055</f>
        <v>0</v>
      </c>
      <c r="H95" s="19">
        <f>G93*1.052</f>
        <v>0</v>
      </c>
    </row>
    <row r="96" spans="1:8" x14ac:dyDescent="0.2">
      <c r="A96" s="48" t="s">
        <v>32</v>
      </c>
      <c r="B96" s="48"/>
      <c r="C96" s="48"/>
      <c r="D96" s="48"/>
      <c r="E96" s="48"/>
      <c r="F96" s="48"/>
      <c r="G96" s="48"/>
      <c r="H96" s="48"/>
    </row>
    <row r="97" spans="1:8" ht="15.75" customHeight="1" x14ac:dyDescent="0.2">
      <c r="A97" s="50" t="s">
        <v>33</v>
      </c>
      <c r="B97" s="31"/>
      <c r="C97" s="49" t="s">
        <v>59</v>
      </c>
      <c r="D97" s="49" t="s">
        <v>7</v>
      </c>
      <c r="E97" s="18">
        <f>F97+G97+H97</f>
        <v>7077.462483039998</v>
      </c>
      <c r="F97" s="18">
        <f>F98</f>
        <v>2236.2639999999997</v>
      </c>
      <c r="G97" s="18">
        <f t="shared" ref="G97:H97" si="41">G98</f>
        <v>2359.2585199999994</v>
      </c>
      <c r="H97" s="18">
        <f t="shared" si="41"/>
        <v>2481.9399630399994</v>
      </c>
    </row>
    <row r="98" spans="1:8" ht="69" customHeight="1" x14ac:dyDescent="0.2">
      <c r="A98" s="50"/>
      <c r="B98" s="36" t="s">
        <v>99</v>
      </c>
      <c r="C98" s="49"/>
      <c r="D98" s="49"/>
      <c r="E98" s="19">
        <f>F98+G98+H98</f>
        <v>7077.462483039998</v>
      </c>
      <c r="F98" s="19">
        <f>919.716+1406.516-84.791-5.177</f>
        <v>2236.2639999999997</v>
      </c>
      <c r="G98" s="19">
        <f>F98*1.055</f>
        <v>2359.2585199999994</v>
      </c>
      <c r="H98" s="19">
        <f>G98*1.052</f>
        <v>2481.9399630399994</v>
      </c>
    </row>
    <row r="99" spans="1:8" ht="15.75" customHeight="1" x14ac:dyDescent="0.2">
      <c r="A99" s="41" t="s">
        <v>90</v>
      </c>
      <c r="B99" s="42"/>
      <c r="C99" s="42"/>
      <c r="D99" s="42"/>
      <c r="E99" s="42"/>
      <c r="F99" s="42"/>
      <c r="G99" s="42"/>
      <c r="H99" s="43"/>
    </row>
    <row r="100" spans="1:8" ht="13.5" customHeight="1" x14ac:dyDescent="0.2">
      <c r="A100" s="46" t="s">
        <v>91</v>
      </c>
      <c r="B100" s="36"/>
      <c r="C100" s="44" t="s">
        <v>59</v>
      </c>
      <c r="D100" s="44" t="s">
        <v>7</v>
      </c>
      <c r="E100" s="24">
        <f>E101+E102+E104+E103</f>
        <v>3395.5782939999999</v>
      </c>
      <c r="F100" s="24">
        <f>F101+F102+F104+F103</f>
        <v>1072.8999999999999</v>
      </c>
      <c r="G100" s="24">
        <f t="shared" ref="G100:H100" si="42">G101+G102+G104+G103</f>
        <v>1131.9095</v>
      </c>
      <c r="H100" s="24">
        <f t="shared" si="42"/>
        <v>1190.7687939999998</v>
      </c>
    </row>
    <row r="101" spans="1:8" ht="42.75" customHeight="1" x14ac:dyDescent="0.2">
      <c r="A101" s="47"/>
      <c r="B101" s="36" t="s">
        <v>92</v>
      </c>
      <c r="C101" s="45"/>
      <c r="D101" s="45"/>
      <c r="E101" s="19">
        <f>F101+G101+H101</f>
        <v>212.04562000000001</v>
      </c>
      <c r="F101" s="25">
        <v>67</v>
      </c>
      <c r="G101" s="19">
        <f>F101*1.055</f>
        <v>70.685000000000002</v>
      </c>
      <c r="H101" s="19">
        <f>G101*1.052</f>
        <v>74.360620000000011</v>
      </c>
    </row>
    <row r="102" spans="1:8" ht="42.75" customHeight="1" x14ac:dyDescent="0.2">
      <c r="A102" s="47"/>
      <c r="B102" s="36" t="s">
        <v>95</v>
      </c>
      <c r="C102" s="45"/>
      <c r="D102" s="45"/>
      <c r="E102" s="19">
        <f>F102+G102+H102</f>
        <v>237.36450000000002</v>
      </c>
      <c r="F102" s="25">
        <f>75</f>
        <v>75</v>
      </c>
      <c r="G102" s="19">
        <f>F102*1.055</f>
        <v>79.125</v>
      </c>
      <c r="H102" s="19">
        <f>G102*1.052</f>
        <v>83.239500000000007</v>
      </c>
    </row>
    <row r="103" spans="1:8" ht="42.75" customHeight="1" x14ac:dyDescent="0.2">
      <c r="A103" s="47"/>
      <c r="B103" s="36" t="s">
        <v>118</v>
      </c>
      <c r="C103" s="45"/>
      <c r="D103" s="45"/>
      <c r="E103" s="19">
        <f>F103+G103+H103</f>
        <v>133.87357799999998</v>
      </c>
      <c r="F103" s="25">
        <v>42.3</v>
      </c>
      <c r="G103" s="19">
        <f>F103*1.055</f>
        <v>44.626499999999993</v>
      </c>
      <c r="H103" s="19">
        <f>G103*1.052</f>
        <v>46.947077999999998</v>
      </c>
    </row>
    <row r="104" spans="1:8" ht="41.25" customHeight="1" x14ac:dyDescent="0.2">
      <c r="A104" s="47"/>
      <c r="B104" s="36" t="s">
        <v>98</v>
      </c>
      <c r="C104" s="63"/>
      <c r="D104" s="63"/>
      <c r="E104" s="19">
        <f>F104+G104+H104</f>
        <v>2812.2945959999997</v>
      </c>
      <c r="F104" s="25">
        <f>565+323.6</f>
        <v>888.6</v>
      </c>
      <c r="G104" s="19">
        <f>F104*1.055</f>
        <v>937.47299999999996</v>
      </c>
      <c r="H104" s="19">
        <f>G104*1.052</f>
        <v>986.22159599999998</v>
      </c>
    </row>
    <row r="105" spans="1:8" ht="12.75" customHeight="1" x14ac:dyDescent="0.2">
      <c r="A105" s="41" t="s">
        <v>119</v>
      </c>
      <c r="B105" s="42"/>
      <c r="C105" s="42"/>
      <c r="D105" s="42"/>
      <c r="E105" s="42"/>
      <c r="F105" s="42"/>
      <c r="G105" s="42"/>
      <c r="H105" s="43"/>
    </row>
    <row r="106" spans="1:8" ht="14.25" customHeight="1" x14ac:dyDescent="0.2">
      <c r="A106" s="46" t="s">
        <v>119</v>
      </c>
      <c r="B106" s="31"/>
      <c r="C106" s="44" t="s">
        <v>59</v>
      </c>
      <c r="D106" s="64" t="s">
        <v>7</v>
      </c>
      <c r="E106" s="31">
        <f>F106</f>
        <v>194.54399999999998</v>
      </c>
      <c r="F106" s="31">
        <f>F107</f>
        <v>194.54399999999998</v>
      </c>
      <c r="G106" s="31"/>
      <c r="H106" s="31"/>
    </row>
    <row r="107" spans="1:8" ht="39.75" customHeight="1" x14ac:dyDescent="0.2">
      <c r="A107" s="51"/>
      <c r="B107" s="36" t="s">
        <v>116</v>
      </c>
      <c r="C107" s="63"/>
      <c r="D107" s="65"/>
      <c r="E107" s="35">
        <f>F107</f>
        <v>194.54399999999998</v>
      </c>
      <c r="F107" s="35">
        <f>186.438+8.106</f>
        <v>194.54399999999998</v>
      </c>
      <c r="G107" s="31"/>
      <c r="H107" s="31"/>
    </row>
    <row r="108" spans="1:8" x14ac:dyDescent="0.2">
      <c r="A108" s="48" t="s">
        <v>46</v>
      </c>
      <c r="B108" s="48"/>
      <c r="C108" s="48"/>
      <c r="D108" s="48"/>
      <c r="E108" s="48"/>
      <c r="F108" s="48"/>
      <c r="G108" s="48"/>
      <c r="H108" s="48"/>
    </row>
    <row r="109" spans="1:8" x14ac:dyDescent="0.2">
      <c r="A109" s="46" t="s">
        <v>31</v>
      </c>
      <c r="B109" s="31"/>
      <c r="C109" s="44" t="s">
        <v>59</v>
      </c>
      <c r="D109" s="44" t="s">
        <v>7</v>
      </c>
      <c r="E109" s="18">
        <f>F109+G109+H109</f>
        <v>731.873875</v>
      </c>
      <c r="F109" s="18">
        <f>F110</f>
        <v>231.25</v>
      </c>
      <c r="G109" s="18">
        <f t="shared" ref="G109:H109" si="43">G110</f>
        <v>243.96874999999997</v>
      </c>
      <c r="H109" s="18">
        <f t="shared" si="43"/>
        <v>256.655125</v>
      </c>
    </row>
    <row r="110" spans="1:8" ht="67.5" customHeight="1" x14ac:dyDescent="0.2">
      <c r="A110" s="47"/>
      <c r="B110" s="36" t="s">
        <v>30</v>
      </c>
      <c r="C110" s="45"/>
      <c r="D110" s="45"/>
      <c r="E110" s="19">
        <f>F110+G110+H110</f>
        <v>731.873875</v>
      </c>
      <c r="F110" s="19">
        <f>255-23.75</f>
        <v>231.25</v>
      </c>
      <c r="G110" s="25">
        <f>F110*1.055</f>
        <v>243.96874999999997</v>
      </c>
      <c r="H110" s="25">
        <f>G110*1.052</f>
        <v>256.655125</v>
      </c>
    </row>
    <row r="111" spans="1:8" x14ac:dyDescent="0.2">
      <c r="A111" s="48" t="s">
        <v>47</v>
      </c>
      <c r="B111" s="48"/>
      <c r="C111" s="48"/>
      <c r="D111" s="48"/>
      <c r="E111" s="48"/>
      <c r="F111" s="48"/>
      <c r="G111" s="48"/>
      <c r="H111" s="48"/>
    </row>
    <row r="112" spans="1:8" x14ac:dyDescent="0.2">
      <c r="A112" s="61" t="s">
        <v>45</v>
      </c>
      <c r="B112" s="36"/>
      <c r="C112" s="49" t="s">
        <v>59</v>
      </c>
      <c r="D112" s="49" t="s">
        <v>7</v>
      </c>
      <c r="E112" s="18">
        <f>F112+G112+H112</f>
        <v>259.54700373999998</v>
      </c>
      <c r="F112" s="18">
        <f>F113</f>
        <v>82.009</v>
      </c>
      <c r="G112" s="18">
        <f t="shared" ref="G112:H112" si="44">G113</f>
        <v>86.519494999999992</v>
      </c>
      <c r="H112" s="18">
        <f t="shared" si="44"/>
        <v>91.018508740000001</v>
      </c>
    </row>
    <row r="113" spans="1:65" ht="40.5" customHeight="1" x14ac:dyDescent="0.2">
      <c r="A113" s="61"/>
      <c r="B113" s="36" t="s">
        <v>44</v>
      </c>
      <c r="C113" s="49"/>
      <c r="D113" s="49"/>
      <c r="E113" s="19">
        <f>F113+G113+H113</f>
        <v>259.54700373999998</v>
      </c>
      <c r="F113" s="19">
        <f>40+48-5.991</f>
        <v>82.009</v>
      </c>
      <c r="G113" s="19">
        <f>F113*1.055</f>
        <v>86.519494999999992</v>
      </c>
      <c r="H113" s="19">
        <f>G113*1.052</f>
        <v>91.018508740000001</v>
      </c>
    </row>
    <row r="114" spans="1:65" ht="14.25" customHeight="1" x14ac:dyDescent="0.2">
      <c r="A114" s="41" t="s">
        <v>103</v>
      </c>
      <c r="B114" s="42"/>
      <c r="C114" s="42"/>
      <c r="D114" s="42"/>
      <c r="E114" s="42"/>
      <c r="F114" s="42"/>
      <c r="G114" s="42"/>
      <c r="H114" s="43"/>
    </row>
    <row r="115" spans="1:65" ht="13.5" customHeight="1" x14ac:dyDescent="0.2">
      <c r="A115" s="46" t="s">
        <v>103</v>
      </c>
      <c r="B115" s="36"/>
      <c r="C115" s="49" t="s">
        <v>59</v>
      </c>
      <c r="D115" s="44" t="s">
        <v>104</v>
      </c>
      <c r="E115" s="18">
        <f>SUM(F115:H115)</f>
        <v>690</v>
      </c>
      <c r="F115" s="18">
        <f>F116</f>
        <v>690</v>
      </c>
      <c r="G115" s="18">
        <f t="shared" ref="G115:H115" si="45">G116</f>
        <v>0</v>
      </c>
      <c r="H115" s="18">
        <f t="shared" si="45"/>
        <v>0</v>
      </c>
    </row>
    <row r="116" spans="1:65" ht="39.75" customHeight="1" x14ac:dyDescent="0.2">
      <c r="A116" s="51"/>
      <c r="B116" s="26" t="s">
        <v>105</v>
      </c>
      <c r="C116" s="49"/>
      <c r="D116" s="63"/>
      <c r="E116" s="19">
        <f>SUM(F116:H116)</f>
        <v>690</v>
      </c>
      <c r="F116" s="19">
        <f>560+30+100</f>
        <v>690</v>
      </c>
      <c r="G116" s="19">
        <v>0</v>
      </c>
      <c r="H116" s="19">
        <v>0</v>
      </c>
    </row>
    <row r="117" spans="1:65" x14ac:dyDescent="0.2">
      <c r="A117" s="37" t="s">
        <v>37</v>
      </c>
      <c r="B117" s="37"/>
      <c r="C117" s="31"/>
      <c r="D117" s="31"/>
      <c r="E117" s="18">
        <f>E20+E30+E45+E52+E57+E92+E97+E109+E112+E17+E75+E100+E115</f>
        <v>2208156.0732781803</v>
      </c>
      <c r="F117" s="18">
        <f>F20+F30+F45+F52+F57+F92+F97+F109+F112+F17+F75+F100+F115+F106</f>
        <v>698845.55700000003</v>
      </c>
      <c r="G117" s="18">
        <f>G20+G30+G45+G52+G57+G92+G97+G109+G112+G17+G75+G100</f>
        <v>735463.9874649999</v>
      </c>
      <c r="H117" s="18">
        <f>H20+H30+H45+H52+H57+H92+H97+H109+H112+H17+H75+H100</f>
        <v>774041.07281318004</v>
      </c>
      <c r="I117" s="9"/>
      <c r="J117" s="16">
        <f>F117-F115-F22-F25</f>
        <v>692807.64899999998</v>
      </c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</row>
    <row r="118" spans="1:65" ht="14.25" customHeight="1" x14ac:dyDescent="0.2">
      <c r="A118" s="48" t="s">
        <v>85</v>
      </c>
      <c r="B118" s="48"/>
      <c r="C118" s="48"/>
      <c r="D118" s="48"/>
      <c r="E118" s="48"/>
      <c r="F118" s="48"/>
      <c r="G118" s="48"/>
      <c r="H118" s="48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</row>
    <row r="119" spans="1:65" x14ac:dyDescent="0.2">
      <c r="A119" s="61" t="s">
        <v>86</v>
      </c>
      <c r="B119" s="62" t="s">
        <v>87</v>
      </c>
      <c r="C119" s="50"/>
      <c r="D119" s="50"/>
      <c r="E119" s="18">
        <f>E120</f>
        <v>9.3309999999999995</v>
      </c>
      <c r="F119" s="18">
        <f>F120</f>
        <v>9.3309999999999995</v>
      </c>
      <c r="G119" s="18">
        <v>0</v>
      </c>
      <c r="H119" s="18">
        <v>0</v>
      </c>
      <c r="I119" s="9"/>
      <c r="J119" s="16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</row>
    <row r="120" spans="1:65" s="36" customFormat="1" ht="115.5" customHeight="1" x14ac:dyDescent="0.2">
      <c r="A120" s="61"/>
      <c r="B120" s="62"/>
      <c r="C120" s="50"/>
      <c r="D120" s="50"/>
      <c r="E120" s="19">
        <f>F120</f>
        <v>9.3309999999999995</v>
      </c>
      <c r="F120" s="19">
        <v>9.3309999999999995</v>
      </c>
      <c r="G120" s="19"/>
      <c r="H120" s="1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</row>
    <row r="121" spans="1:65" x14ac:dyDescent="0.2">
      <c r="A121" s="27"/>
      <c r="B121" s="27"/>
      <c r="D121" s="28"/>
      <c r="E121" s="28"/>
      <c r="F121" s="29"/>
      <c r="G121" s="28"/>
      <c r="H121" s="28"/>
    </row>
    <row r="122" spans="1:65" ht="23.25" x14ac:dyDescent="0.2">
      <c r="A122" s="55" t="s">
        <v>38</v>
      </c>
      <c r="B122" s="55"/>
      <c r="C122" s="39"/>
      <c r="D122" s="39"/>
      <c r="E122" s="39"/>
      <c r="F122" s="30"/>
      <c r="G122" s="55" t="s">
        <v>54</v>
      </c>
      <c r="H122" s="55"/>
    </row>
    <row r="123" spans="1:65" s="5" customFormat="1" ht="18.75" x14ac:dyDescent="0.2">
      <c r="A123" s="3"/>
      <c r="B123" s="3"/>
      <c r="C123" s="1"/>
      <c r="D123" s="1"/>
      <c r="E123" s="1"/>
      <c r="F123" s="2"/>
      <c r="G123" s="1"/>
      <c r="H123" s="1"/>
    </row>
    <row r="125" spans="1:65" x14ac:dyDescent="0.2">
      <c r="F125" s="2"/>
      <c r="G125" s="2"/>
    </row>
    <row r="126" spans="1:65" x14ac:dyDescent="0.2">
      <c r="F126" s="2"/>
    </row>
    <row r="127" spans="1:65" x14ac:dyDescent="0.2">
      <c r="F127" s="2"/>
    </row>
    <row r="128" spans="1:65" x14ac:dyDescent="0.2">
      <c r="F128" s="2"/>
    </row>
  </sheetData>
  <mergeCells count="70">
    <mergeCell ref="D115:D116"/>
    <mergeCell ref="A115:A116"/>
    <mergeCell ref="A108:H108"/>
    <mergeCell ref="A100:A104"/>
    <mergeCell ref="A105:H105"/>
    <mergeCell ref="A106:A107"/>
    <mergeCell ref="D106:D107"/>
    <mergeCell ref="C106:C107"/>
    <mergeCell ref="C100:C104"/>
    <mergeCell ref="D100:D104"/>
    <mergeCell ref="G122:H122"/>
    <mergeCell ref="C109:C110"/>
    <mergeCell ref="A122:B122"/>
    <mergeCell ref="D112:D113"/>
    <mergeCell ref="C112:C113"/>
    <mergeCell ref="A112:A113"/>
    <mergeCell ref="A111:H111"/>
    <mergeCell ref="D109:D110"/>
    <mergeCell ref="A109:A110"/>
    <mergeCell ref="A118:H118"/>
    <mergeCell ref="A119:A120"/>
    <mergeCell ref="B119:B120"/>
    <mergeCell ref="C119:C120"/>
    <mergeCell ref="D119:D120"/>
    <mergeCell ref="A114:H114"/>
    <mergeCell ref="C115:C116"/>
    <mergeCell ref="A92:A94"/>
    <mergeCell ref="C30:C44"/>
    <mergeCell ref="A45:A51"/>
    <mergeCell ref="D45:D51"/>
    <mergeCell ref="A30:A44"/>
    <mergeCell ref="C45:C51"/>
    <mergeCell ref="F1:H1"/>
    <mergeCell ref="F2:H2"/>
    <mergeCell ref="F3:H3"/>
    <mergeCell ref="F5:H5"/>
    <mergeCell ref="E13:E14"/>
    <mergeCell ref="A8:H8"/>
    <mergeCell ref="F6:H6"/>
    <mergeCell ref="A9:H9"/>
    <mergeCell ref="A12:A14"/>
    <mergeCell ref="D12:D14"/>
    <mergeCell ref="B12:B14"/>
    <mergeCell ref="E12:H12"/>
    <mergeCell ref="F13:H13"/>
    <mergeCell ref="C12:C14"/>
    <mergeCell ref="A16:H16"/>
    <mergeCell ref="A17:A18"/>
    <mergeCell ref="A19:H19"/>
    <mergeCell ref="D30:D44"/>
    <mergeCell ref="D20:D24"/>
    <mergeCell ref="C20:C24"/>
    <mergeCell ref="A20:A24"/>
    <mergeCell ref="A29:H29"/>
    <mergeCell ref="A99:H99"/>
    <mergeCell ref="D52:D56"/>
    <mergeCell ref="C57:C73"/>
    <mergeCell ref="A52:A56"/>
    <mergeCell ref="D57:D73"/>
    <mergeCell ref="A57:A73"/>
    <mergeCell ref="C52:C56"/>
    <mergeCell ref="C86:C91"/>
    <mergeCell ref="D86:D91"/>
    <mergeCell ref="A96:H96"/>
    <mergeCell ref="D92:D94"/>
    <mergeCell ref="C92:C94"/>
    <mergeCell ref="C97:C98"/>
    <mergeCell ref="A97:A98"/>
    <mergeCell ref="A75:A91"/>
    <mergeCell ref="D97:D98"/>
  </mergeCells>
  <phoneticPr fontId="0" type="noConversion"/>
  <printOptions horizontalCentered="1"/>
  <pageMargins left="0.39370078740157483" right="0" top="1.1811023622047245" bottom="0" header="0" footer="0"/>
  <pageSetup paperSize="9" scale="85" fitToHeight="30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1.1.ДІБ</vt:lpstr>
      <vt:lpstr>'додаток 1.1.ДІБ'!Область_друку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2017-12-15T07:06:20Z</cp:lastPrinted>
  <dcterms:created xsi:type="dcterms:W3CDTF">1996-10-08T23:32:33Z</dcterms:created>
  <dcterms:modified xsi:type="dcterms:W3CDTF">2017-12-15T09:45:08Z</dcterms:modified>
</cp:coreProperties>
</file>