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рина\СЕССИИ 2021\сесія_березень_24.03.2021\додатки_березень_2021\"/>
    </mc:Choice>
  </mc:AlternateContent>
  <bookViews>
    <workbookView xWindow="0" yWindow="1800" windowWidth="28800" windowHeight="12030"/>
  </bookViews>
  <sheets>
    <sheet name="додаток 1.1.ДІБ" sheetId="5" r:id="rId1"/>
  </sheets>
  <definedNames>
    <definedName name="_xlnm.Print_Area" localSheetId="0">'додаток 1.1.ДІБ'!$A$1:$H$102</definedName>
  </definedNames>
  <calcPr calcId="162913"/>
</workbook>
</file>

<file path=xl/calcChain.xml><?xml version="1.0" encoding="utf-8"?>
<calcChain xmlns="http://schemas.openxmlformats.org/spreadsheetml/2006/main">
  <c r="G17" i="5" l="1"/>
  <c r="G73" i="5" l="1"/>
  <c r="G76" i="5"/>
  <c r="G63" i="5" l="1"/>
  <c r="G43" i="5"/>
  <c r="G38" i="5"/>
  <c r="G54" i="5"/>
  <c r="G56" i="5"/>
  <c r="G44" i="5"/>
  <c r="E87" i="5" l="1"/>
  <c r="G50" i="5"/>
  <c r="G41" i="5"/>
  <c r="G49" i="5"/>
  <c r="G77" i="5" l="1"/>
  <c r="G21" i="5" l="1"/>
  <c r="G16" i="5" s="1"/>
  <c r="G22" i="5"/>
  <c r="G62" i="5"/>
  <c r="F17" i="5" l="1"/>
  <c r="F21" i="5"/>
  <c r="F22" i="5"/>
  <c r="F23" i="5"/>
  <c r="F73" i="5" l="1"/>
  <c r="F71" i="5"/>
  <c r="G61" i="5" l="1"/>
  <c r="G51" i="5"/>
  <c r="G79" i="5" l="1"/>
  <c r="E86" i="5"/>
  <c r="F68" i="5"/>
  <c r="G71" i="5" l="1"/>
  <c r="F29" i="5" l="1"/>
  <c r="F30" i="5"/>
  <c r="G67" i="5" l="1"/>
  <c r="G70" i="5" l="1"/>
  <c r="H74" i="5"/>
  <c r="H73" i="5"/>
  <c r="H72" i="5"/>
  <c r="H71" i="5"/>
  <c r="G91" i="5"/>
  <c r="H91" i="5" s="1"/>
  <c r="E49" i="5"/>
  <c r="H43" i="5"/>
  <c r="H42" i="5"/>
  <c r="G59" i="5"/>
  <c r="H38" i="5"/>
  <c r="H41" i="5"/>
  <c r="H50" i="5"/>
  <c r="H56" i="5"/>
  <c r="H54" i="5"/>
  <c r="H44" i="5"/>
  <c r="H40" i="5"/>
  <c r="H39" i="5"/>
  <c r="H47" i="5"/>
  <c r="H37" i="5"/>
  <c r="H53" i="5"/>
  <c r="H52" i="5"/>
  <c r="H45" i="5"/>
  <c r="G46" i="5"/>
  <c r="H48" i="5"/>
  <c r="G92" i="5"/>
  <c r="H92" i="5" s="1"/>
  <c r="H95" i="5"/>
  <c r="H96" i="5"/>
  <c r="H46" i="5" l="1"/>
  <c r="G36" i="5"/>
  <c r="H70" i="5"/>
  <c r="F53" i="5"/>
  <c r="F52" i="5"/>
  <c r="F76" i="5" l="1"/>
  <c r="F77" i="5"/>
  <c r="F72" i="5"/>
  <c r="F63" i="5"/>
  <c r="F62" i="5"/>
  <c r="F83" i="5"/>
  <c r="F47" i="5"/>
  <c r="F37" i="5"/>
  <c r="F45" i="5"/>
  <c r="F41" i="5"/>
  <c r="F91" i="5" l="1"/>
  <c r="E84" i="5"/>
  <c r="F92" i="5" l="1"/>
  <c r="F48" i="5"/>
  <c r="E100" i="5" l="1"/>
  <c r="H99" i="5"/>
  <c r="G99" i="5"/>
  <c r="F99" i="5"/>
  <c r="E99" i="5"/>
  <c r="F18" i="5" l="1"/>
  <c r="F25" i="5" l="1"/>
  <c r="F88" i="5" l="1"/>
  <c r="F40" i="5"/>
  <c r="F44" i="5"/>
  <c r="F39" i="5"/>
  <c r="F38" i="5"/>
  <c r="F54" i="5"/>
  <c r="F60" i="5" l="1"/>
  <c r="F82" i="5" l="1"/>
  <c r="F46" i="5"/>
  <c r="F74" i="5" l="1"/>
  <c r="E18" i="5"/>
  <c r="F16" i="5"/>
  <c r="E85" i="5" l="1"/>
  <c r="E88" i="5"/>
  <c r="F95" i="5"/>
  <c r="E63" i="5" l="1"/>
  <c r="E20" i="5" l="1"/>
  <c r="F34" i="5" l="1"/>
  <c r="E23" i="5" l="1"/>
  <c r="E21" i="5"/>
  <c r="E22" i="5"/>
  <c r="F66" i="5" l="1"/>
  <c r="E25" i="5"/>
  <c r="F24" i="5"/>
  <c r="E24" i="5" s="1"/>
  <c r="E30" i="5"/>
  <c r="F28" i="5" l="1"/>
  <c r="F27" i="5" s="1"/>
  <c r="E82" i="5"/>
  <c r="E62" i="5" l="1"/>
  <c r="F65" i="5" l="1"/>
  <c r="F64" i="5"/>
  <c r="F61" i="5" l="1"/>
  <c r="E81" i="5"/>
  <c r="F57" i="5" l="1"/>
  <c r="E57" i="5" s="1"/>
  <c r="E58" i="5"/>
  <c r="F79" i="5"/>
  <c r="F67" i="5" l="1"/>
  <c r="E67" i="5" s="1"/>
  <c r="E68" i="5"/>
  <c r="H75" i="5" l="1"/>
  <c r="G75" i="5"/>
  <c r="E77" i="5"/>
  <c r="E76" i="5"/>
  <c r="F75" i="5"/>
  <c r="H61" i="5"/>
  <c r="E65" i="5"/>
  <c r="E66" i="5"/>
  <c r="E64" i="5"/>
  <c r="E17" i="5"/>
  <c r="H16" i="5"/>
  <c r="E61" i="5" l="1"/>
  <c r="E75" i="5"/>
  <c r="E16" i="5" l="1"/>
  <c r="F70" i="5"/>
  <c r="E74" i="5"/>
  <c r="F59" i="5" l="1"/>
  <c r="E60" i="5"/>
  <c r="E59" i="5"/>
  <c r="E40" i="5" l="1"/>
  <c r="E39" i="5"/>
  <c r="F50" i="5" l="1"/>
  <c r="F56" i="5"/>
  <c r="F51" i="5"/>
  <c r="F90" i="5"/>
  <c r="E83" i="5"/>
  <c r="E41" i="5" l="1"/>
  <c r="E50" i="5"/>
  <c r="E73" i="5" l="1"/>
  <c r="F94" i="5"/>
  <c r="E42" i="5" l="1"/>
  <c r="E72" i="5"/>
  <c r="E43" i="5"/>
  <c r="E45" i="5"/>
  <c r="E96" i="5"/>
  <c r="G94" i="5" l="1"/>
  <c r="H94" i="5"/>
  <c r="E94" i="5" l="1"/>
  <c r="E95" i="5"/>
  <c r="E48" i="5" l="1"/>
  <c r="F36" i="5" l="1"/>
  <c r="E79" i="5"/>
  <c r="E80" i="5"/>
  <c r="H36" i="5" l="1"/>
  <c r="H28" i="5"/>
  <c r="E53" i="5" l="1"/>
  <c r="E33" i="5" l="1"/>
  <c r="E32" i="5"/>
  <c r="G28" i="5" l="1"/>
  <c r="G27" i="5" s="1"/>
  <c r="E34" i="5" l="1"/>
  <c r="E28" i="5" l="1"/>
  <c r="E31" i="5"/>
  <c r="E29" i="5"/>
  <c r="H27" i="5"/>
  <c r="E27" i="5" l="1"/>
  <c r="E92" i="5" l="1"/>
  <c r="H90" i="5" l="1"/>
  <c r="G90" i="5"/>
  <c r="E56" i="5"/>
  <c r="F55" i="5"/>
  <c r="F97" i="5" s="1"/>
  <c r="E54" i="5"/>
  <c r="E47" i="5" l="1"/>
  <c r="E37" i="5"/>
  <c r="E52" i="5"/>
  <c r="E46" i="5"/>
  <c r="E44" i="5"/>
  <c r="E38" i="5"/>
  <c r="G55" i="5"/>
  <c r="G97" i="5" s="1"/>
  <c r="E90" i="5" l="1"/>
  <c r="E91" i="5"/>
  <c r="E70" i="5"/>
  <c r="E71" i="5"/>
  <c r="H51" i="5"/>
  <c r="H55" i="5"/>
  <c r="E55" i="5" s="1"/>
  <c r="H97" i="5" l="1"/>
  <c r="E36" i="5"/>
  <c r="E51" i="5"/>
  <c r="E97" i="5" l="1"/>
</calcChain>
</file>

<file path=xl/sharedStrings.xml><?xml version="1.0" encoding="utf-8"?>
<sst xmlns="http://schemas.openxmlformats.org/spreadsheetml/2006/main" count="133" uniqueCount="104">
  <si>
    <t>Найменування завдання</t>
  </si>
  <si>
    <t>Найменування заходу</t>
  </si>
  <si>
    <t>Головний розпорядник бюджетних коштів, виконавці</t>
  </si>
  <si>
    <t>Джерела фінансування (бюджет міста, державний, обласний бюджети, інші)</t>
  </si>
  <si>
    <t>Всього</t>
  </si>
  <si>
    <t>за роками</t>
  </si>
  <si>
    <t>Завдання і заходи</t>
  </si>
  <si>
    <t>бюджет міста</t>
  </si>
  <si>
    <t>Енергопостачання об'єктів благоустрою, в тому числі:</t>
  </si>
  <si>
    <t>Водопостачання та водовідведення об'єктів благоустрою, в тому числі:</t>
  </si>
  <si>
    <t>Проведення заходів з забезпечення підготовки та завершення святкування Новорічних і Різдвяних свят в місті Запоріжжя, в тому числі:</t>
  </si>
  <si>
    <t>Прогнозні обсяги, тис.грн</t>
  </si>
  <si>
    <t>Всього по програмі</t>
  </si>
  <si>
    <t>Секретар міської ради</t>
  </si>
  <si>
    <t>ЗАТВЕРДЖЕНО</t>
  </si>
  <si>
    <t>Рішення міської ради</t>
  </si>
  <si>
    <t>експлуатація та утримання доріг</t>
  </si>
  <si>
    <t>______________ №____</t>
  </si>
  <si>
    <t>утримання та поточний ремонт мереж зовнішнього освітлення (світлоточок)</t>
  </si>
  <si>
    <t xml:space="preserve">Утримання та розвиток автомобільних доріг та дорожньої інфраструктури </t>
  </si>
  <si>
    <t>Утримання об'єктів дорожньої інфраструктури, в тому числі:</t>
  </si>
  <si>
    <t>Організація благоустрою міста</t>
  </si>
  <si>
    <t>департамент інфраструктури та благоустрою Запорізької міської ради</t>
  </si>
  <si>
    <t>утримання та поточний ремонт фонтанів</t>
  </si>
  <si>
    <t>забезпечення функціонування туалетів</t>
  </si>
  <si>
    <t>водопостачання та водовідведення об'єктів благоустрою (парків, пляжів, фонтанів, туалетів)</t>
  </si>
  <si>
    <t xml:space="preserve">утримання міських кладовищ та поточний ремонт їх елементів </t>
  </si>
  <si>
    <t>Утримання та поточний ремонт об'єктів благоустрою, в тому числі:</t>
  </si>
  <si>
    <t>утримання міських пляжів та поточний ремонт їх елементів</t>
  </si>
  <si>
    <t>Підготовка територій міста Запоріжжя для проведення загальноміських заходів та святкування Новорічних і Різдвяних свят</t>
  </si>
  <si>
    <t>Підготовка територій для проведення загальноміських заходів, в тому числі:</t>
  </si>
  <si>
    <t>забезпечення належного санітарного стану та святкового оформлення територій міста, надання джерел живлення для технічних засобів під час та після проведення загальноміських заходів</t>
  </si>
  <si>
    <t>енергопостачання об'єктів благоустрою (парків, пляжів, фонтанів, туалетів)</t>
  </si>
  <si>
    <t>Внески до статутного капіталу суб'єктів господарювання, в тому числі:</t>
  </si>
  <si>
    <t>Комунальне підприємство "Експлуатаційне лінійне управління автомобільних шляхів"</t>
  </si>
  <si>
    <t>Комунальне підприємство електромереж зовнішнього освітлення "Запоріжміськсвітло"</t>
  </si>
  <si>
    <t>Внески до статутного капіталу суб'єктів господарювання</t>
  </si>
  <si>
    <t>внески у статутні капітали комунальних  підприємств міста (придбання спеціальної техніки та обладнання), в тому числі:</t>
  </si>
  <si>
    <t>До Програми розвитку інфраструктури та комплексного благоустрою міста Запоріжжя на 2020-2022 роки</t>
  </si>
  <si>
    <t>з виконання Програми розвитку інфраструктури та комплексного благоустрою міста Запоріжжя на 2020-2022 роки</t>
  </si>
  <si>
    <t>Комунальне ремонтно-будівельне підприємство "Зеленбуд"</t>
  </si>
  <si>
    <t>Комунальне підприємство "Титан"</t>
  </si>
  <si>
    <t>Спеціалізоване комунальне підприємство "Запорізька ритуальна служба"</t>
  </si>
  <si>
    <t>енергопостачання засобів регулювання дорожнього руху</t>
  </si>
  <si>
    <t>освітлення міста (ел.енергія)</t>
  </si>
  <si>
    <t>Інша діяльність у сфері комунального господарства</t>
  </si>
  <si>
    <t>Інша діяльність у сфері комунального господарства, в тому числі:</t>
  </si>
  <si>
    <t>нанесення дорожньої розмітки</t>
  </si>
  <si>
    <t>Надання ритуальних послуг окремим категоріям громадян</t>
  </si>
  <si>
    <t>Надання ритуальних послуг окремим категоріям громадян, в тому числі:</t>
  </si>
  <si>
    <t xml:space="preserve">поховання померлих одиноких громадян, осіб без певного місця проживання, громадян, від поховання яких відмовилися рідні, знайдених невпізнаних трупів  </t>
  </si>
  <si>
    <t>поховання померлих почесних громадян міста</t>
  </si>
  <si>
    <t>перевезення експертних трупів</t>
  </si>
  <si>
    <t>експлуатація та утримання мостів</t>
  </si>
  <si>
    <t>обстеження та очистка дна акваторії Центрального і Правобережного пляжів</t>
  </si>
  <si>
    <t>очистка дна акваторії Центрального і Правобережного пляжів</t>
  </si>
  <si>
    <t>отримання сертифікатів про готовність об'єкту до експлуатації</t>
  </si>
  <si>
    <t>забезпечення збереження (охорони) об’єкту незавершеного будівництва</t>
  </si>
  <si>
    <t>догляд за зеленими насадженнями</t>
  </si>
  <si>
    <t>видалення несанкціонованих надписів типу «графіті» на об’єктах благоустрою (зафарбовування графіті)</t>
  </si>
  <si>
    <t>виконання робіт з монтажу та демонтажу міської новорічної ялинки, новорічних гірлянд та інші заходи з підготовки, проведення та завершення святкування новорічних і різдвяних свят</t>
  </si>
  <si>
    <t>Додаток 1.1</t>
  </si>
  <si>
    <t xml:space="preserve">утримання парків, скверів та поточний ремонт їх елементів </t>
  </si>
  <si>
    <t>розробка схеми органзіації дорожнього руху</t>
  </si>
  <si>
    <t>Розробка схеми організації дорожнього руху, в тому числі:</t>
  </si>
  <si>
    <t>поточний ремонт доріг</t>
  </si>
  <si>
    <t>поточний ремонт тротуарів</t>
  </si>
  <si>
    <t>Будівництво об'єктів комунального господарства</t>
  </si>
  <si>
    <t>забезпечення  проектування, будівництва та реконструкції об'єктів</t>
  </si>
  <si>
    <t xml:space="preserve">капітальний ремонт об'єктів благоустрою </t>
  </si>
  <si>
    <t>капітальний ремонт світлофорних об'єктів</t>
  </si>
  <si>
    <t>капітальний ремонт об'єктів зовнішнього освітлення</t>
  </si>
  <si>
    <t>Капітальний ремонт об'єктів благоустрою, в тому числі:</t>
  </si>
  <si>
    <t>Поточний ремонт об’єктів дорожньої інфраструктури, в тому числі:</t>
  </si>
  <si>
    <t>Будівництво, реконструкція та капітальний ремонт об’єктів дорожньої інфраструктури, в тому числі:</t>
  </si>
  <si>
    <t>забезпечення  проектування, будівництва та реконструкції об'єктів дорожньої інфраструктури</t>
  </si>
  <si>
    <t>капітальний ремонт об’єктів дорожньої інфраструктури</t>
  </si>
  <si>
    <t>демонтаж самовільно розміщеного об’єкта</t>
  </si>
  <si>
    <t>Демонтаж об'єктів благоустрою, в тому числі:</t>
  </si>
  <si>
    <t>інспекція з благоустрою Запорізької міської ради</t>
  </si>
  <si>
    <t>геологічно-розвідувальні роботи</t>
  </si>
  <si>
    <t>Геологічно-розвідувальні роботи:</t>
  </si>
  <si>
    <t>формування страхового фонду документації</t>
  </si>
  <si>
    <t>встановлення малих архітектурних форм</t>
  </si>
  <si>
    <t>проведення будівельно-технічної експертизи</t>
  </si>
  <si>
    <t>в т.ч. за рахунок коштів субвенції з державного бюджету місцевим бюджетам на здійснення заходів щодо соціально-економічного розвитку окремих територій</t>
  </si>
  <si>
    <t>департамент фінансової та бюджетної політики Запорізької міської ради</t>
  </si>
  <si>
    <t xml:space="preserve">субвенція з місцевого бюджету обласному бюджету на співфінансування інвестиційного проекту «Реконструкція площі Фестивальної в м. Запоріжжі»
</t>
  </si>
  <si>
    <t>Будівництво, реконструкція та капітальний ремонт об'єктів комунального господарства, в тому числі:</t>
  </si>
  <si>
    <t>в т.ч. за рахунок коштів іншої субвенії</t>
  </si>
  <si>
    <t xml:space="preserve">встановлення засобів регулювання дорожнього руху </t>
  </si>
  <si>
    <t>поповнення обігових коштів підприємства для забезпечення роботи об'єктів електроенергетики та виконання робіт з технічного обслуговування і утримання їх в робочому стані</t>
  </si>
  <si>
    <t>поточний ремонт та технічне обслуговування засобів регулювання дорожнього руху</t>
  </si>
  <si>
    <t>поповнення обігових коштів підприємства на придбання обладнання та придбання матеріалів для малої архітектурної форми "Альтанка" з їх кріпленням</t>
  </si>
  <si>
    <t>Інші кошти</t>
  </si>
  <si>
    <t>Поповнення обігових коштів для забезпечення стабільної роботи підприємства</t>
  </si>
  <si>
    <t>визнання поворотної фінансової допомоги, наданої комунальному підприємству «Центральний парк культури та відпочинку «Дубовий гай» комунальним підприємством «Градпроект» на виконання рішення виконавчого комітету міської ради від 14.08.2020 №313 «Про надання фінансової допомоги» у розмірі 250 000 (двісті п'ятдесят тисяч) грн., безповоротною.</t>
  </si>
  <si>
    <t xml:space="preserve">супроводження проходження процедури оцінки впливу на довкілля </t>
  </si>
  <si>
    <t>бюджет міста/державний бюджет</t>
  </si>
  <si>
    <t xml:space="preserve">утримання мереж зливової каналізації </t>
  </si>
  <si>
    <t>поповнення обігових коштів підприємства для впровадження автоматичної системи комерційного обліку електроенергії (АСКОЕ)</t>
  </si>
  <si>
    <t>Г.Б. Наумов</t>
  </si>
  <si>
    <t>поповнення обігових коштів підприємства на придбання автоматизованої системи керування дорожнім рухом (АСКДР)</t>
  </si>
  <si>
    <t xml:space="preserve">в т.ч. за рахунок коштів іншої субвенції з обласного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</si>
</sst>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" fillId="0" borderId="0"/>
  </cellStyleXfs>
  <cellXfs count="86">
    <xf numFmtId="0" fontId="0" fillId="0" borderId="0" xfId="0"/>
    <xf numFmtId="0" fontId="2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  <xf numFmtId="0" fontId="10" fillId="2" borderId="0" xfId="0" applyFont="1" applyFill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0" fillId="2" borderId="0" xfId="0" applyNumberFormat="1" applyFont="1" applyFill="1" applyAlignment="1">
      <alignment horizontal="center" vertical="top" wrapText="1"/>
    </xf>
    <xf numFmtId="0" fontId="12" fillId="2" borderId="2" xfId="0" applyFont="1" applyFill="1" applyBorder="1" applyAlignment="1">
      <alignment vertical="center" wrapText="1"/>
    </xf>
    <xf numFmtId="164" fontId="12" fillId="2" borderId="2" xfId="0" applyNumberFormat="1" applyFont="1" applyFill="1" applyBorder="1" applyAlignment="1">
      <alignment horizontal="center" vertical="top" wrapText="1"/>
    </xf>
    <xf numFmtId="164" fontId="12" fillId="2" borderId="0" xfId="0" applyNumberFormat="1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164" fontId="9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center" wrapText="1"/>
    </xf>
    <xf numFmtId="0" fontId="11" fillId="2" borderId="4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164" fontId="10" fillId="2" borderId="0" xfId="0" applyNumberFormat="1" applyFont="1" applyFill="1" applyAlignment="1">
      <alignment horizontal="center" vertical="center" wrapText="1"/>
    </xf>
    <xf numFmtId="0" fontId="12" fillId="2" borderId="2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3" fillId="2" borderId="0" xfId="0" applyNumberFormat="1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10" fillId="2" borderId="0" xfId="0" applyFont="1" applyFill="1" applyAlignment="1">
      <alignment vertical="top" wrapText="1"/>
    </xf>
    <xf numFmtId="164" fontId="10" fillId="2" borderId="0" xfId="0" applyNumberFormat="1" applyFont="1" applyFill="1" applyAlignment="1">
      <alignment vertical="top" wrapText="1"/>
    </xf>
    <xf numFmtId="0" fontId="10" fillId="2" borderId="1" xfId="0" applyNumberFormat="1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 wrapText="1"/>
    </xf>
    <xf numFmtId="164" fontId="13" fillId="2" borderId="2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164" fontId="10" fillId="2" borderId="3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164" fontId="10" fillId="2" borderId="4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center" wrapText="1"/>
    </xf>
    <xf numFmtId="164" fontId="10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left" vertical="distributed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164" fontId="2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</cellXfs>
  <cellStyles count="4">
    <cellStyle name="Звичайний" xfId="0" builtinId="0"/>
    <cellStyle name="Звичайний 2" xfId="3"/>
    <cellStyle name="Обычный 13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M108"/>
  <sheetViews>
    <sheetView tabSelected="1" view="pageBreakPreview" topLeftCell="A97" zoomScaleNormal="75" zoomScaleSheetLayoutView="100" workbookViewId="0">
      <selection activeCell="C16" sqref="C16:C23"/>
    </sheetView>
  </sheetViews>
  <sheetFormatPr defaultColWidth="9.140625" defaultRowHeight="12.75" x14ac:dyDescent="0.2"/>
  <cols>
    <col min="1" max="1" width="31.85546875" style="1" customWidth="1"/>
    <col min="2" max="2" width="38.85546875" style="1" customWidth="1"/>
    <col min="3" max="3" width="22.7109375" style="5" customWidth="1"/>
    <col min="4" max="4" width="22.28515625" style="5" customWidth="1"/>
    <col min="5" max="5" width="14.85546875" style="5" customWidth="1"/>
    <col min="6" max="6" width="16.85546875" style="5" customWidth="1"/>
    <col min="7" max="7" width="16.140625" style="5" customWidth="1"/>
    <col min="8" max="8" width="14.5703125" style="5" customWidth="1"/>
    <col min="9" max="9" width="13" style="1" bestFit="1" customWidth="1"/>
    <col min="10" max="10" width="37.7109375" style="1" customWidth="1"/>
    <col min="11" max="12" width="9.140625" style="1"/>
    <col min="13" max="13" width="10.5703125" style="1" bestFit="1" customWidth="1"/>
    <col min="14" max="16384" width="9.140625" style="1"/>
  </cols>
  <sheetData>
    <row r="1" spans="1:9" ht="23.25" customHeight="1" x14ac:dyDescent="0.2">
      <c r="C1" s="2"/>
      <c r="D1" s="2"/>
      <c r="E1" s="2"/>
      <c r="F1" s="74" t="s">
        <v>14</v>
      </c>
      <c r="G1" s="74"/>
      <c r="H1" s="74"/>
    </row>
    <row r="2" spans="1:9" ht="23.25" customHeight="1" x14ac:dyDescent="0.2">
      <c r="C2" s="2"/>
      <c r="D2" s="2"/>
      <c r="E2" s="2"/>
      <c r="F2" s="74" t="s">
        <v>15</v>
      </c>
      <c r="G2" s="74"/>
      <c r="H2" s="74"/>
    </row>
    <row r="3" spans="1:9" ht="23.25" customHeight="1" x14ac:dyDescent="0.2">
      <c r="C3" s="2"/>
      <c r="D3" s="2"/>
      <c r="E3" s="2"/>
      <c r="F3" s="75" t="s">
        <v>17</v>
      </c>
      <c r="G3" s="75"/>
      <c r="H3" s="75"/>
    </row>
    <row r="4" spans="1:9" ht="23.25" x14ac:dyDescent="0.2">
      <c r="C4" s="2"/>
      <c r="D4" s="2"/>
      <c r="E4" s="2"/>
      <c r="F4" s="56"/>
      <c r="G4" s="56"/>
      <c r="H4" s="56"/>
    </row>
    <row r="5" spans="1:9" s="3" customFormat="1" ht="25.5" customHeight="1" x14ac:dyDescent="0.2">
      <c r="C5" s="2"/>
      <c r="D5" s="2"/>
      <c r="E5" s="2"/>
      <c r="F5" s="74" t="s">
        <v>61</v>
      </c>
      <c r="G5" s="74"/>
      <c r="H5" s="74"/>
    </row>
    <row r="6" spans="1:9" s="3" customFormat="1" ht="141" customHeight="1" x14ac:dyDescent="0.2">
      <c r="C6" s="4"/>
      <c r="D6" s="4"/>
      <c r="E6" s="4"/>
      <c r="F6" s="76" t="s">
        <v>38</v>
      </c>
      <c r="G6" s="76"/>
      <c r="H6" s="76"/>
    </row>
    <row r="7" spans="1:9" x14ac:dyDescent="0.2">
      <c r="I7" s="6"/>
    </row>
    <row r="8" spans="1:9" s="3" customFormat="1" ht="22.5" x14ac:dyDescent="0.2">
      <c r="A8" s="77" t="s">
        <v>6</v>
      </c>
      <c r="B8" s="77"/>
      <c r="C8" s="77"/>
      <c r="D8" s="77"/>
      <c r="E8" s="77"/>
      <c r="F8" s="77"/>
      <c r="G8" s="77"/>
      <c r="H8" s="77"/>
    </row>
    <row r="9" spans="1:9" s="3" customFormat="1" ht="20.25" customHeight="1" x14ac:dyDescent="0.2">
      <c r="A9" s="78" t="s">
        <v>39</v>
      </c>
      <c r="B9" s="78"/>
      <c r="C9" s="78"/>
      <c r="D9" s="78"/>
      <c r="E9" s="78"/>
      <c r="F9" s="78"/>
      <c r="G9" s="78"/>
      <c r="H9" s="78"/>
    </row>
    <row r="10" spans="1:9" s="3" customFormat="1" ht="12.75" customHeight="1" x14ac:dyDescent="0.2">
      <c r="A10" s="58"/>
      <c r="B10" s="58"/>
      <c r="C10" s="58"/>
      <c r="D10" s="58"/>
      <c r="E10" s="58"/>
      <c r="F10" s="58"/>
      <c r="G10" s="58"/>
      <c r="H10" s="58"/>
    </row>
    <row r="11" spans="1:9" s="7" customFormat="1" ht="13.5" customHeight="1" x14ac:dyDescent="0.2">
      <c r="A11" s="79" t="s">
        <v>0</v>
      </c>
      <c r="B11" s="79" t="s">
        <v>1</v>
      </c>
      <c r="C11" s="79" t="s">
        <v>2</v>
      </c>
      <c r="D11" s="79" t="s">
        <v>3</v>
      </c>
      <c r="E11" s="79" t="s">
        <v>11</v>
      </c>
      <c r="F11" s="79"/>
      <c r="G11" s="79"/>
      <c r="H11" s="79"/>
    </row>
    <row r="12" spans="1:9" s="7" customFormat="1" ht="11.25" customHeight="1" x14ac:dyDescent="0.2">
      <c r="A12" s="79"/>
      <c r="B12" s="79"/>
      <c r="C12" s="79"/>
      <c r="D12" s="79"/>
      <c r="E12" s="79" t="s">
        <v>4</v>
      </c>
      <c r="F12" s="79" t="s">
        <v>5</v>
      </c>
      <c r="G12" s="79"/>
      <c r="H12" s="79"/>
    </row>
    <row r="13" spans="1:9" s="7" customFormat="1" ht="65.25" customHeight="1" x14ac:dyDescent="0.2">
      <c r="A13" s="79"/>
      <c r="B13" s="79"/>
      <c r="C13" s="79"/>
      <c r="D13" s="79"/>
      <c r="E13" s="79"/>
      <c r="F13" s="59">
        <v>2020</v>
      </c>
      <c r="G13" s="59">
        <v>2021</v>
      </c>
      <c r="H13" s="59">
        <v>2022</v>
      </c>
    </row>
    <row r="14" spans="1:9" s="7" customFormat="1" ht="17.25" customHeight="1" x14ac:dyDescent="0.2">
      <c r="A14" s="59">
        <v>1</v>
      </c>
      <c r="B14" s="59">
        <v>2</v>
      </c>
      <c r="C14" s="59">
        <v>3</v>
      </c>
      <c r="D14" s="59">
        <v>4</v>
      </c>
      <c r="E14" s="59">
        <v>5</v>
      </c>
      <c r="F14" s="59">
        <v>6</v>
      </c>
      <c r="G14" s="59">
        <v>7</v>
      </c>
      <c r="H14" s="59">
        <v>8</v>
      </c>
    </row>
    <row r="15" spans="1:9" s="7" customFormat="1" ht="17.25" customHeight="1" x14ac:dyDescent="0.2">
      <c r="A15" s="62" t="s">
        <v>67</v>
      </c>
      <c r="B15" s="63"/>
      <c r="C15" s="63"/>
      <c r="D15" s="63"/>
      <c r="E15" s="63"/>
      <c r="F15" s="63"/>
      <c r="G15" s="63"/>
      <c r="H15" s="64"/>
    </row>
    <row r="16" spans="1:9" s="7" customFormat="1" ht="17.25" customHeight="1" x14ac:dyDescent="0.2">
      <c r="A16" s="65" t="s">
        <v>88</v>
      </c>
      <c r="B16" s="59"/>
      <c r="C16" s="68" t="s">
        <v>22</v>
      </c>
      <c r="D16" s="68" t="s">
        <v>98</v>
      </c>
      <c r="E16" s="8">
        <f t="shared" ref="E16" si="0">F16+G16+H16</f>
        <v>185289.28100000002</v>
      </c>
      <c r="F16" s="9">
        <f>SUM(F17:F23)-F20-F18</f>
        <v>96520.793000000005</v>
      </c>
      <c r="G16" s="9">
        <f>SUM(G17:G23)-G20-G18-G19</f>
        <v>88768.487999999998</v>
      </c>
      <c r="H16" s="10">
        <f t="shared" ref="H16" si="1">H17</f>
        <v>0</v>
      </c>
    </row>
    <row r="17" spans="1:11" s="7" customFormat="1" ht="39" customHeight="1" x14ac:dyDescent="0.2">
      <c r="A17" s="66"/>
      <c r="B17" s="11" t="s">
        <v>68</v>
      </c>
      <c r="C17" s="69"/>
      <c r="D17" s="69"/>
      <c r="E17" s="12">
        <f t="shared" ref="E17:E34" si="2">F17+G17+H17</f>
        <v>177318.64500000002</v>
      </c>
      <c r="F17" s="12">
        <f>149746.008+2437.192-30383.426+2658.943+830-471.23-29252.971+170-388.062+5700+210.359-5100+235.261+395.801-80-1347.47+1460.745-10941.03+519.505+1560.249+2020</f>
        <v>89979.873999999996</v>
      </c>
      <c r="G17" s="12">
        <f>80760.871+3575.994-0.001+1989.081+177.826+835</f>
        <v>87338.771000000008</v>
      </c>
      <c r="H17" s="12"/>
      <c r="I17" s="13"/>
      <c r="J17" s="23"/>
    </row>
    <row r="18" spans="1:11" s="17" customFormat="1" ht="82.5" customHeight="1" x14ac:dyDescent="0.2">
      <c r="A18" s="66"/>
      <c r="B18" s="14" t="s">
        <v>85</v>
      </c>
      <c r="C18" s="69"/>
      <c r="D18" s="69"/>
      <c r="E18" s="15">
        <f t="shared" si="2"/>
        <v>6826.5940000000001</v>
      </c>
      <c r="F18" s="15">
        <f>2563.822+1460.745</f>
        <v>4024.567</v>
      </c>
      <c r="G18" s="15">
        <v>2802.027</v>
      </c>
      <c r="H18" s="15"/>
      <c r="I18" s="16"/>
    </row>
    <row r="19" spans="1:11" s="17" customFormat="1" ht="41.25" customHeight="1" x14ac:dyDescent="0.2">
      <c r="A19" s="66"/>
      <c r="B19" s="14" t="s">
        <v>103</v>
      </c>
      <c r="C19" s="69"/>
      <c r="D19" s="69"/>
      <c r="E19" s="15"/>
      <c r="F19" s="15"/>
      <c r="G19" s="15">
        <v>835</v>
      </c>
      <c r="H19" s="15"/>
      <c r="I19" s="16"/>
    </row>
    <row r="20" spans="1:11" s="17" customFormat="1" ht="33.75" customHeight="1" x14ac:dyDescent="0.2">
      <c r="A20" s="66"/>
      <c r="B20" s="18" t="s">
        <v>89</v>
      </c>
      <c r="C20" s="69"/>
      <c r="D20" s="69"/>
      <c r="E20" s="15">
        <f t="shared" si="2"/>
        <v>170</v>
      </c>
      <c r="F20" s="15">
        <v>170</v>
      </c>
      <c r="G20" s="15"/>
      <c r="H20" s="15"/>
      <c r="I20" s="16"/>
    </row>
    <row r="21" spans="1:11" s="7" customFormat="1" ht="33.75" customHeight="1" x14ac:dyDescent="0.2">
      <c r="A21" s="66"/>
      <c r="B21" s="11" t="s">
        <v>69</v>
      </c>
      <c r="C21" s="69"/>
      <c r="D21" s="69"/>
      <c r="E21" s="12">
        <f t="shared" si="2"/>
        <v>2729.8969999999999</v>
      </c>
      <c r="F21" s="12">
        <f>5900-1260-1652.259+760.263+890-2020</f>
        <v>2618.0039999999999</v>
      </c>
      <c r="G21" s="12">
        <f>109.074+2.819</f>
        <v>111.893</v>
      </c>
      <c r="H21" s="12"/>
      <c r="I21" s="13"/>
    </row>
    <row r="22" spans="1:11" s="7" customFormat="1" ht="31.5" x14ac:dyDescent="0.2">
      <c r="A22" s="66"/>
      <c r="B22" s="11" t="s">
        <v>70</v>
      </c>
      <c r="C22" s="69"/>
      <c r="D22" s="69"/>
      <c r="E22" s="12">
        <f t="shared" si="2"/>
        <v>3701.913</v>
      </c>
      <c r="F22" s="12">
        <f>6698.98-2319.151-1560.249</f>
        <v>2819.58</v>
      </c>
      <c r="G22" s="12">
        <f>774.439+5.265+102.629</f>
        <v>882.33299999999997</v>
      </c>
      <c r="H22" s="12"/>
      <c r="I22" s="13"/>
    </row>
    <row r="23" spans="1:11" s="7" customFormat="1" ht="34.5" customHeight="1" x14ac:dyDescent="0.2">
      <c r="A23" s="66"/>
      <c r="B23" s="11" t="s">
        <v>71</v>
      </c>
      <c r="C23" s="70"/>
      <c r="D23" s="70"/>
      <c r="E23" s="12">
        <f t="shared" si="2"/>
        <v>1538.826</v>
      </c>
      <c r="F23" s="12">
        <f>1419.019+471.23-143.834-123.575-519.505</f>
        <v>1103.335</v>
      </c>
      <c r="G23" s="12">
        <v>435.49099999999999</v>
      </c>
      <c r="H23" s="12"/>
      <c r="I23" s="13"/>
    </row>
    <row r="24" spans="1:11" s="20" customFormat="1" ht="14.25" hidden="1" customHeight="1" x14ac:dyDescent="0.2">
      <c r="A24" s="66"/>
      <c r="B24" s="54"/>
      <c r="C24" s="68" t="s">
        <v>86</v>
      </c>
      <c r="D24" s="68" t="s">
        <v>7</v>
      </c>
      <c r="E24" s="19">
        <f>F24</f>
        <v>0</v>
      </c>
      <c r="F24" s="19">
        <f>F25</f>
        <v>0</v>
      </c>
      <c r="G24" s="19"/>
      <c r="H24" s="19"/>
    </row>
    <row r="25" spans="1:11" s="7" customFormat="1" ht="80.25" hidden="1" customHeight="1" x14ac:dyDescent="0.2">
      <c r="A25" s="67"/>
      <c r="B25" s="11" t="s">
        <v>87</v>
      </c>
      <c r="C25" s="70"/>
      <c r="D25" s="70"/>
      <c r="E25" s="12">
        <f>F25</f>
        <v>0</v>
      </c>
      <c r="F25" s="12">
        <f>50000-50000</f>
        <v>0</v>
      </c>
      <c r="G25" s="12"/>
      <c r="H25" s="12"/>
    </row>
    <row r="26" spans="1:11" s="7" customFormat="1" ht="17.25" customHeight="1" x14ac:dyDescent="0.2">
      <c r="A26" s="71" t="s">
        <v>36</v>
      </c>
      <c r="B26" s="71"/>
      <c r="C26" s="71"/>
      <c r="D26" s="71"/>
      <c r="E26" s="71"/>
      <c r="F26" s="71"/>
      <c r="G26" s="71"/>
      <c r="H26" s="71"/>
    </row>
    <row r="27" spans="1:11" s="20" customFormat="1" ht="15" customHeight="1" x14ac:dyDescent="0.2">
      <c r="A27" s="65" t="s">
        <v>33</v>
      </c>
      <c r="B27" s="21"/>
      <c r="C27" s="68" t="s">
        <v>22</v>
      </c>
      <c r="D27" s="68" t="s">
        <v>98</v>
      </c>
      <c r="E27" s="8">
        <f t="shared" si="2"/>
        <v>35626.521999999997</v>
      </c>
      <c r="F27" s="8">
        <f>F28</f>
        <v>4765</v>
      </c>
      <c r="G27" s="8">
        <f>G28</f>
        <v>15401.891</v>
      </c>
      <c r="H27" s="8">
        <f t="shared" ref="H27" si="3">H28</f>
        <v>15459.630999999999</v>
      </c>
    </row>
    <row r="28" spans="1:11" s="7" customFormat="1" ht="66.75" customHeight="1" x14ac:dyDescent="0.2">
      <c r="A28" s="66"/>
      <c r="B28" s="22" t="s">
        <v>37</v>
      </c>
      <c r="C28" s="69"/>
      <c r="D28" s="69"/>
      <c r="E28" s="12">
        <f t="shared" si="2"/>
        <v>35626.521999999997</v>
      </c>
      <c r="F28" s="12">
        <f>SUM(F29:F34)-F30</f>
        <v>4765</v>
      </c>
      <c r="G28" s="12">
        <f t="shared" ref="G28" si="4">SUM(G29:G34)</f>
        <v>15401.891</v>
      </c>
      <c r="H28" s="12">
        <f>SUM(H29:H34)</f>
        <v>15459.630999999999</v>
      </c>
      <c r="I28" s="23"/>
      <c r="K28" s="23"/>
    </row>
    <row r="29" spans="1:11" s="7" customFormat="1" ht="47.25" customHeight="1" x14ac:dyDescent="0.2">
      <c r="A29" s="66"/>
      <c r="B29" s="14" t="s">
        <v>34</v>
      </c>
      <c r="C29" s="69"/>
      <c r="D29" s="69"/>
      <c r="E29" s="15">
        <f t="shared" si="2"/>
        <v>35476.521999999997</v>
      </c>
      <c r="F29" s="15">
        <f>3165+1450</f>
        <v>4615</v>
      </c>
      <c r="G29" s="15">
        <v>15401.891</v>
      </c>
      <c r="H29" s="15">
        <v>15459.630999999999</v>
      </c>
      <c r="I29" s="23"/>
    </row>
    <row r="30" spans="1:11" s="7" customFormat="1" ht="81.75" customHeight="1" x14ac:dyDescent="0.2">
      <c r="A30" s="66"/>
      <c r="B30" s="14" t="s">
        <v>85</v>
      </c>
      <c r="C30" s="69"/>
      <c r="D30" s="69"/>
      <c r="E30" s="15">
        <f t="shared" si="2"/>
        <v>4615</v>
      </c>
      <c r="F30" s="15">
        <f>3165+1450</f>
        <v>4615</v>
      </c>
      <c r="G30" s="15"/>
      <c r="H30" s="15"/>
      <c r="I30" s="23"/>
    </row>
    <row r="31" spans="1:11" s="7" customFormat="1" ht="31.5" x14ac:dyDescent="0.2">
      <c r="A31" s="66"/>
      <c r="B31" s="24" t="s">
        <v>40</v>
      </c>
      <c r="C31" s="69"/>
      <c r="D31" s="69"/>
      <c r="E31" s="15">
        <f t="shared" si="2"/>
        <v>150</v>
      </c>
      <c r="F31" s="15">
        <v>150</v>
      </c>
      <c r="G31" s="15"/>
      <c r="H31" s="15"/>
      <c r="I31" s="23"/>
    </row>
    <row r="32" spans="1:11" s="7" customFormat="1" ht="15.75" hidden="1" x14ac:dyDescent="0.2">
      <c r="A32" s="66"/>
      <c r="B32" s="24" t="s">
        <v>41</v>
      </c>
      <c r="C32" s="69"/>
      <c r="D32" s="69"/>
      <c r="E32" s="15">
        <f t="shared" si="2"/>
        <v>0</v>
      </c>
      <c r="F32" s="15"/>
      <c r="G32" s="12"/>
      <c r="H32" s="12"/>
      <c r="I32" s="23"/>
    </row>
    <row r="33" spans="1:10" s="7" customFormat="1" ht="47.25" hidden="1" x14ac:dyDescent="0.2">
      <c r="A33" s="66"/>
      <c r="B33" s="24" t="s">
        <v>42</v>
      </c>
      <c r="C33" s="69"/>
      <c r="D33" s="69"/>
      <c r="E33" s="15">
        <f t="shared" si="2"/>
        <v>0</v>
      </c>
      <c r="F33" s="15"/>
      <c r="G33" s="12"/>
      <c r="H33" s="12"/>
      <c r="I33" s="23"/>
    </row>
    <row r="34" spans="1:10" s="28" customFormat="1" ht="47.25" hidden="1" x14ac:dyDescent="0.2">
      <c r="A34" s="67"/>
      <c r="B34" s="25" t="s">
        <v>35</v>
      </c>
      <c r="C34" s="70"/>
      <c r="D34" s="70"/>
      <c r="E34" s="26">
        <f t="shared" si="2"/>
        <v>0</v>
      </c>
      <c r="F34" s="26">
        <f>2555.948-2555.948</f>
        <v>0</v>
      </c>
      <c r="G34" s="26"/>
      <c r="H34" s="26"/>
      <c r="I34" s="27"/>
    </row>
    <row r="35" spans="1:10" s="29" customFormat="1" ht="15.75" x14ac:dyDescent="0.2">
      <c r="A35" s="71" t="s">
        <v>21</v>
      </c>
      <c r="B35" s="71"/>
      <c r="C35" s="71"/>
      <c r="D35" s="71"/>
      <c r="E35" s="71"/>
      <c r="F35" s="71"/>
      <c r="G35" s="71"/>
      <c r="H35" s="71"/>
    </row>
    <row r="36" spans="1:10" s="29" customFormat="1" ht="18.75" customHeight="1" x14ac:dyDescent="0.2">
      <c r="A36" s="65" t="s">
        <v>27</v>
      </c>
      <c r="B36" s="55"/>
      <c r="C36" s="68" t="s">
        <v>22</v>
      </c>
      <c r="D36" s="68" t="s">
        <v>7</v>
      </c>
      <c r="E36" s="19">
        <f>F36+G36+H36</f>
        <v>569039.35368399997</v>
      </c>
      <c r="F36" s="19">
        <f>SUM(F37:F50)</f>
        <v>170706.80599999998</v>
      </c>
      <c r="G36" s="19">
        <f>SUM(G37:G50)</f>
        <v>194980.38200000001</v>
      </c>
      <c r="H36" s="19">
        <f>SUM(H37:H50)</f>
        <v>203352.16568400001</v>
      </c>
    </row>
    <row r="37" spans="1:10" s="31" customFormat="1" ht="36" customHeight="1" x14ac:dyDescent="0.2">
      <c r="A37" s="66"/>
      <c r="B37" s="30" t="s">
        <v>18</v>
      </c>
      <c r="C37" s="69"/>
      <c r="D37" s="69"/>
      <c r="E37" s="12">
        <f t="shared" ref="E37:E66" si="5">F37+G37+H37</f>
        <v>126462.102</v>
      </c>
      <c r="F37" s="12">
        <f>38000+342.702-446.6-100</f>
        <v>37796.101999999999</v>
      </c>
      <c r="G37" s="12">
        <v>43000</v>
      </c>
      <c r="H37" s="12">
        <f t="shared" ref="H37:H48" si="6">G37*1.062</f>
        <v>45666</v>
      </c>
    </row>
    <row r="38" spans="1:10" s="31" customFormat="1" ht="31.5" x14ac:dyDescent="0.2">
      <c r="A38" s="66"/>
      <c r="B38" s="30" t="s">
        <v>62</v>
      </c>
      <c r="C38" s="69"/>
      <c r="D38" s="69"/>
      <c r="E38" s="12">
        <f t="shared" si="5"/>
        <v>69510.275733999995</v>
      </c>
      <c r="F38" s="12">
        <f>8240.336+5000+2661.714-341.308+129.474-184.044</f>
        <v>15506.171999999999</v>
      </c>
      <c r="G38" s="12">
        <f>14493.664+5800+1820.696+40+1668.364+2297.707+69.726</f>
        <v>26190.156999999999</v>
      </c>
      <c r="H38" s="12">
        <f t="shared" si="6"/>
        <v>27813.946734000001</v>
      </c>
    </row>
    <row r="39" spans="1:10" s="31" customFormat="1" ht="31.5" x14ac:dyDescent="0.2">
      <c r="A39" s="66"/>
      <c r="B39" s="30" t="s">
        <v>28</v>
      </c>
      <c r="C39" s="69"/>
      <c r="D39" s="69"/>
      <c r="E39" s="12">
        <f t="shared" si="5"/>
        <v>18064.275604000002</v>
      </c>
      <c r="F39" s="12">
        <f>5760.755+354.1+155.992-51.817</f>
        <v>6219.0300000000007</v>
      </c>
      <c r="G39" s="12">
        <v>5744.5420000000004</v>
      </c>
      <c r="H39" s="12">
        <f t="shared" si="6"/>
        <v>6100.7036040000003</v>
      </c>
      <c r="J39" s="32"/>
    </row>
    <row r="40" spans="1:10" s="31" customFormat="1" ht="31.5" x14ac:dyDescent="0.2">
      <c r="A40" s="66"/>
      <c r="B40" s="30" t="s">
        <v>23</v>
      </c>
      <c r="C40" s="69"/>
      <c r="D40" s="69"/>
      <c r="E40" s="12">
        <f t="shared" si="5"/>
        <v>24612.773849999998</v>
      </c>
      <c r="F40" s="12">
        <f>6052.554+760+25.419</f>
        <v>6837.973</v>
      </c>
      <c r="G40" s="12">
        <v>8620.1749999999993</v>
      </c>
      <c r="H40" s="12">
        <f t="shared" si="6"/>
        <v>9154.6258500000004</v>
      </c>
    </row>
    <row r="41" spans="1:10" s="31" customFormat="1" ht="18.75" customHeight="1" x14ac:dyDescent="0.2">
      <c r="A41" s="66"/>
      <c r="B41" s="30" t="s">
        <v>58</v>
      </c>
      <c r="C41" s="69"/>
      <c r="D41" s="69"/>
      <c r="E41" s="12">
        <f t="shared" si="5"/>
        <v>195726.429534</v>
      </c>
      <c r="F41" s="12">
        <f>64500+42.01-77.827+40-1041.768</f>
        <v>63462.415000000008</v>
      </c>
      <c r="G41" s="12">
        <f>64800-656.443</f>
        <v>64143.557000000001</v>
      </c>
      <c r="H41" s="12">
        <f t="shared" si="6"/>
        <v>68120.457534000001</v>
      </c>
    </row>
    <row r="42" spans="1:10" s="31" customFormat="1" ht="47.25" x14ac:dyDescent="0.2">
      <c r="A42" s="66"/>
      <c r="B42" s="30" t="s">
        <v>54</v>
      </c>
      <c r="C42" s="69"/>
      <c r="D42" s="69"/>
      <c r="E42" s="12">
        <f t="shared" si="5"/>
        <v>306.15725600000002</v>
      </c>
      <c r="F42" s="12">
        <v>99.981999999999999</v>
      </c>
      <c r="G42" s="12">
        <v>99.988</v>
      </c>
      <c r="H42" s="12">
        <f t="shared" si="6"/>
        <v>106.187256</v>
      </c>
      <c r="J42" s="32"/>
    </row>
    <row r="43" spans="1:10" s="31" customFormat="1" ht="33.75" hidden="1" customHeight="1" x14ac:dyDescent="0.2">
      <c r="A43" s="66"/>
      <c r="B43" s="30" t="s">
        <v>55</v>
      </c>
      <c r="C43" s="69"/>
      <c r="D43" s="69"/>
      <c r="E43" s="12">
        <f t="shared" si="5"/>
        <v>99.777000000000001</v>
      </c>
      <c r="F43" s="12">
        <v>99.777000000000001</v>
      </c>
      <c r="G43" s="12">
        <f>99.983-99.983</f>
        <v>0</v>
      </c>
      <c r="H43" s="12">
        <f t="shared" si="6"/>
        <v>0</v>
      </c>
    </row>
    <row r="44" spans="1:10" s="31" customFormat="1" ht="18" customHeight="1" x14ac:dyDescent="0.2">
      <c r="A44" s="66"/>
      <c r="B44" s="30" t="s">
        <v>24</v>
      </c>
      <c r="C44" s="69"/>
      <c r="D44" s="69"/>
      <c r="E44" s="12">
        <f t="shared" si="5"/>
        <v>22454.157125999998</v>
      </c>
      <c r="F44" s="12">
        <f>6755.57+119.408</f>
        <v>6874.9780000000001</v>
      </c>
      <c r="G44" s="12">
        <f>7211.219+344.154</f>
        <v>7555.3729999999996</v>
      </c>
      <c r="H44" s="12">
        <f t="shared" si="6"/>
        <v>8023.8061260000004</v>
      </c>
    </row>
    <row r="45" spans="1:10" s="31" customFormat="1" ht="20.25" customHeight="1" x14ac:dyDescent="0.2">
      <c r="A45" s="66"/>
      <c r="B45" s="30" t="s">
        <v>52</v>
      </c>
      <c r="C45" s="69"/>
      <c r="D45" s="69"/>
      <c r="E45" s="12">
        <f t="shared" si="5"/>
        <v>12055.1728</v>
      </c>
      <c r="F45" s="12">
        <f>4040.014+60-70.886-424.856</f>
        <v>3604.2719999999999</v>
      </c>
      <c r="G45" s="12">
        <v>4098.3999999999996</v>
      </c>
      <c r="H45" s="12">
        <f t="shared" si="6"/>
        <v>4352.5007999999998</v>
      </c>
    </row>
    <row r="46" spans="1:10" s="31" customFormat="1" ht="32.25" customHeight="1" x14ac:dyDescent="0.2">
      <c r="A46" s="66"/>
      <c r="B46" s="30" t="s">
        <v>26</v>
      </c>
      <c r="C46" s="69"/>
      <c r="D46" s="69"/>
      <c r="E46" s="12">
        <f t="shared" si="5"/>
        <v>30339.066780000001</v>
      </c>
      <c r="F46" s="12">
        <f>9413.784+1313.289-330</f>
        <v>10397.073</v>
      </c>
      <c r="G46" s="12">
        <f>9587+84.19</f>
        <v>9671.19</v>
      </c>
      <c r="H46" s="12">
        <f t="shared" si="6"/>
        <v>10270.80378</v>
      </c>
    </row>
    <row r="47" spans="1:10" s="31" customFormat="1" ht="47.25" x14ac:dyDescent="0.2">
      <c r="A47" s="66"/>
      <c r="B47" s="30" t="s">
        <v>92</v>
      </c>
      <c r="C47" s="69"/>
      <c r="D47" s="69"/>
      <c r="E47" s="12">
        <f t="shared" ref="E47:E50" si="7">F47+G47+H47</f>
        <v>48276.840000000004</v>
      </c>
      <c r="F47" s="12">
        <f>15154.632+800-191.408</f>
        <v>15763.224</v>
      </c>
      <c r="G47" s="12">
        <v>15768</v>
      </c>
      <c r="H47" s="12">
        <f t="shared" si="6"/>
        <v>16745.616000000002</v>
      </c>
    </row>
    <row r="48" spans="1:10" s="31" customFormat="1" ht="15.75" x14ac:dyDescent="0.2">
      <c r="A48" s="66"/>
      <c r="B48" s="30" t="s">
        <v>47</v>
      </c>
      <c r="C48" s="69"/>
      <c r="D48" s="69"/>
      <c r="E48" s="12">
        <f t="shared" si="7"/>
        <v>17368.808000000001</v>
      </c>
      <c r="F48" s="12">
        <f>6372.633-2087.704-319.121</f>
        <v>3965.808</v>
      </c>
      <c r="G48" s="12">
        <v>6500</v>
      </c>
      <c r="H48" s="12">
        <f t="shared" si="6"/>
        <v>6903</v>
      </c>
    </row>
    <row r="49" spans="1:8" s="31" customFormat="1" ht="15.75" x14ac:dyDescent="0.2">
      <c r="A49" s="66"/>
      <c r="B49" s="30" t="s">
        <v>99</v>
      </c>
      <c r="C49" s="69"/>
      <c r="D49" s="69"/>
      <c r="E49" s="12">
        <f t="shared" si="7"/>
        <v>3500</v>
      </c>
      <c r="F49" s="12"/>
      <c r="G49" s="12">
        <f>2000+3000-1500</f>
        <v>3500</v>
      </c>
      <c r="H49" s="12"/>
    </row>
    <row r="50" spans="1:8" s="31" customFormat="1" ht="48" customHeight="1" x14ac:dyDescent="0.2">
      <c r="A50" s="67"/>
      <c r="B50" s="30" t="s">
        <v>59</v>
      </c>
      <c r="C50" s="70"/>
      <c r="D50" s="70"/>
      <c r="E50" s="12">
        <f t="shared" si="7"/>
        <v>263.51800000000003</v>
      </c>
      <c r="F50" s="12">
        <f>80</f>
        <v>80</v>
      </c>
      <c r="G50" s="12">
        <f>100-11</f>
        <v>89</v>
      </c>
      <c r="H50" s="12">
        <f>G50*1.062</f>
        <v>94.518000000000001</v>
      </c>
    </row>
    <row r="51" spans="1:8" s="31" customFormat="1" ht="17.25" customHeight="1" x14ac:dyDescent="0.2">
      <c r="A51" s="65" t="s">
        <v>8</v>
      </c>
      <c r="B51" s="30"/>
      <c r="C51" s="68" t="s">
        <v>22</v>
      </c>
      <c r="D51" s="68" t="s">
        <v>7</v>
      </c>
      <c r="E51" s="19">
        <f t="shared" si="5"/>
        <v>155220.14995399999</v>
      </c>
      <c r="F51" s="19">
        <f>SUM(F52:F54)</f>
        <v>42951.534999999996</v>
      </c>
      <c r="G51" s="19">
        <f>SUM(G52:G54)</f>
        <v>54446.466999999997</v>
      </c>
      <c r="H51" s="19">
        <f>SUM(H52:H54)</f>
        <v>57822.147954</v>
      </c>
    </row>
    <row r="52" spans="1:8" s="31" customFormat="1" ht="15.75" x14ac:dyDescent="0.2">
      <c r="A52" s="66"/>
      <c r="B52" s="30" t="s">
        <v>44</v>
      </c>
      <c r="C52" s="69"/>
      <c r="D52" s="69"/>
      <c r="E52" s="12">
        <f t="shared" si="5"/>
        <v>141739.454</v>
      </c>
      <c r="F52" s="12">
        <f>43684.666-724.574-3083.438</f>
        <v>39876.653999999995</v>
      </c>
      <c r="G52" s="12">
        <v>49400</v>
      </c>
      <c r="H52" s="12">
        <f>G52*1.062</f>
        <v>52462.8</v>
      </c>
    </row>
    <row r="53" spans="1:8" s="31" customFormat="1" ht="31.5" x14ac:dyDescent="0.2">
      <c r="A53" s="66"/>
      <c r="B53" s="30" t="s">
        <v>43</v>
      </c>
      <c r="C53" s="69"/>
      <c r="D53" s="69"/>
      <c r="E53" s="12">
        <f t="shared" si="5"/>
        <v>6086.8910000000005</v>
      </c>
      <c r="F53" s="12">
        <f>1879.467-294.687-75.529</f>
        <v>1509.2510000000002</v>
      </c>
      <c r="G53" s="12">
        <v>2220</v>
      </c>
      <c r="H53" s="12">
        <f>G53*1.062</f>
        <v>2357.6400000000003</v>
      </c>
    </row>
    <row r="54" spans="1:8" s="31" customFormat="1" ht="47.25" x14ac:dyDescent="0.2">
      <c r="A54" s="66"/>
      <c r="B54" s="22" t="s">
        <v>32</v>
      </c>
      <c r="C54" s="69"/>
      <c r="D54" s="69"/>
      <c r="E54" s="12">
        <f t="shared" si="5"/>
        <v>7393.8049540000002</v>
      </c>
      <c r="F54" s="12">
        <f>2595.809-1030.179</f>
        <v>1565.63</v>
      </c>
      <c r="G54" s="12">
        <f>2800+26.467</f>
        <v>2826.4670000000001</v>
      </c>
      <c r="H54" s="12">
        <f>G54*1.062</f>
        <v>3001.7079540000004</v>
      </c>
    </row>
    <row r="55" spans="1:8" s="31" customFormat="1" ht="16.5" customHeight="1" x14ac:dyDescent="0.2">
      <c r="A55" s="72" t="s">
        <v>9</v>
      </c>
      <c r="B55" s="33"/>
      <c r="C55" s="68" t="s">
        <v>22</v>
      </c>
      <c r="D55" s="73" t="s">
        <v>7</v>
      </c>
      <c r="E55" s="19">
        <f t="shared" si="5"/>
        <v>2047.24045</v>
      </c>
      <c r="F55" s="19">
        <f>SUM(F56:F56)</f>
        <v>388.41300000000001</v>
      </c>
      <c r="G55" s="19">
        <f>SUM(G56:G56)</f>
        <v>804.47500000000002</v>
      </c>
      <c r="H55" s="19">
        <f>SUM(H56:H56)</f>
        <v>854.35245000000009</v>
      </c>
    </row>
    <row r="56" spans="1:8" s="31" customFormat="1" ht="63.75" customHeight="1" x14ac:dyDescent="0.2">
      <c r="A56" s="72"/>
      <c r="B56" s="33" t="s">
        <v>25</v>
      </c>
      <c r="C56" s="69"/>
      <c r="D56" s="73"/>
      <c r="E56" s="12">
        <f t="shared" si="5"/>
        <v>2047.24045</v>
      </c>
      <c r="F56" s="12">
        <f>388.413</f>
        <v>388.41300000000001</v>
      </c>
      <c r="G56" s="12">
        <f>589+215.475</f>
        <v>804.47500000000002</v>
      </c>
      <c r="H56" s="12">
        <f>G56*1.062</f>
        <v>854.35245000000009</v>
      </c>
    </row>
    <row r="57" spans="1:8" s="31" customFormat="1" ht="20.25" customHeight="1" x14ac:dyDescent="0.2">
      <c r="A57" s="65" t="s">
        <v>81</v>
      </c>
      <c r="B57" s="33"/>
      <c r="C57" s="73" t="s">
        <v>22</v>
      </c>
      <c r="D57" s="73" t="s">
        <v>7</v>
      </c>
      <c r="E57" s="19">
        <f t="shared" si="5"/>
        <v>50</v>
      </c>
      <c r="F57" s="19">
        <f>SUM(F58:F58)</f>
        <v>50</v>
      </c>
      <c r="G57" s="12"/>
      <c r="H57" s="12"/>
    </row>
    <row r="58" spans="1:8" s="31" customFormat="1" ht="60.75" customHeight="1" x14ac:dyDescent="0.2">
      <c r="A58" s="67"/>
      <c r="B58" s="33" t="s">
        <v>80</v>
      </c>
      <c r="C58" s="73"/>
      <c r="D58" s="73"/>
      <c r="E58" s="12">
        <f t="shared" si="5"/>
        <v>50</v>
      </c>
      <c r="F58" s="12">
        <v>50</v>
      </c>
      <c r="G58" s="12"/>
      <c r="H58" s="12"/>
    </row>
    <row r="59" spans="1:8" s="31" customFormat="1" ht="15.75" x14ac:dyDescent="0.2">
      <c r="A59" s="65" t="s">
        <v>64</v>
      </c>
      <c r="B59" s="33"/>
      <c r="C59" s="73" t="s">
        <v>22</v>
      </c>
      <c r="D59" s="68" t="s">
        <v>7</v>
      </c>
      <c r="E59" s="19">
        <f t="shared" si="5"/>
        <v>303.92499999999995</v>
      </c>
      <c r="F59" s="19">
        <f>F60</f>
        <v>103.92499999999998</v>
      </c>
      <c r="G59" s="19">
        <f>G60</f>
        <v>200</v>
      </c>
      <c r="H59" s="19"/>
    </row>
    <row r="60" spans="1:8" s="31" customFormat="1" ht="64.5" customHeight="1" x14ac:dyDescent="0.2">
      <c r="A60" s="67"/>
      <c r="B60" s="33" t="s">
        <v>63</v>
      </c>
      <c r="C60" s="73"/>
      <c r="D60" s="70"/>
      <c r="E60" s="12">
        <f t="shared" si="5"/>
        <v>303.92499999999995</v>
      </c>
      <c r="F60" s="12">
        <f>2500-1800-49.275-556.7+9.9</f>
        <v>103.92499999999998</v>
      </c>
      <c r="G60" s="12">
        <v>200</v>
      </c>
      <c r="H60" s="12"/>
    </row>
    <row r="61" spans="1:8" s="35" customFormat="1" ht="17.25" customHeight="1" x14ac:dyDescent="0.2">
      <c r="A61" s="65" t="s">
        <v>72</v>
      </c>
      <c r="B61" s="34"/>
      <c r="C61" s="68" t="s">
        <v>22</v>
      </c>
      <c r="D61" s="68" t="s">
        <v>7</v>
      </c>
      <c r="E61" s="19">
        <f t="shared" si="5"/>
        <v>913.64499999999998</v>
      </c>
      <c r="F61" s="19">
        <f>SUM(F62:F66)</f>
        <v>570.51</v>
      </c>
      <c r="G61" s="19">
        <f>SUM(G62:G66)</f>
        <v>343.13499999999999</v>
      </c>
      <c r="H61" s="19">
        <f>SUM(H64:H66)</f>
        <v>0</v>
      </c>
    </row>
    <row r="62" spans="1:8" s="31" customFormat="1" ht="36" customHeight="1" x14ac:dyDescent="0.2">
      <c r="A62" s="66"/>
      <c r="B62" s="33" t="s">
        <v>83</v>
      </c>
      <c r="C62" s="69"/>
      <c r="D62" s="69"/>
      <c r="E62" s="12">
        <f t="shared" si="5"/>
        <v>231.25899999999999</v>
      </c>
      <c r="F62" s="12">
        <f>42.5+42.01+40</f>
        <v>124.50999999999999</v>
      </c>
      <c r="G62" s="12">
        <f>107.6-0.851</f>
        <v>106.749</v>
      </c>
      <c r="H62" s="12"/>
    </row>
    <row r="63" spans="1:8" s="31" customFormat="1" ht="31.5" customHeight="1" x14ac:dyDescent="0.2">
      <c r="A63" s="66"/>
      <c r="B63" s="33" t="s">
        <v>90</v>
      </c>
      <c r="C63" s="69"/>
      <c r="D63" s="69"/>
      <c r="E63" s="12">
        <f t="shared" si="5"/>
        <v>682.38599999999997</v>
      </c>
      <c r="F63" s="12">
        <f>46+400</f>
        <v>446</v>
      </c>
      <c r="G63" s="12">
        <f>185.679+0.851+49.856</f>
        <v>236.386</v>
      </c>
      <c r="H63" s="12"/>
    </row>
    <row r="64" spans="1:8" s="35" customFormat="1" ht="32.25" hidden="1" customHeight="1" x14ac:dyDescent="0.2">
      <c r="A64" s="66"/>
      <c r="B64" s="34" t="s">
        <v>69</v>
      </c>
      <c r="C64" s="69"/>
      <c r="D64" s="69"/>
      <c r="E64" s="36">
        <f t="shared" si="5"/>
        <v>0</v>
      </c>
      <c r="F64" s="36">
        <f>5900-5900</f>
        <v>0</v>
      </c>
      <c r="G64" s="36"/>
      <c r="H64" s="36"/>
    </row>
    <row r="65" spans="1:9" s="35" customFormat="1" ht="30.75" hidden="1" customHeight="1" x14ac:dyDescent="0.2">
      <c r="A65" s="66"/>
      <c r="B65" s="34" t="s">
        <v>70</v>
      </c>
      <c r="C65" s="69"/>
      <c r="D65" s="69"/>
      <c r="E65" s="36">
        <f t="shared" si="5"/>
        <v>0</v>
      </c>
      <c r="F65" s="36">
        <f>6698.98-6698.98</f>
        <v>0</v>
      </c>
      <c r="G65" s="36"/>
      <c r="H65" s="36"/>
    </row>
    <row r="66" spans="1:9" s="35" customFormat="1" ht="30.75" hidden="1" customHeight="1" x14ac:dyDescent="0.2">
      <c r="A66" s="67"/>
      <c r="B66" s="34" t="s">
        <v>71</v>
      </c>
      <c r="C66" s="70"/>
      <c r="D66" s="70"/>
      <c r="E66" s="36">
        <f t="shared" si="5"/>
        <v>0</v>
      </c>
      <c r="F66" s="36">
        <f>1663.827-1663.827</f>
        <v>0</v>
      </c>
      <c r="G66" s="36"/>
      <c r="H66" s="36"/>
    </row>
    <row r="67" spans="1:9" s="31" customFormat="1" ht="15" customHeight="1" x14ac:dyDescent="0.2">
      <c r="A67" s="65" t="s">
        <v>78</v>
      </c>
      <c r="B67" s="33"/>
      <c r="C67" s="68" t="s">
        <v>79</v>
      </c>
      <c r="D67" s="68" t="s">
        <v>7</v>
      </c>
      <c r="E67" s="19">
        <f>F67+G67+H67</f>
        <v>1007.208</v>
      </c>
      <c r="F67" s="19">
        <f>F68</f>
        <v>407.20799999999997</v>
      </c>
      <c r="G67" s="19">
        <f>G68</f>
        <v>600</v>
      </c>
      <c r="H67" s="12"/>
    </row>
    <row r="68" spans="1:9" s="31" customFormat="1" ht="48.75" customHeight="1" x14ac:dyDescent="0.2">
      <c r="A68" s="67"/>
      <c r="B68" s="33" t="s">
        <v>77</v>
      </c>
      <c r="C68" s="70"/>
      <c r="D68" s="70"/>
      <c r="E68" s="12">
        <f>F68+G68+H68</f>
        <v>1007.208</v>
      </c>
      <c r="F68" s="12">
        <f>250+100+37.688+19.52</f>
        <v>407.20799999999997</v>
      </c>
      <c r="G68" s="12">
        <v>600</v>
      </c>
      <c r="H68" s="12"/>
    </row>
    <row r="69" spans="1:9" s="31" customFormat="1" ht="15.75" x14ac:dyDescent="0.2">
      <c r="A69" s="71" t="s">
        <v>19</v>
      </c>
      <c r="B69" s="71"/>
      <c r="C69" s="71"/>
      <c r="D69" s="71"/>
      <c r="E69" s="71"/>
      <c r="F69" s="71"/>
      <c r="G69" s="71"/>
      <c r="H69" s="71"/>
    </row>
    <row r="70" spans="1:9" s="31" customFormat="1" ht="15.75" customHeight="1" x14ac:dyDescent="0.2">
      <c r="A70" s="65" t="s">
        <v>20</v>
      </c>
      <c r="B70" s="61"/>
      <c r="C70" s="68" t="s">
        <v>22</v>
      </c>
      <c r="D70" s="68" t="s">
        <v>7</v>
      </c>
      <c r="E70" s="8">
        <f t="shared" ref="E70" si="8">F70+G70+H70</f>
        <v>775392.12538199988</v>
      </c>
      <c r="F70" s="8">
        <f>SUM(F71:F74)</f>
        <v>287826.32599999994</v>
      </c>
      <c r="G70" s="8">
        <f t="shared" ref="G70:H70" si="9">SUM(G71:G74)</f>
        <v>236452.861</v>
      </c>
      <c r="H70" s="8">
        <f t="shared" si="9"/>
        <v>251112.93838200002</v>
      </c>
    </row>
    <row r="71" spans="1:9" s="31" customFormat="1" ht="21" customHeight="1" x14ac:dyDescent="0.2">
      <c r="A71" s="66"/>
      <c r="B71" s="37" t="s">
        <v>16</v>
      </c>
      <c r="C71" s="69"/>
      <c r="D71" s="69"/>
      <c r="E71" s="38">
        <f>F71+G71+H71</f>
        <v>446900.049</v>
      </c>
      <c r="F71" s="38">
        <f>170000-6000-5243.977-1841.033-2818.941</f>
        <v>154096.049</v>
      </c>
      <c r="G71" s="38">
        <f>145000-3000</f>
        <v>142000</v>
      </c>
      <c r="H71" s="38">
        <f>G71*1.062</f>
        <v>150804</v>
      </c>
    </row>
    <row r="72" spans="1:9" s="31" customFormat="1" ht="21.75" customHeight="1" x14ac:dyDescent="0.2">
      <c r="A72" s="66"/>
      <c r="B72" s="37" t="s">
        <v>53</v>
      </c>
      <c r="C72" s="69"/>
      <c r="D72" s="69"/>
      <c r="E72" s="38">
        <f>F72+G72+H72</f>
        <v>10762.665203999999</v>
      </c>
      <c r="F72" s="38">
        <f>4941.038-68.454-344.064-200</f>
        <v>4328.5199999999995</v>
      </c>
      <c r="G72" s="38">
        <v>3120.3420000000001</v>
      </c>
      <c r="H72" s="38">
        <f>G72*1.062</f>
        <v>3313.8032040000003</v>
      </c>
    </row>
    <row r="73" spans="1:9" s="31" customFormat="1" ht="20.25" customHeight="1" x14ac:dyDescent="0.2">
      <c r="A73" s="72" t="s">
        <v>73</v>
      </c>
      <c r="B73" s="22" t="s">
        <v>65</v>
      </c>
      <c r="C73" s="69"/>
      <c r="D73" s="69"/>
      <c r="E73" s="38">
        <f>F73+G73+H73</f>
        <v>308632.904178</v>
      </c>
      <c r="F73" s="12">
        <f>165880.869-3973.423-24058.095-252.236-1887.809-7098.997-3594.4-586.659</f>
        <v>124429.24999999999</v>
      </c>
      <c r="G73" s="38">
        <f>87000-2200+4532.519</f>
        <v>89332.519</v>
      </c>
      <c r="H73" s="38">
        <f>G73*1.062</f>
        <v>94871.135178000011</v>
      </c>
    </row>
    <row r="74" spans="1:9" s="31" customFormat="1" ht="28.5" customHeight="1" x14ac:dyDescent="0.2">
      <c r="A74" s="72"/>
      <c r="B74" s="22" t="s">
        <v>66</v>
      </c>
      <c r="C74" s="70"/>
      <c r="D74" s="70"/>
      <c r="E74" s="12">
        <f>F74+G74+H74</f>
        <v>9096.5069999999996</v>
      </c>
      <c r="F74" s="12">
        <f>5000-27.493</f>
        <v>4972.5069999999996</v>
      </c>
      <c r="G74" s="38">
        <v>2000</v>
      </c>
      <c r="H74" s="38">
        <f>G74*1.062</f>
        <v>2124</v>
      </c>
    </row>
    <row r="75" spans="1:9" s="31" customFormat="1" ht="15.75" customHeight="1" x14ac:dyDescent="0.2">
      <c r="A75" s="65" t="s">
        <v>74</v>
      </c>
      <c r="B75" s="22"/>
      <c r="C75" s="68" t="s">
        <v>22</v>
      </c>
      <c r="D75" s="68" t="s">
        <v>7</v>
      </c>
      <c r="E75" s="8">
        <f t="shared" ref="E75" si="10">F75+G75+H75</f>
        <v>124925.12400000004</v>
      </c>
      <c r="F75" s="19">
        <f>SUM(F76:F77)</f>
        <v>45206.910000000033</v>
      </c>
      <c r="G75" s="19">
        <f t="shared" ref="G75:H75" si="11">SUM(G76:G77)</f>
        <v>79718.214000000007</v>
      </c>
      <c r="H75" s="19">
        <f t="shared" si="11"/>
        <v>0</v>
      </c>
    </row>
    <row r="76" spans="1:9" s="31" customFormat="1" ht="54.75" customHeight="1" x14ac:dyDescent="0.2">
      <c r="A76" s="66"/>
      <c r="B76" s="22" t="s">
        <v>75</v>
      </c>
      <c r="C76" s="69"/>
      <c r="D76" s="69"/>
      <c r="E76" s="38">
        <f>F76+G76+H76</f>
        <v>83228.072000000015</v>
      </c>
      <c r="F76" s="12">
        <f>18116.574-7930.861-926.284-21.787+117.37+845.37-1100+80-394.571</f>
        <v>8785.8110000000015</v>
      </c>
      <c r="G76" s="12">
        <f>60288.946+344.061-0.001+8306.454+0.001+49.1+5453.7</f>
        <v>74442.261000000013</v>
      </c>
      <c r="H76" s="12"/>
    </row>
    <row r="77" spans="1:9" s="31" customFormat="1" ht="33.75" customHeight="1" x14ac:dyDescent="0.2">
      <c r="A77" s="67"/>
      <c r="B77" s="22" t="s">
        <v>76</v>
      </c>
      <c r="C77" s="70"/>
      <c r="D77" s="70"/>
      <c r="E77" s="38">
        <f>F77+G77+H77</f>
        <v>41697.052000000032</v>
      </c>
      <c r="F77" s="12">
        <f>145078.923-4315.879+620-105-102424.341-0.816-1469.679-574+15-403.109</f>
        <v>36421.099000000031</v>
      </c>
      <c r="G77" s="12">
        <f>2792.841+2043.879+209.233+230</f>
        <v>5275.9529999999995</v>
      </c>
      <c r="H77" s="12"/>
      <c r="I77" s="32"/>
    </row>
    <row r="78" spans="1:9" s="31" customFormat="1" ht="15" customHeight="1" x14ac:dyDescent="0.2">
      <c r="A78" s="80" t="s">
        <v>45</v>
      </c>
      <c r="B78" s="81"/>
      <c r="C78" s="81"/>
      <c r="D78" s="81"/>
      <c r="E78" s="81"/>
      <c r="F78" s="81"/>
      <c r="G78" s="81"/>
      <c r="H78" s="82"/>
    </row>
    <row r="79" spans="1:9" s="31" customFormat="1" ht="15" customHeight="1" x14ac:dyDescent="0.2">
      <c r="A79" s="65" t="s">
        <v>46</v>
      </c>
      <c r="B79" s="39"/>
      <c r="C79" s="68" t="s">
        <v>22</v>
      </c>
      <c r="D79" s="68" t="s">
        <v>7</v>
      </c>
      <c r="E79" s="8">
        <f t="shared" ref="E79" si="12">F79+G79+H79</f>
        <v>31916.831999999999</v>
      </c>
      <c r="F79" s="8">
        <f>SUM(F80:F88)</f>
        <v>4230.4799999999996</v>
      </c>
      <c r="G79" s="8">
        <f>SUM(G80:G88)</f>
        <v>27686.351999999999</v>
      </c>
      <c r="H79" s="40"/>
    </row>
    <row r="80" spans="1:9" s="31" customFormat="1" ht="31.5" x14ac:dyDescent="0.2">
      <c r="A80" s="66"/>
      <c r="B80" s="41" t="s">
        <v>56</v>
      </c>
      <c r="C80" s="69"/>
      <c r="D80" s="69"/>
      <c r="E80" s="38">
        <f>F80+G80+H80</f>
        <v>802.17599999999993</v>
      </c>
      <c r="F80" s="12">
        <v>502.78</v>
      </c>
      <c r="G80" s="12">
        <v>299.39600000000002</v>
      </c>
      <c r="H80" s="12"/>
    </row>
    <row r="81" spans="1:10" s="31" customFormat="1" ht="31.5" x14ac:dyDescent="0.2">
      <c r="A81" s="66"/>
      <c r="B81" s="41" t="s">
        <v>82</v>
      </c>
      <c r="C81" s="69"/>
      <c r="D81" s="69"/>
      <c r="E81" s="38">
        <f>F81+G81+H81</f>
        <v>45.322999999999993</v>
      </c>
      <c r="F81" s="12">
        <v>39.290999999999997</v>
      </c>
      <c r="G81" s="12">
        <v>6.032</v>
      </c>
      <c r="H81" s="12"/>
    </row>
    <row r="82" spans="1:10" s="31" customFormat="1" ht="31.5" x14ac:dyDescent="0.2">
      <c r="A82" s="66"/>
      <c r="B82" s="41" t="s">
        <v>84</v>
      </c>
      <c r="C82" s="69"/>
      <c r="D82" s="69"/>
      <c r="E82" s="38">
        <f>F82+G82+H82</f>
        <v>40</v>
      </c>
      <c r="F82" s="12">
        <f>190-150</f>
        <v>40</v>
      </c>
      <c r="G82" s="12"/>
      <c r="H82" s="12"/>
    </row>
    <row r="83" spans="1:10" s="31" customFormat="1" ht="31.5" x14ac:dyDescent="0.2">
      <c r="A83" s="66"/>
      <c r="B83" s="41" t="s">
        <v>57</v>
      </c>
      <c r="C83" s="69"/>
      <c r="D83" s="69"/>
      <c r="E83" s="12">
        <f>F83+G83+H83</f>
        <v>1034.67</v>
      </c>
      <c r="F83" s="12">
        <f>840-50-535.33</f>
        <v>254.66999999999996</v>
      </c>
      <c r="G83" s="12">
        <v>780</v>
      </c>
      <c r="H83" s="12"/>
    </row>
    <row r="84" spans="1:10" s="31" customFormat="1" ht="31.5" x14ac:dyDescent="0.2">
      <c r="A84" s="66"/>
      <c r="B84" s="41" t="s">
        <v>97</v>
      </c>
      <c r="C84" s="69"/>
      <c r="D84" s="69"/>
      <c r="E84" s="12">
        <f>F84+G84+H84</f>
        <v>429.14400000000001</v>
      </c>
      <c r="F84" s="12">
        <v>214.572</v>
      </c>
      <c r="G84" s="12">
        <v>214.572</v>
      </c>
      <c r="H84" s="12"/>
    </row>
    <row r="85" spans="1:10" s="31" customFormat="1" ht="94.5" x14ac:dyDescent="0.2">
      <c r="A85" s="66"/>
      <c r="B85" s="41" t="s">
        <v>91</v>
      </c>
      <c r="C85" s="69"/>
      <c r="D85" s="69"/>
      <c r="E85" s="12">
        <f t="shared" ref="E85:E88" si="13">F85+G85+H85</f>
        <v>11661.194</v>
      </c>
      <c r="F85" s="12">
        <v>2897.694</v>
      </c>
      <c r="G85" s="12">
        <v>8763.5</v>
      </c>
      <c r="H85" s="12"/>
    </row>
    <row r="86" spans="1:10" s="31" customFormat="1" ht="63" x14ac:dyDescent="0.2">
      <c r="A86" s="66"/>
      <c r="B86" s="41" t="s">
        <v>100</v>
      </c>
      <c r="C86" s="69"/>
      <c r="D86" s="69"/>
      <c r="E86" s="12">
        <f t="shared" si="13"/>
        <v>15585.562</v>
      </c>
      <c r="F86" s="12"/>
      <c r="G86" s="12">
        <v>15585.562</v>
      </c>
      <c r="H86" s="12"/>
    </row>
    <row r="87" spans="1:10" s="31" customFormat="1" ht="63" x14ac:dyDescent="0.2">
      <c r="A87" s="66"/>
      <c r="B87" s="41" t="s">
        <v>102</v>
      </c>
      <c r="C87" s="69"/>
      <c r="D87" s="69"/>
      <c r="E87" s="12">
        <f t="shared" si="13"/>
        <v>2037.29</v>
      </c>
      <c r="F87" s="12"/>
      <c r="G87" s="12">
        <v>2037.29</v>
      </c>
      <c r="H87" s="12"/>
    </row>
    <row r="88" spans="1:10" s="31" customFormat="1" ht="78.75" x14ac:dyDescent="0.2">
      <c r="A88" s="67"/>
      <c r="B88" s="41" t="s">
        <v>93</v>
      </c>
      <c r="C88" s="70"/>
      <c r="D88" s="70"/>
      <c r="E88" s="12">
        <f t="shared" si="13"/>
        <v>281.47300000000001</v>
      </c>
      <c r="F88" s="12">
        <f>147.543+133.93</f>
        <v>281.47300000000001</v>
      </c>
      <c r="G88" s="12"/>
      <c r="H88" s="12"/>
    </row>
    <row r="89" spans="1:10" s="31" customFormat="1" ht="16.5" customHeight="1" x14ac:dyDescent="0.2">
      <c r="A89" s="71" t="s">
        <v>29</v>
      </c>
      <c r="B89" s="71"/>
      <c r="C89" s="71"/>
      <c r="D89" s="71"/>
      <c r="E89" s="71"/>
      <c r="F89" s="71"/>
      <c r="G89" s="71"/>
      <c r="H89" s="71"/>
    </row>
    <row r="90" spans="1:10" s="31" customFormat="1" ht="15.75" customHeight="1" x14ac:dyDescent="0.2">
      <c r="A90" s="83" t="s">
        <v>10</v>
      </c>
      <c r="B90" s="53"/>
      <c r="C90" s="68" t="s">
        <v>22</v>
      </c>
      <c r="D90" s="68" t="s">
        <v>7</v>
      </c>
      <c r="E90" s="19">
        <f>F90+G90+H90</f>
        <v>11954.225603999999</v>
      </c>
      <c r="F90" s="19">
        <f>F91+F92</f>
        <v>2897.835</v>
      </c>
      <c r="G90" s="19">
        <f t="shared" ref="G90:H90" si="14">G91+G92</f>
        <v>4392.0419999999995</v>
      </c>
      <c r="H90" s="19">
        <f t="shared" si="14"/>
        <v>4664.3486040000007</v>
      </c>
    </row>
    <row r="91" spans="1:10" s="31" customFormat="1" ht="94.5" x14ac:dyDescent="0.2">
      <c r="A91" s="83"/>
      <c r="B91" s="22" t="s">
        <v>60</v>
      </c>
      <c r="C91" s="69"/>
      <c r="D91" s="69"/>
      <c r="E91" s="12">
        <f>F91+G91+H91</f>
        <v>7527.8816040000002</v>
      </c>
      <c r="F91" s="12">
        <f>194.426+1000.441+1619.288-214.572-391.748</f>
        <v>2207.8349999999996</v>
      </c>
      <c r="G91" s="12">
        <f>1900+680.042</f>
        <v>2580.0419999999999</v>
      </c>
      <c r="H91" s="38">
        <f>G91*1.062</f>
        <v>2740.0046040000002</v>
      </c>
    </row>
    <row r="92" spans="1:10" s="31" customFormat="1" ht="93" customHeight="1" x14ac:dyDescent="0.2">
      <c r="A92" s="60" t="s">
        <v>30</v>
      </c>
      <c r="B92" s="30" t="s">
        <v>31</v>
      </c>
      <c r="C92" s="70"/>
      <c r="D92" s="70"/>
      <c r="E92" s="12">
        <f>F92+G92+H92</f>
        <v>4426.3440000000001</v>
      </c>
      <c r="F92" s="12">
        <f>154.157+840+252.934+388.62-150-795.711</f>
        <v>690.00000000000023</v>
      </c>
      <c r="G92" s="12">
        <f>157+400+255+1000</f>
        <v>1812</v>
      </c>
      <c r="H92" s="38">
        <f>G92*1.062</f>
        <v>1924.3440000000001</v>
      </c>
    </row>
    <row r="93" spans="1:10" s="31" customFormat="1" ht="15.75" x14ac:dyDescent="0.2">
      <c r="A93" s="71" t="s">
        <v>48</v>
      </c>
      <c r="B93" s="71"/>
      <c r="C93" s="71"/>
      <c r="D93" s="71"/>
      <c r="E93" s="71"/>
      <c r="F93" s="71"/>
      <c r="G93" s="71"/>
      <c r="H93" s="71"/>
      <c r="J93" s="32"/>
    </row>
    <row r="94" spans="1:10" s="31" customFormat="1" ht="15.75" customHeight="1" x14ac:dyDescent="0.2">
      <c r="A94" s="65" t="s">
        <v>49</v>
      </c>
      <c r="B94" s="53"/>
      <c r="C94" s="68" t="s">
        <v>22</v>
      </c>
      <c r="D94" s="68" t="s">
        <v>7</v>
      </c>
      <c r="E94" s="19">
        <f>F94+G94+H94</f>
        <v>2056.7412000000004</v>
      </c>
      <c r="F94" s="19">
        <f>SUM(F95:F96)</f>
        <v>659.53</v>
      </c>
      <c r="G94" s="19">
        <f t="shared" ref="G94:H94" si="15">G95+G96</f>
        <v>677.6</v>
      </c>
      <c r="H94" s="19">
        <f t="shared" si="15"/>
        <v>719.61120000000005</v>
      </c>
    </row>
    <row r="95" spans="1:10" s="31" customFormat="1" ht="78.75" x14ac:dyDescent="0.2">
      <c r="A95" s="66"/>
      <c r="B95" s="22" t="s">
        <v>50</v>
      </c>
      <c r="C95" s="69"/>
      <c r="D95" s="69"/>
      <c r="E95" s="12">
        <f>F95+G95+H95</f>
        <v>1811.7812000000001</v>
      </c>
      <c r="F95" s="12">
        <f>597.568-18.038</f>
        <v>579.53</v>
      </c>
      <c r="G95" s="38">
        <v>597.6</v>
      </c>
      <c r="H95" s="38">
        <f>G95*1.062</f>
        <v>634.65120000000002</v>
      </c>
    </row>
    <row r="96" spans="1:10" s="31" customFormat="1" ht="31.5" x14ac:dyDescent="0.2">
      <c r="A96" s="67"/>
      <c r="B96" s="22" t="s">
        <v>51</v>
      </c>
      <c r="C96" s="70"/>
      <c r="D96" s="52"/>
      <c r="E96" s="12">
        <f>F96+G96+H96</f>
        <v>244.96</v>
      </c>
      <c r="F96" s="12">
        <v>80</v>
      </c>
      <c r="G96" s="38">
        <v>80</v>
      </c>
      <c r="H96" s="38">
        <f>G96*1.062</f>
        <v>84.960000000000008</v>
      </c>
    </row>
    <row r="97" spans="1:65" s="31" customFormat="1" ht="16.5" customHeight="1" x14ac:dyDescent="0.2">
      <c r="A97" s="60" t="s">
        <v>12</v>
      </c>
      <c r="B97" s="60"/>
      <c r="C97" s="53"/>
      <c r="D97" s="53"/>
      <c r="E97" s="19">
        <f>F97+G97+H97</f>
        <v>1895742.3732739999</v>
      </c>
      <c r="F97" s="19">
        <f>F27+F36+F51+F55+F70+F90+F79+F94+F59+F16+F61+F75+F67+F57+F24</f>
        <v>657285.27099999995</v>
      </c>
      <c r="G97" s="19">
        <f>G27+G36+G51+G55+G70+G90+G79+G94+G59+G16+G61+G75+G67+G57+G24</f>
        <v>704471.90700000001</v>
      </c>
      <c r="H97" s="19">
        <f>H27+H36+H51+H55+H70+H90+H79+H94+H59+H16+H61+H75+H67+H57+H24</f>
        <v>533985.19527400006</v>
      </c>
      <c r="I97" s="42"/>
      <c r="J97" s="42"/>
      <c r="K97" s="43"/>
      <c r="L97" s="43"/>
      <c r="M97" s="42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</row>
    <row r="98" spans="1:65" s="31" customFormat="1" ht="15.75" x14ac:dyDescent="0.2">
      <c r="A98" s="80" t="s">
        <v>94</v>
      </c>
      <c r="B98" s="81"/>
      <c r="C98" s="81"/>
      <c r="D98" s="81"/>
      <c r="E98" s="81"/>
      <c r="F98" s="81"/>
      <c r="G98" s="81"/>
      <c r="H98" s="82"/>
      <c r="I98" s="29"/>
      <c r="J98" s="32"/>
    </row>
    <row r="99" spans="1:65" s="31" customFormat="1" ht="15.75" x14ac:dyDescent="0.2">
      <c r="A99" s="65" t="s">
        <v>95</v>
      </c>
      <c r="B99" s="60"/>
      <c r="C99" s="84"/>
      <c r="D99" s="84"/>
      <c r="E99" s="19">
        <f>E100</f>
        <v>250</v>
      </c>
      <c r="F99" s="19">
        <f>F100</f>
        <v>250</v>
      </c>
      <c r="G99" s="19">
        <f>G100</f>
        <v>0</v>
      </c>
      <c r="H99" s="19">
        <f>H100</f>
        <v>0</v>
      </c>
      <c r="I99" s="29"/>
    </row>
    <row r="100" spans="1:65" s="31" customFormat="1" ht="177.75" customHeight="1" x14ac:dyDescent="0.2">
      <c r="A100" s="67"/>
      <c r="B100" s="44" t="s">
        <v>96</v>
      </c>
      <c r="C100" s="85"/>
      <c r="D100" s="85"/>
      <c r="E100" s="12">
        <f>F100</f>
        <v>250</v>
      </c>
      <c r="F100" s="12">
        <v>250</v>
      </c>
      <c r="G100" s="12">
        <v>0</v>
      </c>
      <c r="H100" s="12">
        <v>0</v>
      </c>
      <c r="I100" s="29"/>
    </row>
    <row r="101" spans="1:65" ht="93" customHeight="1" x14ac:dyDescent="0.2">
      <c r="A101" s="45"/>
      <c r="B101" s="45"/>
      <c r="C101" s="46"/>
      <c r="D101" s="46"/>
      <c r="E101" s="47"/>
      <c r="F101" s="47"/>
      <c r="G101" s="47"/>
      <c r="H101" s="47"/>
      <c r="I101" s="48"/>
      <c r="J101" s="49"/>
      <c r="K101" s="48"/>
      <c r="L101" s="48"/>
      <c r="M101" s="49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</row>
    <row r="102" spans="1:65" ht="23.25" x14ac:dyDescent="0.2">
      <c r="A102" s="74" t="s">
        <v>13</v>
      </c>
      <c r="B102" s="74"/>
      <c r="C102" s="57"/>
      <c r="D102" s="57"/>
      <c r="E102" s="57"/>
      <c r="F102" s="50"/>
      <c r="G102" s="74" t="s">
        <v>101</v>
      </c>
      <c r="H102" s="74"/>
      <c r="L102" s="48"/>
      <c r="M102" s="49"/>
    </row>
    <row r="107" spans="1:65" x14ac:dyDescent="0.2">
      <c r="H107" s="51"/>
    </row>
    <row r="108" spans="1:65" x14ac:dyDescent="0.2">
      <c r="G108" s="51"/>
    </row>
  </sheetData>
  <mergeCells count="72">
    <mergeCell ref="A59:A60"/>
    <mergeCell ref="C59:C60"/>
    <mergeCell ref="D59:D60"/>
    <mergeCell ref="A73:A74"/>
    <mergeCell ref="C70:C74"/>
    <mergeCell ref="D70:D74"/>
    <mergeCell ref="A69:H69"/>
    <mergeCell ref="A67:A68"/>
    <mergeCell ref="D67:D68"/>
    <mergeCell ref="C67:C68"/>
    <mergeCell ref="A70:A72"/>
    <mergeCell ref="D99:D100"/>
    <mergeCell ref="A75:A77"/>
    <mergeCell ref="C75:C77"/>
    <mergeCell ref="D75:D77"/>
    <mergeCell ref="A99:A100"/>
    <mergeCell ref="A35:H35"/>
    <mergeCell ref="D24:D25"/>
    <mergeCell ref="C24:C25"/>
    <mergeCell ref="A16:A25"/>
    <mergeCell ref="A51:A54"/>
    <mergeCell ref="C51:C54"/>
    <mergeCell ref="D51:D54"/>
    <mergeCell ref="A36:A50"/>
    <mergeCell ref="C36:C50"/>
    <mergeCell ref="D36:D50"/>
    <mergeCell ref="A102:B102"/>
    <mergeCell ref="A78:H78"/>
    <mergeCell ref="G102:H102"/>
    <mergeCell ref="A89:H89"/>
    <mergeCell ref="A90:A91"/>
    <mergeCell ref="C90:C92"/>
    <mergeCell ref="D90:D92"/>
    <mergeCell ref="A93:H93"/>
    <mergeCell ref="D94:D95"/>
    <mergeCell ref="C94:C96"/>
    <mergeCell ref="A94:A96"/>
    <mergeCell ref="D79:D88"/>
    <mergeCell ref="C79:C88"/>
    <mergeCell ref="A79:A88"/>
    <mergeCell ref="A98:H98"/>
    <mergeCell ref="C99:C100"/>
    <mergeCell ref="A8:H8"/>
    <mergeCell ref="A9:H9"/>
    <mergeCell ref="A11:A13"/>
    <mergeCell ref="B11:B13"/>
    <mergeCell ref="C11:C13"/>
    <mergeCell ref="D11:D13"/>
    <mergeCell ref="E11:H11"/>
    <mergeCell ref="E12:E13"/>
    <mergeCell ref="F12:H12"/>
    <mergeCell ref="F1:H1"/>
    <mergeCell ref="F2:H2"/>
    <mergeCell ref="F3:H3"/>
    <mergeCell ref="F5:H5"/>
    <mergeCell ref="F6:H6"/>
    <mergeCell ref="A15:H15"/>
    <mergeCell ref="A61:A66"/>
    <mergeCell ref="C61:C66"/>
    <mergeCell ref="D61:D66"/>
    <mergeCell ref="A26:H26"/>
    <mergeCell ref="A27:A34"/>
    <mergeCell ref="C27:C34"/>
    <mergeCell ref="D27:D34"/>
    <mergeCell ref="A55:A56"/>
    <mergeCell ref="C55:C56"/>
    <mergeCell ref="D55:D56"/>
    <mergeCell ref="C16:C23"/>
    <mergeCell ref="D16:D23"/>
    <mergeCell ref="C57:C58"/>
    <mergeCell ref="D57:D58"/>
    <mergeCell ref="A57:A58"/>
  </mergeCells>
  <printOptions horizontalCentered="1"/>
  <pageMargins left="0.39370078740157483" right="0" top="1.1811023622047245" bottom="0" header="0" footer="0"/>
  <pageSetup paperSize="9" scale="81" fitToHeight="30" orientation="landscape" r:id="rId1"/>
  <headerFooter differentFirst="1" alignWithMargins="0">
    <oddHeader>&amp;C
&amp;P</oddHeader>
  </headerFooter>
  <rowBreaks count="1" manualBreakCount="1"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1.1.ДІБ</vt:lpstr>
      <vt:lpstr>'додаток 1.1.ДІБ'!Область_друку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2021-03-24T07:00:38Z</cp:lastPrinted>
  <dcterms:created xsi:type="dcterms:W3CDTF">1996-10-08T23:32:33Z</dcterms:created>
  <dcterms:modified xsi:type="dcterms:W3CDTF">2021-03-24T07:00:42Z</dcterms:modified>
</cp:coreProperties>
</file>