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1200" windowWidth="28800" windowHeight="12030"/>
  </bookViews>
  <sheets>
    <sheet name="додаток 1.2.РА" sheetId="5" r:id="rId1"/>
  </sheets>
  <definedNames>
    <definedName name="_xlnm.Print_Area" localSheetId="0">'додаток 1.2.РА'!$A$1:$H$93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5" l="1"/>
  <c r="G68" i="5"/>
  <c r="G77" i="5"/>
  <c r="G60" i="5"/>
  <c r="G65" i="5"/>
  <c r="G83" i="5"/>
  <c r="G87" i="5"/>
  <c r="G21" i="5"/>
  <c r="G67" i="5"/>
  <c r="G69" i="5"/>
  <c r="G62" i="5"/>
  <c r="G17" i="5" l="1"/>
  <c r="E52" i="5"/>
  <c r="E50" i="5"/>
  <c r="E47" i="5"/>
  <c r="E46" i="5"/>
  <c r="E45" i="5"/>
  <c r="G45" i="5"/>
  <c r="F45" i="5"/>
  <c r="H45" i="5"/>
  <c r="G36" i="5" l="1"/>
  <c r="G25" i="5"/>
  <c r="E35" i="5"/>
  <c r="G23" i="5"/>
  <c r="G19" i="5"/>
  <c r="G18" i="5"/>
  <c r="G20" i="5"/>
  <c r="H17" i="5" l="1"/>
  <c r="E61" i="5" l="1"/>
  <c r="E64" i="5"/>
  <c r="E66" i="5"/>
  <c r="G59" i="5"/>
  <c r="F59" i="5"/>
  <c r="G37" i="5"/>
  <c r="H37" i="5"/>
  <c r="F37" i="5"/>
  <c r="G26" i="5"/>
  <c r="H26" i="5"/>
  <c r="F26" i="5"/>
  <c r="G55" i="5"/>
  <c r="H55" i="5"/>
  <c r="F55" i="5"/>
  <c r="E57" i="5"/>
  <c r="H69" i="5"/>
  <c r="H68" i="5"/>
  <c r="H67" i="5"/>
  <c r="H65" i="5"/>
  <c r="H60" i="5"/>
  <c r="H63" i="5"/>
  <c r="H62" i="5"/>
  <c r="H59" i="5" l="1"/>
  <c r="F23" i="5"/>
  <c r="F22" i="5"/>
  <c r="F68" i="5"/>
  <c r="F21" i="5" l="1"/>
  <c r="F67" i="5"/>
  <c r="F18" i="5"/>
  <c r="F60" i="5"/>
  <c r="F31" i="5"/>
  <c r="F65" i="5"/>
  <c r="F25" i="5"/>
  <c r="F78" i="5"/>
  <c r="F69" i="5"/>
  <c r="F62" i="5"/>
  <c r="F40" i="5"/>
  <c r="F34" i="5"/>
  <c r="F63" i="5"/>
  <c r="F36" i="5" l="1"/>
  <c r="F20" i="5" l="1"/>
  <c r="F76" i="5" l="1"/>
  <c r="E78" i="5"/>
  <c r="F77" i="5"/>
  <c r="F42" i="5" l="1"/>
  <c r="F41" i="5" l="1"/>
  <c r="F44" i="5"/>
  <c r="F43" i="5"/>
  <c r="F33" i="5"/>
  <c r="F19" i="5"/>
  <c r="F39" i="5"/>
  <c r="F38" i="5"/>
  <c r="F89" i="5" l="1"/>
  <c r="E24" i="5" l="1"/>
  <c r="F17" i="5"/>
  <c r="E88" i="5"/>
  <c r="F87" i="5" l="1"/>
  <c r="E20" i="5" l="1"/>
  <c r="F56" i="5" l="1"/>
  <c r="F73" i="5"/>
  <c r="F71" i="5"/>
  <c r="F72" i="5"/>
  <c r="F74" i="5"/>
  <c r="E34" i="5" l="1"/>
  <c r="G70" i="5" l="1"/>
  <c r="H70" i="5"/>
  <c r="F70" i="5"/>
  <c r="E72" i="5"/>
  <c r="E73" i="5"/>
  <c r="E74" i="5"/>
  <c r="E87" i="5" l="1"/>
  <c r="E85" i="5" l="1"/>
  <c r="F83" i="5"/>
  <c r="E86" i="5"/>
  <c r="E77" i="5" l="1"/>
  <c r="H76" i="5"/>
  <c r="G76" i="5"/>
  <c r="G90" i="5" s="1"/>
  <c r="E76" i="5" l="1"/>
  <c r="E54" i="5" l="1"/>
  <c r="E53" i="5"/>
  <c r="E81" i="5" l="1"/>
  <c r="F80" i="5"/>
  <c r="H80" i="5"/>
  <c r="G80" i="5"/>
  <c r="E80" i="5" l="1"/>
  <c r="E23" i="5" l="1"/>
  <c r="E48" i="5"/>
  <c r="E49" i="5"/>
  <c r="E51" i="5"/>
  <c r="F30" i="5" l="1"/>
  <c r="E26" i="5"/>
  <c r="E27" i="5"/>
  <c r="E39" i="5"/>
  <c r="E40" i="5"/>
  <c r="E41" i="5"/>
  <c r="E42" i="5"/>
  <c r="E43" i="5"/>
  <c r="E44" i="5"/>
  <c r="E38" i="5"/>
  <c r="E56" i="5"/>
  <c r="E31" i="5"/>
  <c r="E32" i="5"/>
  <c r="E33" i="5"/>
  <c r="E36" i="5"/>
  <c r="G30" i="5"/>
  <c r="H30" i="5"/>
  <c r="H90" i="5" s="1"/>
  <c r="F90" i="5" l="1"/>
  <c r="E17" i="5"/>
  <c r="E55" i="5"/>
  <c r="E30" i="5"/>
  <c r="E37" i="5" l="1"/>
  <c r="E21" i="5" l="1"/>
  <c r="E89" i="5" l="1"/>
  <c r="E84" i="5"/>
  <c r="E71" i="5"/>
  <c r="E68" i="5"/>
  <c r="E63" i="5"/>
  <c r="E62" i="5"/>
  <c r="E28" i="5"/>
  <c r="E25" i="5"/>
  <c r="E22" i="5"/>
  <c r="E19" i="5"/>
  <c r="E18" i="5"/>
  <c r="E70" i="5" l="1"/>
  <c r="E67" i="5"/>
  <c r="E69" i="5"/>
  <c r="H83" i="5"/>
  <c r="E83" i="5" s="1"/>
  <c r="E60" i="5" l="1"/>
  <c r="E65" i="5"/>
  <c r="E59" i="5" l="1"/>
  <c r="E90" i="5" l="1"/>
</calcChain>
</file>

<file path=xl/sharedStrings.xml><?xml version="1.0" encoding="utf-8"?>
<sst xmlns="http://schemas.openxmlformats.org/spreadsheetml/2006/main" count="112" uniqueCount="50">
  <si>
    <t>ЗАТВЕРДЖЕНО</t>
  </si>
  <si>
    <t>Рішення міської ради</t>
  </si>
  <si>
    <t>______________ №____</t>
  </si>
  <si>
    <t>Завдання і заходи</t>
  </si>
  <si>
    <t>Найменування завдання</t>
  </si>
  <si>
    <t>Найменування заходу</t>
  </si>
  <si>
    <t>Головний розпорядник бюджетних коштів, виконавці</t>
  </si>
  <si>
    <t>Джерела фінансування (бюджет міста, державний, обласний бюджети, інші)</t>
  </si>
  <si>
    <t>Прогнозні обсяги, тис.грн</t>
  </si>
  <si>
    <t>Всього</t>
  </si>
  <si>
    <t>за роками</t>
  </si>
  <si>
    <t>районна адміністрація Запорізької міської ради по Хортицькому району</t>
  </si>
  <si>
    <t>бюджет міста</t>
  </si>
  <si>
    <t>районна адміністрація Запорізької міської ради по Вознесенівському району</t>
  </si>
  <si>
    <t>районна адміністрація Запорізької міської ради по Олександрівському району</t>
  </si>
  <si>
    <t>районна адміністрація Запорізької міської ради по Комунарському району</t>
  </si>
  <si>
    <t>районна адміністрація Запорізької міської ради по Шевченківському району</t>
  </si>
  <si>
    <t>районна адміністрація Запорізької міської ради по Заводському району</t>
  </si>
  <si>
    <t>районна адміністрація Запорізької міської ради по Дніпровському району</t>
  </si>
  <si>
    <t>Секретар міської ради</t>
  </si>
  <si>
    <t>Забезпечення проведення благоустрою території районів міста</t>
  </si>
  <si>
    <t>Всього по програмі:</t>
  </si>
  <si>
    <t>забезпечення  проектування, будівництва та реконструкції об'єктів</t>
  </si>
  <si>
    <t>Реалізація проектів-переможців громадського бюджету</t>
  </si>
  <si>
    <t>капітальний ремонт об'єктів благоустрою</t>
  </si>
  <si>
    <t>Будівництво об'єктів комунального господарства</t>
  </si>
  <si>
    <t xml:space="preserve">Розвиток автомобільних доріг та дорожньої інфраструктури </t>
  </si>
  <si>
    <t>Будівництво, реконструкція та капітальний ремонт об’єктів дорожньої інфраструктури</t>
  </si>
  <si>
    <t>Організація благоустрою міста</t>
  </si>
  <si>
    <t>капітальний, поточний ремонт та утримання об'єктів благоустрою, нанесення дорожньої розмітки, догляд за зеленими насадженнями, ліквідація стихійних звалищ сміття, ліквідація карантинних рослин, паспортизація та інвентаризація об'єктів благоустрою тощо.</t>
  </si>
  <si>
    <t>Поточний ремонт об’єктів дорожньої інфраструктури</t>
  </si>
  <si>
    <t>забезпечення  проектування, будівництва, реконструкції та капітального ремонту об'єктів дорожньої інфраструктури</t>
  </si>
  <si>
    <t>забезпечення  проектування, будівництва, реконструкції, капітального та поточного ремонту об'єктів дорожньої інфраструктури</t>
  </si>
  <si>
    <t>поточний ремонт доріг:</t>
  </si>
  <si>
    <t>поточний ремонт тротуарів:</t>
  </si>
  <si>
    <t>в тому числі за рахунок власних надходжень:</t>
  </si>
  <si>
    <t>Виконання доручень депутатів обласної ради</t>
  </si>
  <si>
    <t>виконання доручень депутатів обласної ради</t>
  </si>
  <si>
    <t>Заходи із запобігання та ліквідації надзвичайних ситуацій та наслідків стихійного лиха</t>
  </si>
  <si>
    <t>Забезпечення проведення заходів з попередження та ліквідації наслідків надзвичайних ситуацій</t>
  </si>
  <si>
    <t xml:space="preserve">проведення демеркуризації
</t>
  </si>
  <si>
    <t xml:space="preserve">поточний ремонт траси Харків-Сімферополь-Алушта-Ялта </t>
  </si>
  <si>
    <t>Інші видатки</t>
  </si>
  <si>
    <t>До Програми розвитку інфраструктури та комплексного благоустрою міста Запоріжжя на 2020-2022 роки</t>
  </si>
  <si>
    <t>з виконання Програми розвитку інфраструктури та комплексного благоустрою міста Запоріжжя на 2020-2022 роки</t>
  </si>
  <si>
    <t>забезпечення збереження (охорони) об’єкту будівництва</t>
  </si>
  <si>
    <t>Додаток 1.2</t>
  </si>
  <si>
    <t>в т.ч. за рахунок коштів субвенції з державного бюджету місцевим бюджетам на здійснення заходів щодо соціально-економічного розвитку окремих територій</t>
  </si>
  <si>
    <t>Г.Б. Наумов</t>
  </si>
  <si>
    <t>обласний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</si>
</sst>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_-* #,##0.000_р_._-;\-* #,##0.000_р_._-;_-* &quot;-&quot;??_р_._-;_-@_-"/>
    <numFmt numFmtId="167" formatCode="#,##0.000;[Red]#,##0.000"/>
    <numFmt numFmtId="168" formatCode="0.00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9"/>
      <name val="Arial Cyr"/>
      <charset val="204"/>
    </font>
    <font>
      <sz val="12"/>
      <name val="Calibri"/>
      <family val="2"/>
      <scheme val="minor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100">
    <xf numFmtId="0" fontId="0" fillId="0" borderId="0" xfId="0"/>
    <xf numFmtId="0" fontId="2" fillId="2" borderId="0" xfId="1" applyFont="1" applyFill="1" applyAlignment="1">
      <alignment vertical="top" wrapText="1"/>
    </xf>
    <xf numFmtId="0" fontId="3" fillId="2" borderId="0" xfId="1" applyFont="1" applyFill="1" applyAlignment="1">
      <alignment horizontal="center" vertical="top" wrapText="1"/>
    </xf>
    <xf numFmtId="0" fontId="3" fillId="2" borderId="0" xfId="1" applyFont="1" applyFill="1" applyAlignment="1">
      <alignment vertical="top" wrapText="1"/>
    </xf>
    <xf numFmtId="0" fontId="3" fillId="2" borderId="0" xfId="1" applyFont="1" applyFill="1" applyAlignment="1">
      <alignment vertical="center" wrapText="1"/>
    </xf>
    <xf numFmtId="0" fontId="2" fillId="2" borderId="0" xfId="1" applyFont="1" applyFill="1" applyAlignment="1">
      <alignment horizontal="center" vertical="top" wrapText="1"/>
    </xf>
    <xf numFmtId="165" fontId="2" fillId="2" borderId="0" xfId="1" applyNumberFormat="1" applyFont="1" applyFill="1" applyAlignment="1">
      <alignment vertical="top" wrapText="1"/>
    </xf>
    <xf numFmtId="0" fontId="2" fillId="2" borderId="0" xfId="1" applyFont="1" applyFill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center" vertical="top" wrapText="1"/>
    </xf>
    <xf numFmtId="165" fontId="2" fillId="2" borderId="0" xfId="1" applyNumberFormat="1" applyFont="1" applyFill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top" wrapText="1"/>
    </xf>
    <xf numFmtId="165" fontId="9" fillId="2" borderId="6" xfId="1" applyNumberFormat="1" applyFont="1" applyFill="1" applyBorder="1" applyAlignment="1">
      <alignment horizontal="center" vertical="top" wrapText="1"/>
    </xf>
    <xf numFmtId="165" fontId="9" fillId="2" borderId="5" xfId="1" applyNumberFormat="1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left" wrapText="1"/>
    </xf>
    <xf numFmtId="0" fontId="11" fillId="2" borderId="5" xfId="1" applyFont="1" applyFill="1" applyBorder="1" applyAlignment="1">
      <alignment horizontal="center" vertical="top" wrapText="1"/>
    </xf>
    <xf numFmtId="165" fontId="11" fillId="2" borderId="5" xfId="1" applyNumberFormat="1" applyFont="1" applyFill="1" applyBorder="1" applyAlignment="1">
      <alignment horizontal="center" vertical="top" wrapText="1"/>
    </xf>
    <xf numFmtId="165" fontId="11" fillId="2" borderId="1" xfId="1" applyNumberFormat="1" applyFont="1" applyFill="1" applyBorder="1" applyAlignment="1">
      <alignment horizontal="center" vertical="top" wrapText="1"/>
    </xf>
    <xf numFmtId="0" fontId="15" fillId="2" borderId="0" xfId="1" applyFont="1" applyFill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top" wrapText="1"/>
    </xf>
    <xf numFmtId="0" fontId="9" fillId="2" borderId="0" xfId="1" applyFont="1" applyFill="1" applyAlignment="1">
      <alignment horizontal="center" vertical="center" wrapText="1"/>
    </xf>
    <xf numFmtId="165" fontId="10" fillId="2" borderId="5" xfId="1" applyNumberFormat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vertical="top" wrapText="1"/>
    </xf>
    <xf numFmtId="167" fontId="9" fillId="2" borderId="1" xfId="1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165" fontId="10" fillId="2" borderId="5" xfId="0" applyNumberFormat="1" applyFont="1" applyFill="1" applyBorder="1" applyAlignment="1">
      <alignment horizontal="center" vertical="top" wrapText="1"/>
    </xf>
    <xf numFmtId="165" fontId="9" fillId="2" borderId="5" xfId="0" applyNumberFormat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vertical="center" wrapText="1"/>
    </xf>
    <xf numFmtId="165" fontId="10" fillId="2" borderId="6" xfId="1" applyNumberFormat="1" applyFont="1" applyFill="1" applyBorder="1" applyAlignment="1">
      <alignment horizontal="center" vertical="top" wrapText="1"/>
    </xf>
    <xf numFmtId="168" fontId="2" fillId="2" borderId="0" xfId="1" applyNumberFormat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top" wrapText="1"/>
    </xf>
    <xf numFmtId="165" fontId="7" fillId="2" borderId="0" xfId="1" applyNumberFormat="1" applyFont="1" applyFill="1" applyAlignment="1">
      <alignment vertical="top" wrapText="1"/>
    </xf>
    <xf numFmtId="0" fontId="9" fillId="2" borderId="0" xfId="1" applyFont="1" applyFill="1" applyAlignment="1">
      <alignment vertical="top" wrapText="1"/>
    </xf>
    <xf numFmtId="0" fontId="2" fillId="2" borderId="0" xfId="1" applyFont="1" applyFill="1" applyBorder="1" applyAlignment="1">
      <alignment vertical="top" wrapText="1"/>
    </xf>
    <xf numFmtId="166" fontId="2" fillId="2" borderId="0" xfId="1" applyNumberFormat="1" applyFont="1" applyFill="1" applyAlignment="1">
      <alignment vertical="top" wrapText="1"/>
    </xf>
    <xf numFmtId="0" fontId="7" fillId="2" borderId="0" xfId="1" applyFont="1" applyFill="1" applyAlignment="1">
      <alignment vertical="top" wrapText="1"/>
    </xf>
    <xf numFmtId="168" fontId="2" fillId="2" borderId="0" xfId="1" applyNumberFormat="1" applyFont="1" applyFill="1" applyAlignment="1">
      <alignment vertical="top" wrapText="1"/>
    </xf>
    <xf numFmtId="0" fontId="9" fillId="2" borderId="1" xfId="1" applyFont="1" applyFill="1" applyBorder="1" applyAlignment="1">
      <alignment horizontal="left" vertical="top" wrapText="1"/>
    </xf>
    <xf numFmtId="0" fontId="12" fillId="2" borderId="1" xfId="1" applyFont="1" applyFill="1" applyBorder="1" applyAlignment="1">
      <alignment horizontal="center" vertical="top" wrapText="1"/>
    </xf>
    <xf numFmtId="0" fontId="7" fillId="2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left" vertical="top" wrapText="1"/>
    </xf>
    <xf numFmtId="0" fontId="1" fillId="2" borderId="0" xfId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vertical="top" wrapText="1"/>
    </xf>
    <xf numFmtId="165" fontId="7" fillId="2" borderId="0" xfId="1" applyNumberFormat="1" applyFont="1" applyFill="1" applyBorder="1" applyAlignment="1">
      <alignment horizontal="center" vertical="top" wrapText="1"/>
    </xf>
    <xf numFmtId="165" fontId="5" fillId="2" borderId="0" xfId="1" applyNumberFormat="1" applyFont="1" applyFill="1" applyAlignment="1">
      <alignment horizontal="center" vertical="top" wrapText="1"/>
    </xf>
    <xf numFmtId="165" fontId="2" fillId="2" borderId="0" xfId="1" applyNumberFormat="1" applyFont="1" applyFill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7" xfId="1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0" fontId="4" fillId="2" borderId="0" xfId="1" applyFont="1" applyFill="1" applyAlignment="1">
      <alignment horizontal="left" vertical="top" wrapText="1"/>
    </xf>
    <xf numFmtId="0" fontId="5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center" vertical="top" wrapText="1"/>
    </xf>
    <xf numFmtId="0" fontId="9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4" fillId="2" borderId="0" xfId="1" applyFont="1" applyFill="1" applyAlignment="1">
      <alignment horizontal="left" vertical="top" wrapText="1"/>
    </xf>
    <xf numFmtId="0" fontId="10" fillId="2" borderId="1" xfId="1" applyFont="1" applyFill="1" applyBorder="1" applyAlignment="1">
      <alignment horizontal="center" vertical="top" wrapText="1"/>
    </xf>
    <xf numFmtId="0" fontId="10" fillId="2" borderId="2" xfId="1" applyFont="1" applyFill="1" applyBorder="1" applyAlignment="1">
      <alignment horizontal="center" vertical="top" wrapText="1"/>
    </xf>
    <xf numFmtId="0" fontId="10" fillId="2" borderId="5" xfId="1" applyFont="1" applyFill="1" applyBorder="1" applyAlignment="1">
      <alignment horizontal="left" vertical="top" wrapText="1"/>
    </xf>
    <xf numFmtId="0" fontId="10" fillId="2" borderId="7" xfId="1" applyFont="1" applyFill="1" applyBorder="1" applyAlignment="1">
      <alignment horizontal="left" vertical="top" wrapText="1"/>
    </xf>
    <xf numFmtId="0" fontId="10" fillId="2" borderId="6" xfId="1" applyFont="1" applyFill="1" applyBorder="1" applyAlignment="1">
      <alignment horizontal="left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7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center" vertical="top" wrapText="1"/>
    </xf>
    <xf numFmtId="0" fontId="9" fillId="2" borderId="1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top" wrapText="1"/>
    </xf>
    <xf numFmtId="0" fontId="4" fillId="2" borderId="0" xfId="1" applyFont="1" applyFill="1" applyAlignment="1">
      <alignment horizontal="left" vertical="center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center" vertical="top" wrapText="1"/>
    </xf>
    <xf numFmtId="0" fontId="9" fillId="2" borderId="5" xfId="0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9" fillId="2" borderId="5" xfId="1" applyFont="1" applyFill="1" applyBorder="1" applyAlignment="1">
      <alignment horizontal="left" vertical="top" wrapText="1"/>
    </xf>
    <xf numFmtId="0" fontId="9" fillId="2" borderId="7" xfId="1" applyFont="1" applyFill="1" applyBorder="1" applyAlignment="1">
      <alignment horizontal="left" vertical="top" wrapText="1"/>
    </xf>
    <xf numFmtId="0" fontId="9" fillId="2" borderId="6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0" fontId="10" fillId="2" borderId="3" xfId="1" applyFont="1" applyFill="1" applyBorder="1" applyAlignment="1">
      <alignment horizontal="center" vertical="top" wrapText="1"/>
    </xf>
    <xf numFmtId="0" fontId="10" fillId="2" borderId="4" xfId="1" applyFont="1" applyFill="1" applyBorder="1" applyAlignment="1">
      <alignment horizontal="center" vertical="top" wrapText="1"/>
    </xf>
    <xf numFmtId="0" fontId="9" fillId="2" borderId="8" xfId="1" applyFont="1" applyFill="1" applyBorder="1" applyAlignment="1">
      <alignment horizontal="center" vertical="top" wrapText="1"/>
    </xf>
    <xf numFmtId="0" fontId="9" fillId="2" borderId="0" xfId="1" applyFont="1" applyFill="1" applyBorder="1" applyAlignment="1">
      <alignment horizontal="center" vertical="top" wrapText="1"/>
    </xf>
    <xf numFmtId="0" fontId="9" fillId="2" borderId="9" xfId="1" applyFont="1" applyFill="1" applyBorder="1" applyAlignment="1">
      <alignment horizontal="center" vertical="top" wrapText="1"/>
    </xf>
    <xf numFmtId="0" fontId="9" fillId="2" borderId="7" xfId="0" applyNumberFormat="1" applyFont="1" applyFill="1" applyBorder="1" applyAlignment="1">
      <alignment horizontal="left" vertical="top" wrapText="1"/>
    </xf>
    <xf numFmtId="0" fontId="9" fillId="2" borderId="6" xfId="0" applyNumberFormat="1" applyFont="1" applyFill="1" applyBorder="1" applyAlignment="1">
      <alignment horizontal="left" vertical="top" wrapText="1"/>
    </xf>
  </cellXfs>
  <cellStyles count="3">
    <cellStyle name="Звичайний" xfId="0" builtinId="0"/>
    <cellStyle name="Звичайний 2" xfId="1"/>
    <cellStyle name="Фінансови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00"/>
  <sheetViews>
    <sheetView tabSelected="1" view="pageBreakPreview" topLeftCell="A67" zoomScaleNormal="100" zoomScaleSheetLayoutView="100" workbookViewId="0">
      <selection activeCell="D84" sqref="D84:D89"/>
    </sheetView>
  </sheetViews>
  <sheetFormatPr defaultColWidth="9.140625" defaultRowHeight="12.75" x14ac:dyDescent="0.25"/>
  <cols>
    <col min="1" max="1" width="33.7109375" style="1" customWidth="1"/>
    <col min="2" max="2" width="32.85546875" style="1" customWidth="1"/>
    <col min="3" max="3" width="27.42578125" style="5" customWidth="1"/>
    <col min="4" max="4" width="22.28515625" style="5" customWidth="1"/>
    <col min="5" max="5" width="14.85546875" style="5" customWidth="1"/>
    <col min="6" max="6" width="16.85546875" style="5" customWidth="1"/>
    <col min="7" max="7" width="16.140625" style="5" customWidth="1"/>
    <col min="8" max="8" width="14.5703125" style="5" customWidth="1"/>
    <col min="9" max="9" width="12.42578125" style="1" customWidth="1"/>
    <col min="10" max="10" width="18.5703125" style="1" customWidth="1"/>
    <col min="11" max="11" width="10.85546875" style="1" customWidth="1"/>
    <col min="12" max="12" width="13.5703125" style="1" bestFit="1" customWidth="1"/>
    <col min="13" max="16384" width="9.140625" style="1"/>
  </cols>
  <sheetData>
    <row r="1" spans="1:9" ht="23.25" x14ac:dyDescent="0.25">
      <c r="C1" s="2"/>
      <c r="D1" s="2"/>
      <c r="E1" s="2"/>
      <c r="F1" s="64" t="s">
        <v>0</v>
      </c>
      <c r="G1" s="64"/>
      <c r="H1" s="64"/>
    </row>
    <row r="2" spans="1:9" ht="23.25" x14ac:dyDescent="0.25">
      <c r="C2" s="2"/>
      <c r="D2" s="2"/>
      <c r="E2" s="2"/>
      <c r="F2" s="64" t="s">
        <v>1</v>
      </c>
      <c r="G2" s="64"/>
      <c r="H2" s="64"/>
    </row>
    <row r="3" spans="1:9" ht="23.25" x14ac:dyDescent="0.25">
      <c r="C3" s="2"/>
      <c r="D3" s="2"/>
      <c r="E3" s="2"/>
      <c r="F3" s="76" t="s">
        <v>2</v>
      </c>
      <c r="G3" s="76"/>
      <c r="H3" s="76"/>
    </row>
    <row r="4" spans="1:9" ht="23.25" x14ac:dyDescent="0.25">
      <c r="C4" s="2"/>
      <c r="D4" s="2"/>
      <c r="E4" s="2"/>
      <c r="F4" s="52"/>
      <c r="G4" s="52"/>
      <c r="H4" s="52"/>
    </row>
    <row r="5" spans="1:9" s="3" customFormat="1" ht="25.5" customHeight="1" x14ac:dyDescent="0.25">
      <c r="C5" s="2"/>
      <c r="D5" s="2"/>
      <c r="E5" s="2"/>
      <c r="F5" s="64" t="s">
        <v>46</v>
      </c>
      <c r="G5" s="64"/>
      <c r="H5" s="64"/>
    </row>
    <row r="6" spans="1:9" s="3" customFormat="1" ht="141" customHeight="1" x14ac:dyDescent="0.25">
      <c r="C6" s="4"/>
      <c r="D6" s="4"/>
      <c r="E6" s="4"/>
      <c r="F6" s="77" t="s">
        <v>43</v>
      </c>
      <c r="G6" s="77"/>
      <c r="H6" s="77"/>
    </row>
    <row r="7" spans="1:9" x14ac:dyDescent="0.25">
      <c r="I7" s="6"/>
    </row>
    <row r="8" spans="1:9" s="3" customFormat="1" ht="22.5" x14ac:dyDescent="0.25">
      <c r="A8" s="73" t="s">
        <v>3</v>
      </c>
      <c r="B8" s="73"/>
      <c r="C8" s="73"/>
      <c r="D8" s="73"/>
      <c r="E8" s="73"/>
      <c r="F8" s="73"/>
      <c r="G8" s="73"/>
      <c r="H8" s="73"/>
    </row>
    <row r="9" spans="1:9" s="3" customFormat="1" ht="20.25" x14ac:dyDescent="0.25">
      <c r="A9" s="74" t="s">
        <v>44</v>
      </c>
      <c r="B9" s="74"/>
      <c r="C9" s="74"/>
      <c r="D9" s="74"/>
      <c r="E9" s="74"/>
      <c r="F9" s="74"/>
      <c r="G9" s="74"/>
      <c r="H9" s="74"/>
    </row>
    <row r="10" spans="1:9" s="3" customFormat="1" ht="9.75" customHeight="1" x14ac:dyDescent="0.25">
      <c r="A10" s="54"/>
      <c r="B10" s="54"/>
      <c r="C10" s="54"/>
      <c r="D10" s="54"/>
      <c r="E10" s="54"/>
      <c r="F10" s="54"/>
      <c r="G10" s="54"/>
      <c r="H10" s="54"/>
    </row>
    <row r="12" spans="1:9" s="7" customFormat="1" ht="19.5" customHeight="1" x14ac:dyDescent="0.25">
      <c r="A12" s="75" t="s">
        <v>4</v>
      </c>
      <c r="B12" s="75" t="s">
        <v>5</v>
      </c>
      <c r="C12" s="75" t="s">
        <v>6</v>
      </c>
      <c r="D12" s="75" t="s">
        <v>7</v>
      </c>
      <c r="E12" s="75" t="s">
        <v>8</v>
      </c>
      <c r="F12" s="75"/>
      <c r="G12" s="75"/>
      <c r="H12" s="75"/>
    </row>
    <row r="13" spans="1:9" s="7" customFormat="1" ht="15.75" x14ac:dyDescent="0.25">
      <c r="A13" s="75"/>
      <c r="B13" s="75"/>
      <c r="C13" s="75"/>
      <c r="D13" s="75"/>
      <c r="E13" s="75" t="s">
        <v>9</v>
      </c>
      <c r="F13" s="75" t="s">
        <v>10</v>
      </c>
      <c r="G13" s="75"/>
      <c r="H13" s="75"/>
    </row>
    <row r="14" spans="1:9" s="7" customFormat="1" ht="45.75" customHeight="1" x14ac:dyDescent="0.25">
      <c r="A14" s="75"/>
      <c r="B14" s="75"/>
      <c r="C14" s="75"/>
      <c r="D14" s="75"/>
      <c r="E14" s="75"/>
      <c r="F14" s="55">
        <v>2020</v>
      </c>
      <c r="G14" s="55">
        <v>2021</v>
      </c>
      <c r="H14" s="55">
        <v>2022</v>
      </c>
    </row>
    <row r="15" spans="1:9" s="7" customFormat="1" ht="15.75" x14ac:dyDescent="0.25">
      <c r="A15" s="55">
        <v>1</v>
      </c>
      <c r="B15" s="55">
        <v>2</v>
      </c>
      <c r="C15" s="55">
        <v>3</v>
      </c>
      <c r="D15" s="55">
        <v>4</v>
      </c>
      <c r="E15" s="55">
        <v>5</v>
      </c>
      <c r="F15" s="55">
        <v>6</v>
      </c>
      <c r="G15" s="55">
        <v>7</v>
      </c>
      <c r="H15" s="55">
        <v>8</v>
      </c>
    </row>
    <row r="16" spans="1:9" s="7" customFormat="1" ht="15.75" x14ac:dyDescent="0.25">
      <c r="A16" s="66" t="s">
        <v>25</v>
      </c>
      <c r="B16" s="93"/>
      <c r="C16" s="93"/>
      <c r="D16" s="93"/>
      <c r="E16" s="93"/>
      <c r="F16" s="93"/>
      <c r="G16" s="93"/>
      <c r="H16" s="94"/>
    </row>
    <row r="17" spans="1:10" s="7" customFormat="1" ht="15.75" x14ac:dyDescent="0.25">
      <c r="A17" s="67" t="s">
        <v>25</v>
      </c>
      <c r="B17" s="89" t="s">
        <v>22</v>
      </c>
      <c r="C17" s="56"/>
      <c r="D17" s="95" t="s">
        <v>12</v>
      </c>
      <c r="E17" s="8">
        <f>SUM(F17:H17)</f>
        <v>231364.981</v>
      </c>
      <c r="F17" s="8">
        <f>SUM(F18:F25)-F24</f>
        <v>72464.489000000001</v>
      </c>
      <c r="G17" s="8">
        <f>SUM(G18:G25)-G24</f>
        <v>39119.586999999992</v>
      </c>
      <c r="H17" s="8">
        <f>SUM(H18:H25)</f>
        <v>119780.905</v>
      </c>
      <c r="I17" s="9"/>
    </row>
    <row r="18" spans="1:10" s="7" customFormat="1" ht="48" customHeight="1" x14ac:dyDescent="0.25">
      <c r="A18" s="68"/>
      <c r="B18" s="90"/>
      <c r="C18" s="48" t="s">
        <v>11</v>
      </c>
      <c r="D18" s="96"/>
      <c r="E18" s="10">
        <f>F18+G18+H18</f>
        <v>48051.76400000001</v>
      </c>
      <c r="F18" s="11">
        <f>24117.597+300.022-5000+185.361+0.27-5000-0.113-9151.782-1677.186</f>
        <v>3774.1690000000053</v>
      </c>
      <c r="G18" s="11">
        <f>2320.359-34.234</f>
        <v>2286.125</v>
      </c>
      <c r="H18" s="11">
        <v>41991.47</v>
      </c>
    </row>
    <row r="19" spans="1:10" s="7" customFormat="1" ht="51" customHeight="1" x14ac:dyDescent="0.25">
      <c r="A19" s="68"/>
      <c r="B19" s="90"/>
      <c r="C19" s="48" t="s">
        <v>13</v>
      </c>
      <c r="D19" s="96"/>
      <c r="E19" s="12">
        <f t="shared" ref="E19:E28" si="0">SUM(F19:H19)</f>
        <v>2393.9690000000001</v>
      </c>
      <c r="F19" s="12">
        <f>10390+100-10000+1347.835+48.658+1658.342-1738.3</f>
        <v>1806.5350000000001</v>
      </c>
      <c r="G19" s="10">
        <f>531.516+55.918</f>
        <v>587.43399999999997</v>
      </c>
      <c r="H19" s="10"/>
    </row>
    <row r="20" spans="1:10" s="7" customFormat="1" ht="52.5" customHeight="1" x14ac:dyDescent="0.25">
      <c r="A20" s="68"/>
      <c r="B20" s="90"/>
      <c r="C20" s="48" t="s">
        <v>18</v>
      </c>
      <c r="D20" s="96"/>
      <c r="E20" s="12">
        <f t="shared" si="0"/>
        <v>5673.7969999999996</v>
      </c>
      <c r="F20" s="12">
        <f>5000+136.239</f>
        <v>5136.2389999999996</v>
      </c>
      <c r="G20" s="10">
        <f>461.554+76.004</f>
        <v>537.55799999999999</v>
      </c>
      <c r="H20" s="10"/>
    </row>
    <row r="21" spans="1:10" s="7" customFormat="1" ht="51" customHeight="1" x14ac:dyDescent="0.2">
      <c r="A21" s="68"/>
      <c r="B21" s="90"/>
      <c r="C21" s="48" t="s">
        <v>15</v>
      </c>
      <c r="D21" s="96"/>
      <c r="E21" s="12">
        <f>SUM(F21:H21)</f>
        <v>51548.637000000002</v>
      </c>
      <c r="F21" s="12">
        <f>2750.27+970.888+5779-269.769+795.025-293.107+759.633-337.058-5.847</f>
        <v>10149.034999999998</v>
      </c>
      <c r="G21" s="10">
        <f>6188.987-420.908+202.375</f>
        <v>5970.4539999999997</v>
      </c>
      <c r="H21" s="10">
        <v>35429.148000000001</v>
      </c>
      <c r="I21" s="9"/>
      <c r="J21" s="13"/>
    </row>
    <row r="22" spans="1:10" s="7" customFormat="1" ht="50.25" customHeight="1" x14ac:dyDescent="0.25">
      <c r="A22" s="68"/>
      <c r="B22" s="90"/>
      <c r="C22" s="48" t="s">
        <v>16</v>
      </c>
      <c r="D22" s="96"/>
      <c r="E22" s="12">
        <f t="shared" si="0"/>
        <v>32089.731</v>
      </c>
      <c r="F22" s="12">
        <f>9821.306+384.139-2393.166-192.009-4260.963</f>
        <v>3359.3069999999998</v>
      </c>
      <c r="G22" s="10">
        <f>12554.092+1.257</f>
        <v>12555.349</v>
      </c>
      <c r="H22" s="10">
        <v>16175.075000000001</v>
      </c>
    </row>
    <row r="23" spans="1:10" s="7" customFormat="1" ht="48.75" customHeight="1" x14ac:dyDescent="0.25">
      <c r="A23" s="68"/>
      <c r="B23" s="90"/>
      <c r="C23" s="48" t="s">
        <v>14</v>
      </c>
      <c r="D23" s="96"/>
      <c r="E23" s="12">
        <f t="shared" si="0"/>
        <v>32047.434999999994</v>
      </c>
      <c r="F23" s="12">
        <f>17016.869+768.6+3347.598-242.122-21.58+3448.555</f>
        <v>24317.919999999995</v>
      </c>
      <c r="G23" s="10">
        <f>7713.609+15.906</f>
        <v>7729.5150000000003</v>
      </c>
      <c r="H23" s="10"/>
    </row>
    <row r="24" spans="1:10" s="17" customFormat="1" ht="111.75" customHeight="1" x14ac:dyDescent="0.25">
      <c r="A24" s="68"/>
      <c r="B24" s="90"/>
      <c r="C24" s="14" t="s">
        <v>47</v>
      </c>
      <c r="D24" s="96"/>
      <c r="E24" s="15">
        <f>F24</f>
        <v>3347.598</v>
      </c>
      <c r="F24" s="15">
        <v>3347.598</v>
      </c>
      <c r="G24" s="16">
        <v>15.906000000000001</v>
      </c>
      <c r="H24" s="16"/>
    </row>
    <row r="25" spans="1:10" s="7" customFormat="1" ht="50.25" customHeight="1" x14ac:dyDescent="0.25">
      <c r="A25" s="69"/>
      <c r="B25" s="91"/>
      <c r="C25" s="18" t="s">
        <v>17</v>
      </c>
      <c r="D25" s="97"/>
      <c r="E25" s="12">
        <f t="shared" si="0"/>
        <v>59559.648000000001</v>
      </c>
      <c r="F25" s="10">
        <f>29906.858+1967.913-5000-5000+1926.513+69.381+120-69.381</f>
        <v>23921.284</v>
      </c>
      <c r="G25" s="10">
        <f>10483.97-1030.818</f>
        <v>9453.152</v>
      </c>
      <c r="H25" s="10">
        <v>26185.212</v>
      </c>
      <c r="I25" s="9"/>
      <c r="J25" s="19"/>
    </row>
    <row r="26" spans="1:10" s="7" customFormat="1" ht="15.75" x14ac:dyDescent="0.25">
      <c r="A26" s="67" t="s">
        <v>23</v>
      </c>
      <c r="B26" s="89" t="s">
        <v>22</v>
      </c>
      <c r="C26" s="49"/>
      <c r="D26" s="70" t="s">
        <v>12</v>
      </c>
      <c r="E26" s="20">
        <f>SUM(F26:H26)</f>
        <v>1419.279</v>
      </c>
      <c r="F26" s="8">
        <f>SUM(F27:F28)</f>
        <v>0</v>
      </c>
      <c r="G26" s="8">
        <f t="shared" ref="G26:H26" si="1">SUM(G27:G28)</f>
        <v>1419.279</v>
      </c>
      <c r="H26" s="8">
        <f t="shared" si="1"/>
        <v>0</v>
      </c>
      <c r="I26" s="9"/>
    </row>
    <row r="27" spans="1:10" s="7" customFormat="1" ht="57.75" customHeight="1" x14ac:dyDescent="0.25">
      <c r="A27" s="68"/>
      <c r="B27" s="90"/>
      <c r="C27" s="18" t="s">
        <v>13</v>
      </c>
      <c r="D27" s="71"/>
      <c r="E27" s="10">
        <f>SUM(F27:H27)</f>
        <v>419.28</v>
      </c>
      <c r="F27" s="10"/>
      <c r="G27" s="10">
        <v>419.28</v>
      </c>
      <c r="H27" s="10"/>
      <c r="I27" s="9"/>
    </row>
    <row r="28" spans="1:10" s="7" customFormat="1" ht="55.5" customHeight="1" x14ac:dyDescent="0.25">
      <c r="A28" s="68"/>
      <c r="B28" s="90"/>
      <c r="C28" s="18" t="s">
        <v>16</v>
      </c>
      <c r="D28" s="71"/>
      <c r="E28" s="12">
        <f t="shared" si="0"/>
        <v>999.99900000000002</v>
      </c>
      <c r="F28" s="10"/>
      <c r="G28" s="10">
        <v>999.99900000000002</v>
      </c>
      <c r="H28" s="10"/>
    </row>
    <row r="29" spans="1:10" ht="18" customHeight="1" x14ac:dyDescent="0.25">
      <c r="A29" s="57" t="s">
        <v>26</v>
      </c>
      <c r="B29" s="57"/>
      <c r="C29" s="57"/>
      <c r="D29" s="57"/>
      <c r="E29" s="57"/>
      <c r="F29" s="57"/>
      <c r="G29" s="57"/>
      <c r="H29" s="57"/>
      <c r="I29" s="6"/>
    </row>
    <row r="30" spans="1:10" ht="15.75" customHeight="1" x14ac:dyDescent="0.25">
      <c r="A30" s="78" t="s">
        <v>27</v>
      </c>
      <c r="B30" s="86" t="s">
        <v>31</v>
      </c>
      <c r="C30" s="21"/>
      <c r="D30" s="70" t="s">
        <v>12</v>
      </c>
      <c r="E30" s="20">
        <f>SUM(F30:H30)</f>
        <v>133964.04</v>
      </c>
      <c r="F30" s="20">
        <f>SUM(F31:F36)</f>
        <v>5731.4380000000001</v>
      </c>
      <c r="G30" s="20">
        <f>SUM(G31:G36)</f>
        <v>3466.607</v>
      </c>
      <c r="H30" s="20">
        <f>SUM(H31:H36)</f>
        <v>124765.995</v>
      </c>
      <c r="I30" s="6"/>
    </row>
    <row r="31" spans="1:10" ht="51" customHeight="1" x14ac:dyDescent="0.25">
      <c r="A31" s="79"/>
      <c r="B31" s="98"/>
      <c r="C31" s="48" t="s">
        <v>14</v>
      </c>
      <c r="D31" s="71"/>
      <c r="E31" s="12">
        <f t="shared" ref="E31:E36" si="2">SUM(F31:H31)</f>
        <v>1414.25</v>
      </c>
      <c r="F31" s="12">
        <f>1414.25-1414.25</f>
        <v>0</v>
      </c>
      <c r="G31" s="22">
        <v>1414.25</v>
      </c>
      <c r="H31" s="10"/>
      <c r="I31" s="6"/>
    </row>
    <row r="32" spans="1:10" ht="66.75" hidden="1" customHeight="1" x14ac:dyDescent="0.25">
      <c r="A32" s="79"/>
      <c r="B32" s="98"/>
      <c r="C32" s="18" t="s">
        <v>16</v>
      </c>
      <c r="D32" s="71"/>
      <c r="E32" s="12">
        <f t="shared" si="2"/>
        <v>0</v>
      </c>
      <c r="F32" s="12"/>
      <c r="G32" s="10"/>
      <c r="H32" s="10"/>
      <c r="I32" s="6"/>
    </row>
    <row r="33" spans="1:15" ht="57" customHeight="1" x14ac:dyDescent="0.25">
      <c r="A33" s="79"/>
      <c r="B33" s="98"/>
      <c r="C33" s="18" t="s">
        <v>17</v>
      </c>
      <c r="D33" s="71"/>
      <c r="E33" s="12">
        <f t="shared" si="2"/>
        <v>3390.65</v>
      </c>
      <c r="F33" s="12">
        <f>3519.137-120-8.487</f>
        <v>3390.65</v>
      </c>
      <c r="G33" s="10"/>
      <c r="H33" s="10"/>
      <c r="I33" s="6"/>
    </row>
    <row r="34" spans="1:15" ht="50.25" customHeight="1" x14ac:dyDescent="0.25">
      <c r="A34" s="79"/>
      <c r="B34" s="98"/>
      <c r="C34" s="48" t="s">
        <v>13</v>
      </c>
      <c r="D34" s="71"/>
      <c r="E34" s="12">
        <f t="shared" si="2"/>
        <v>2723.9270000000001</v>
      </c>
      <c r="F34" s="12">
        <f>420.824+2303.103-1840.636-45.81</f>
        <v>837.48100000000022</v>
      </c>
      <c r="G34" s="10">
        <v>1886.4459999999999</v>
      </c>
      <c r="H34" s="10"/>
      <c r="I34" s="6"/>
    </row>
    <row r="35" spans="1:15" ht="48.75" customHeight="1" x14ac:dyDescent="0.25">
      <c r="A35" s="79"/>
      <c r="B35" s="98"/>
      <c r="C35" s="48" t="s">
        <v>16</v>
      </c>
      <c r="D35" s="71"/>
      <c r="E35" s="12">
        <f t="shared" si="2"/>
        <v>1.3879999999999999</v>
      </c>
      <c r="F35" s="12"/>
      <c r="G35" s="10">
        <v>1.3879999999999999</v>
      </c>
      <c r="H35" s="10"/>
      <c r="I35" s="6"/>
    </row>
    <row r="36" spans="1:15" ht="51" customHeight="1" x14ac:dyDescent="0.25">
      <c r="A36" s="79"/>
      <c r="B36" s="99"/>
      <c r="C36" s="48" t="s">
        <v>15</v>
      </c>
      <c r="D36" s="71"/>
      <c r="E36" s="12">
        <f t="shared" si="2"/>
        <v>126433.825</v>
      </c>
      <c r="F36" s="12">
        <f>41512.758-6512.758+3500-2968.489-34047.689-531.511+520.988+30.008</f>
        <v>1503.3070000000002</v>
      </c>
      <c r="G36" s="10">
        <f>183.931-19.408</f>
        <v>164.52300000000002</v>
      </c>
      <c r="H36" s="10">
        <v>124765.995</v>
      </c>
      <c r="I36" s="6"/>
    </row>
    <row r="37" spans="1:15" s="24" customFormat="1" ht="15.75" x14ac:dyDescent="0.25">
      <c r="A37" s="78" t="s">
        <v>30</v>
      </c>
      <c r="B37" s="86" t="s">
        <v>34</v>
      </c>
      <c r="C37" s="70" t="s">
        <v>18</v>
      </c>
      <c r="D37" s="70" t="s">
        <v>12</v>
      </c>
      <c r="E37" s="23">
        <f t="shared" ref="E37" si="3">F37+G37+H37</f>
        <v>35089.122000000003</v>
      </c>
      <c r="F37" s="23">
        <f>SUM(F38:F44)</f>
        <v>31840.503000000001</v>
      </c>
      <c r="G37" s="23">
        <f t="shared" ref="G37:H37" si="4">SUM(G38:G44)</f>
        <v>3248.6190000000001</v>
      </c>
      <c r="H37" s="23">
        <f t="shared" si="4"/>
        <v>0</v>
      </c>
    </row>
    <row r="38" spans="1:15" s="24" customFormat="1" ht="38.25" customHeight="1" x14ac:dyDescent="0.25">
      <c r="A38" s="79"/>
      <c r="B38" s="87"/>
      <c r="C38" s="85"/>
      <c r="D38" s="71"/>
      <c r="E38" s="25">
        <f>F38+G38+H38</f>
        <v>4414.6080000000002</v>
      </c>
      <c r="F38" s="25">
        <f>4366.27+48.338</f>
        <v>4414.6080000000002</v>
      </c>
      <c r="G38" s="25"/>
      <c r="H38" s="25"/>
    </row>
    <row r="39" spans="1:15" s="24" customFormat="1" ht="54.75" customHeight="1" x14ac:dyDescent="0.25">
      <c r="A39" s="79"/>
      <c r="B39" s="87"/>
      <c r="C39" s="48" t="s">
        <v>11</v>
      </c>
      <c r="D39" s="71"/>
      <c r="E39" s="25">
        <f t="shared" ref="E39:E44" si="5">F39+G39+H39</f>
        <v>3399.306</v>
      </c>
      <c r="F39" s="25">
        <f>4420.946-1021.64</f>
        <v>3399.306</v>
      </c>
      <c r="G39" s="25"/>
      <c r="H39" s="25"/>
    </row>
    <row r="40" spans="1:15" s="24" customFormat="1" ht="52.5" customHeight="1" x14ac:dyDescent="0.25">
      <c r="A40" s="79"/>
      <c r="B40" s="87"/>
      <c r="C40" s="48" t="s">
        <v>13</v>
      </c>
      <c r="D40" s="71"/>
      <c r="E40" s="25">
        <f t="shared" si="5"/>
        <v>3854.848</v>
      </c>
      <c r="F40" s="25">
        <f>4161.215-277.367-29</f>
        <v>3854.848</v>
      </c>
      <c r="G40" s="25"/>
      <c r="H40" s="25"/>
    </row>
    <row r="41" spans="1:15" s="24" customFormat="1" ht="54" customHeight="1" x14ac:dyDescent="0.25">
      <c r="A41" s="79"/>
      <c r="B41" s="87"/>
      <c r="C41" s="48" t="s">
        <v>14</v>
      </c>
      <c r="D41" s="71"/>
      <c r="E41" s="25">
        <f t="shared" si="5"/>
        <v>5599.0529999999999</v>
      </c>
      <c r="F41" s="25">
        <f>5624.881-25.828</f>
        <v>5599.0529999999999</v>
      </c>
      <c r="G41" s="25"/>
      <c r="H41" s="25"/>
    </row>
    <row r="42" spans="1:15" s="24" customFormat="1" ht="54.75" customHeight="1" x14ac:dyDescent="0.25">
      <c r="A42" s="79"/>
      <c r="B42" s="87"/>
      <c r="C42" s="18" t="s">
        <v>16</v>
      </c>
      <c r="D42" s="71"/>
      <c r="E42" s="25">
        <f t="shared" si="5"/>
        <v>8681.9980000000014</v>
      </c>
      <c r="F42" s="25">
        <f>6994.724+946.872+241.783</f>
        <v>8183.3790000000008</v>
      </c>
      <c r="G42" s="25">
        <v>498.61900000000003</v>
      </c>
      <c r="H42" s="25"/>
    </row>
    <row r="43" spans="1:15" s="24" customFormat="1" ht="52.5" customHeight="1" x14ac:dyDescent="0.25">
      <c r="A43" s="79"/>
      <c r="B43" s="87"/>
      <c r="C43" s="18" t="s">
        <v>17</v>
      </c>
      <c r="D43" s="71"/>
      <c r="E43" s="25">
        <f t="shared" si="5"/>
        <v>7279.0659999999998</v>
      </c>
      <c r="F43" s="25">
        <f>4562.644-33.578</f>
        <v>4529.0659999999998</v>
      </c>
      <c r="G43" s="25">
        <v>2750</v>
      </c>
      <c r="H43" s="25"/>
    </row>
    <row r="44" spans="1:15" s="24" customFormat="1" ht="53.25" customHeight="1" x14ac:dyDescent="0.25">
      <c r="A44" s="79"/>
      <c r="B44" s="88"/>
      <c r="C44" s="18" t="s">
        <v>15</v>
      </c>
      <c r="D44" s="71"/>
      <c r="E44" s="25">
        <f t="shared" si="5"/>
        <v>1860.2429999999999</v>
      </c>
      <c r="F44" s="25">
        <f>1869.32-9.077</f>
        <v>1860.2429999999999</v>
      </c>
      <c r="G44" s="25"/>
      <c r="H44" s="25"/>
      <c r="L44" s="26"/>
      <c r="M44" s="84"/>
      <c r="N44" s="26"/>
      <c r="O44" s="26"/>
    </row>
    <row r="45" spans="1:15" s="24" customFormat="1" ht="15.75" x14ac:dyDescent="0.25">
      <c r="A45" s="79"/>
      <c r="B45" s="61" t="s">
        <v>33</v>
      </c>
      <c r="C45" s="18"/>
      <c r="D45" s="71"/>
      <c r="E45" s="27">
        <f>SUM(F45:H45)</f>
        <v>1200</v>
      </c>
      <c r="F45" s="23">
        <f>SUM(F46:F54)</f>
        <v>0</v>
      </c>
      <c r="G45" s="23">
        <f>SUM(G46:G52)</f>
        <v>1200</v>
      </c>
      <c r="H45" s="23">
        <f t="shared" ref="H45" si="6">SUM(H46:H54)</f>
        <v>0</v>
      </c>
      <c r="L45" s="26"/>
      <c r="M45" s="84"/>
      <c r="N45" s="26"/>
      <c r="O45" s="26"/>
    </row>
    <row r="46" spans="1:15" s="24" customFormat="1" ht="47.25" x14ac:dyDescent="0.25">
      <c r="A46" s="79"/>
      <c r="B46" s="62"/>
      <c r="C46" s="18" t="s">
        <v>18</v>
      </c>
      <c r="D46" s="71"/>
      <c r="E46" s="28">
        <f>SUM(F46:H46)</f>
        <v>300</v>
      </c>
      <c r="F46" s="25"/>
      <c r="G46" s="28">
        <v>300</v>
      </c>
      <c r="H46" s="25"/>
      <c r="L46" s="26"/>
      <c r="M46" s="84"/>
      <c r="N46" s="26"/>
      <c r="O46" s="26"/>
    </row>
    <row r="47" spans="1:15" s="24" customFormat="1" ht="47.25" x14ac:dyDescent="0.25">
      <c r="A47" s="79"/>
      <c r="B47" s="62"/>
      <c r="C47" s="18" t="s">
        <v>11</v>
      </c>
      <c r="D47" s="71"/>
      <c r="E47" s="28">
        <f>SUM(F47:H47)</f>
        <v>300</v>
      </c>
      <c r="F47" s="25"/>
      <c r="G47" s="28">
        <v>300</v>
      </c>
      <c r="H47" s="25"/>
      <c r="L47" s="26"/>
      <c r="M47" s="84"/>
      <c r="N47" s="26"/>
      <c r="O47" s="26"/>
    </row>
    <row r="48" spans="1:15" s="24" customFormat="1" ht="63.75" hidden="1" customHeight="1" x14ac:dyDescent="0.25">
      <c r="A48" s="79"/>
      <c r="B48" s="62"/>
      <c r="C48" s="18" t="s">
        <v>13</v>
      </c>
      <c r="D48" s="71"/>
      <c r="E48" s="28">
        <f t="shared" ref="E48:E54" si="7">F48</f>
        <v>0</v>
      </c>
      <c r="F48" s="25"/>
      <c r="G48" s="28"/>
      <c r="H48" s="25"/>
      <c r="L48" s="26"/>
      <c r="M48" s="84"/>
      <c r="N48" s="26"/>
      <c r="O48" s="26"/>
    </row>
    <row r="49" spans="1:15" s="24" customFormat="1" ht="64.5" hidden="1" customHeight="1" x14ac:dyDescent="0.25">
      <c r="A49" s="79"/>
      <c r="B49" s="62"/>
      <c r="C49" s="18" t="s">
        <v>14</v>
      </c>
      <c r="D49" s="71"/>
      <c r="E49" s="28">
        <f t="shared" si="7"/>
        <v>0</v>
      </c>
      <c r="F49" s="25"/>
      <c r="G49" s="28"/>
      <c r="H49" s="25"/>
      <c r="L49" s="26"/>
      <c r="M49" s="84"/>
      <c r="N49" s="26"/>
      <c r="O49" s="26"/>
    </row>
    <row r="50" spans="1:15" s="24" customFormat="1" ht="54.75" customHeight="1" x14ac:dyDescent="0.25">
      <c r="A50" s="79"/>
      <c r="B50" s="62"/>
      <c r="C50" s="18" t="s">
        <v>16</v>
      </c>
      <c r="D50" s="71"/>
      <c r="E50" s="28">
        <f>SUM(F50:H50)</f>
        <v>300</v>
      </c>
      <c r="F50" s="25"/>
      <c r="G50" s="28">
        <v>300</v>
      </c>
      <c r="H50" s="25"/>
      <c r="L50" s="26"/>
      <c r="M50" s="84"/>
      <c r="N50" s="26"/>
      <c r="O50" s="26"/>
    </row>
    <row r="51" spans="1:15" s="24" customFormat="1" ht="47.25" hidden="1" x14ac:dyDescent="0.25">
      <c r="A51" s="79"/>
      <c r="B51" s="62"/>
      <c r="C51" s="18" t="s">
        <v>17</v>
      </c>
      <c r="D51" s="71"/>
      <c r="E51" s="28">
        <f t="shared" si="7"/>
        <v>0</v>
      </c>
      <c r="F51" s="25"/>
      <c r="G51" s="28"/>
      <c r="H51" s="25"/>
      <c r="L51" s="26"/>
      <c r="M51" s="84"/>
      <c r="N51" s="26"/>
      <c r="O51" s="26"/>
    </row>
    <row r="52" spans="1:15" s="24" customFormat="1" ht="47.25" x14ac:dyDescent="0.25">
      <c r="A52" s="79"/>
      <c r="B52" s="63"/>
      <c r="C52" s="18" t="s">
        <v>15</v>
      </c>
      <c r="D52" s="71"/>
      <c r="E52" s="28">
        <f>SUM(F52:H52)</f>
        <v>300</v>
      </c>
      <c r="F52" s="25"/>
      <c r="G52" s="28">
        <v>300</v>
      </c>
      <c r="H52" s="25"/>
      <c r="L52" s="26"/>
      <c r="M52" s="84"/>
      <c r="N52" s="26"/>
      <c r="O52" s="26"/>
    </row>
    <row r="53" spans="1:15" s="24" customFormat="1" ht="65.25" hidden="1" customHeight="1" x14ac:dyDescent="0.25">
      <c r="A53" s="79"/>
      <c r="B53" s="61" t="s">
        <v>41</v>
      </c>
      <c r="C53" s="18" t="s">
        <v>16</v>
      </c>
      <c r="D53" s="71"/>
      <c r="E53" s="28">
        <f t="shared" si="7"/>
        <v>0</v>
      </c>
      <c r="F53" s="25"/>
      <c r="G53" s="28"/>
      <c r="H53" s="25"/>
      <c r="L53" s="26"/>
      <c r="M53" s="84"/>
      <c r="N53" s="26"/>
      <c r="O53" s="26"/>
    </row>
    <row r="54" spans="1:15" s="24" customFormat="1" ht="47.25" hidden="1" x14ac:dyDescent="0.25">
      <c r="A54" s="80"/>
      <c r="B54" s="63"/>
      <c r="C54" s="18" t="s">
        <v>15</v>
      </c>
      <c r="D54" s="72"/>
      <c r="E54" s="28">
        <f t="shared" si="7"/>
        <v>0</v>
      </c>
      <c r="F54" s="25"/>
      <c r="G54" s="28"/>
      <c r="H54" s="25"/>
      <c r="L54" s="26"/>
      <c r="M54" s="84"/>
      <c r="N54" s="26"/>
      <c r="O54" s="26"/>
    </row>
    <row r="55" spans="1:15" s="7" customFormat="1" ht="15.75" customHeight="1" x14ac:dyDescent="0.25">
      <c r="A55" s="92" t="s">
        <v>23</v>
      </c>
      <c r="B55" s="89" t="s">
        <v>32</v>
      </c>
      <c r="C55" s="18"/>
      <c r="D55" s="70" t="s">
        <v>12</v>
      </c>
      <c r="E55" s="20">
        <f>SUM(F55:H55)</f>
        <v>3164.7870000000003</v>
      </c>
      <c r="F55" s="8">
        <f>SUM(F56:F57)</f>
        <v>1637.4250000000002</v>
      </c>
      <c r="G55" s="8">
        <f t="shared" ref="G55:H55" si="8">SUM(G56:G57)</f>
        <v>1527.3619999999999</v>
      </c>
      <c r="H55" s="8">
        <f t="shared" si="8"/>
        <v>0</v>
      </c>
      <c r="I55" s="9"/>
      <c r="L55" s="29"/>
      <c r="M55" s="84"/>
      <c r="N55" s="29"/>
      <c r="O55" s="29"/>
    </row>
    <row r="56" spans="1:15" s="7" customFormat="1" ht="57" customHeight="1" x14ac:dyDescent="0.25">
      <c r="A56" s="92"/>
      <c r="B56" s="90"/>
      <c r="C56" s="48" t="s">
        <v>16</v>
      </c>
      <c r="D56" s="71"/>
      <c r="E56" s="12">
        <f t="shared" ref="E56:E57" si="9">SUM(F56:H56)</f>
        <v>2074.0330000000004</v>
      </c>
      <c r="F56" s="12">
        <f>2361.641-724.216</f>
        <v>1637.4250000000002</v>
      </c>
      <c r="G56" s="12">
        <v>436.608</v>
      </c>
      <c r="H56" s="12"/>
      <c r="L56" s="29"/>
      <c r="M56" s="84"/>
      <c r="N56" s="29"/>
      <c r="O56" s="29"/>
    </row>
    <row r="57" spans="1:15" s="24" customFormat="1" ht="69" customHeight="1" x14ac:dyDescent="0.25">
      <c r="A57" s="92"/>
      <c r="B57" s="91"/>
      <c r="C57" s="18" t="s">
        <v>15</v>
      </c>
      <c r="D57" s="72"/>
      <c r="E57" s="12">
        <f t="shared" si="9"/>
        <v>1090.7539999999999</v>
      </c>
      <c r="F57" s="25"/>
      <c r="G57" s="25">
        <v>1090.7539999999999</v>
      </c>
      <c r="H57" s="25"/>
      <c r="L57" s="26"/>
      <c r="M57" s="84"/>
      <c r="N57" s="26"/>
      <c r="O57" s="26"/>
    </row>
    <row r="58" spans="1:15" s="7" customFormat="1" ht="15.75" x14ac:dyDescent="0.25">
      <c r="A58" s="66" t="s">
        <v>28</v>
      </c>
      <c r="B58" s="93"/>
      <c r="C58" s="93"/>
      <c r="D58" s="93"/>
      <c r="E58" s="93"/>
      <c r="F58" s="93"/>
      <c r="G58" s="93"/>
      <c r="H58" s="94"/>
      <c r="L58" s="29"/>
      <c r="M58" s="84"/>
      <c r="N58" s="29"/>
      <c r="O58" s="29"/>
    </row>
    <row r="59" spans="1:15" s="7" customFormat="1" ht="15.75" x14ac:dyDescent="0.25">
      <c r="A59" s="67" t="s">
        <v>20</v>
      </c>
      <c r="B59" s="89" t="s">
        <v>29</v>
      </c>
      <c r="C59" s="18"/>
      <c r="D59" s="70" t="s">
        <v>12</v>
      </c>
      <c r="E59" s="8">
        <f>F59+G59+H59</f>
        <v>106636.98329400001</v>
      </c>
      <c r="F59" s="30">
        <f>F60+F62+F63+F65+F67+F68+F69</f>
        <v>35771.122000000003</v>
      </c>
      <c r="G59" s="30">
        <f t="shared" ref="G59:H59" si="10">G60+G62+G63+G65+G67+G68+G69</f>
        <v>34367.536999999997</v>
      </c>
      <c r="H59" s="30">
        <f t="shared" si="10"/>
        <v>36498.324293999998</v>
      </c>
      <c r="I59" s="9"/>
      <c r="L59" s="29"/>
      <c r="M59" s="84"/>
      <c r="N59" s="29"/>
      <c r="O59" s="29"/>
    </row>
    <row r="60" spans="1:15" s="7" customFormat="1" ht="53.25" customHeight="1" x14ac:dyDescent="0.25">
      <c r="A60" s="68"/>
      <c r="B60" s="90"/>
      <c r="C60" s="48" t="s">
        <v>11</v>
      </c>
      <c r="D60" s="71"/>
      <c r="E60" s="12">
        <f t="shared" ref="E60:E74" si="11">SUM(F60:H60)</f>
        <v>11768.687496</v>
      </c>
      <c r="F60" s="12">
        <f>4996.056-494.806+15-623.749+49.275-915.985</f>
        <v>3025.7910000000002</v>
      </c>
      <c r="G60" s="12">
        <f>3174.687+291.321+774</f>
        <v>4240.0079999999998</v>
      </c>
      <c r="H60" s="10">
        <f>G60*1.062</f>
        <v>4502.8884960000005</v>
      </c>
      <c r="L60" s="29"/>
      <c r="M60" s="84"/>
      <c r="N60" s="29"/>
      <c r="O60" s="29"/>
    </row>
    <row r="61" spans="1:15" s="7" customFormat="1" ht="31.5" x14ac:dyDescent="0.25">
      <c r="A61" s="68"/>
      <c r="B61" s="90"/>
      <c r="C61" s="14" t="s">
        <v>35</v>
      </c>
      <c r="D61" s="71"/>
      <c r="E61" s="15">
        <f>SUM(F61:H61)</f>
        <v>220.86099999999999</v>
      </c>
      <c r="F61" s="15">
        <v>113.208</v>
      </c>
      <c r="G61" s="15">
        <v>107.65300000000001</v>
      </c>
      <c r="H61" s="16"/>
      <c r="M61" s="50"/>
    </row>
    <row r="62" spans="1:15" s="7" customFormat="1" ht="55.5" customHeight="1" x14ac:dyDescent="0.25">
      <c r="A62" s="68"/>
      <c r="B62" s="90"/>
      <c r="C62" s="48" t="s">
        <v>18</v>
      </c>
      <c r="D62" s="71"/>
      <c r="E62" s="12">
        <f t="shared" si="11"/>
        <v>11631.622016000001</v>
      </c>
      <c r="F62" s="12">
        <f>9028.404-5000+15+20+306.974-20-132.702-128.454+22.352</f>
        <v>4111.5740000000005</v>
      </c>
      <c r="G62" s="12">
        <f>2644+174.968+828</f>
        <v>3646.9679999999998</v>
      </c>
      <c r="H62" s="10">
        <f>G62*1.062</f>
        <v>3873.0800159999999</v>
      </c>
      <c r="I62" s="9"/>
    </row>
    <row r="63" spans="1:15" s="7" customFormat="1" ht="49.5" customHeight="1" x14ac:dyDescent="0.25">
      <c r="A63" s="68"/>
      <c r="B63" s="90"/>
      <c r="C63" s="48" t="s">
        <v>13</v>
      </c>
      <c r="D63" s="71"/>
      <c r="E63" s="12">
        <f t="shared" si="11"/>
        <v>16980.507116000001</v>
      </c>
      <c r="F63" s="12">
        <f>4834.959+13.769+300+3200+100+450-100+15+20+47.962-20+138.37-3004-272.048</f>
        <v>5724.0119999999997</v>
      </c>
      <c r="G63" s="12">
        <v>5459.018</v>
      </c>
      <c r="H63" s="10">
        <f>G63*1.062</f>
        <v>5797.477116</v>
      </c>
      <c r="I63" s="31"/>
    </row>
    <row r="64" spans="1:15" s="7" customFormat="1" ht="31.5" x14ac:dyDescent="0.25">
      <c r="A64" s="68"/>
      <c r="B64" s="90"/>
      <c r="C64" s="14" t="s">
        <v>35</v>
      </c>
      <c r="D64" s="71"/>
      <c r="E64" s="15">
        <f>SUM(F64:H64)</f>
        <v>579.95499999999993</v>
      </c>
      <c r="F64" s="15">
        <v>291.93700000000001</v>
      </c>
      <c r="G64" s="15">
        <v>288.01799999999997</v>
      </c>
      <c r="H64" s="16"/>
      <c r="I64" s="31"/>
    </row>
    <row r="65" spans="1:12" s="5" customFormat="1" ht="54.75" customHeight="1" x14ac:dyDescent="0.25">
      <c r="A65" s="68"/>
      <c r="B65" s="90"/>
      <c r="C65" s="48" t="s">
        <v>14</v>
      </c>
      <c r="D65" s="71"/>
      <c r="E65" s="12">
        <f t="shared" si="11"/>
        <v>16810.470251999999</v>
      </c>
      <c r="F65" s="12">
        <f>5802.001+300-331.8+15+20+199-20+60.336-551.479-92.141</f>
        <v>5400.9170000000004</v>
      </c>
      <c r="G65" s="12">
        <f>5173.246+360</f>
        <v>5533.2460000000001</v>
      </c>
      <c r="H65" s="10">
        <f>G65*1.062</f>
        <v>5876.3072520000005</v>
      </c>
      <c r="J65" s="32"/>
    </row>
    <row r="66" spans="1:12" s="5" customFormat="1" ht="31.5" x14ac:dyDescent="0.25">
      <c r="A66" s="68"/>
      <c r="B66" s="90"/>
      <c r="C66" s="14" t="s">
        <v>35</v>
      </c>
      <c r="D66" s="71"/>
      <c r="E66" s="15">
        <f>SUM(F66:H66)</f>
        <v>651.5</v>
      </c>
      <c r="F66" s="15">
        <v>321.27</v>
      </c>
      <c r="G66" s="15">
        <v>330.23</v>
      </c>
      <c r="H66" s="16"/>
    </row>
    <row r="67" spans="1:12" ht="52.5" customHeight="1" x14ac:dyDescent="0.25">
      <c r="A67" s="68"/>
      <c r="B67" s="90"/>
      <c r="C67" s="18" t="s">
        <v>15</v>
      </c>
      <c r="D67" s="71"/>
      <c r="E67" s="12">
        <f t="shared" si="11"/>
        <v>17252.956876</v>
      </c>
      <c r="F67" s="12">
        <f>14178.606-700-5779+15-611.498+116.6-200-148.917</f>
        <v>6870.7910000000002</v>
      </c>
      <c r="G67" s="12">
        <f>4477+557.998</f>
        <v>5034.9979999999996</v>
      </c>
      <c r="H67" s="10">
        <f>G67*1.062</f>
        <v>5347.1678759999995</v>
      </c>
      <c r="I67" s="33"/>
    </row>
    <row r="68" spans="1:12" ht="51.75" customHeight="1" x14ac:dyDescent="0.25">
      <c r="A68" s="68"/>
      <c r="B68" s="90"/>
      <c r="C68" s="18" t="s">
        <v>16</v>
      </c>
      <c r="D68" s="71"/>
      <c r="E68" s="12">
        <f t="shared" si="11"/>
        <v>18580.482975999999</v>
      </c>
      <c r="F68" s="12">
        <f>5951.943-217+15+194.385+671.098-470.466+183.02</f>
        <v>6327.9800000000005</v>
      </c>
      <c r="G68" s="12">
        <f>5044.312+897.736</f>
        <v>5942.0479999999998</v>
      </c>
      <c r="H68" s="10">
        <f>G68*1.062</f>
        <v>6310.454976</v>
      </c>
    </row>
    <row r="69" spans="1:12" ht="51.75" customHeight="1" x14ac:dyDescent="0.25">
      <c r="A69" s="69"/>
      <c r="B69" s="91"/>
      <c r="C69" s="18" t="s">
        <v>17</v>
      </c>
      <c r="D69" s="72"/>
      <c r="E69" s="12">
        <f t="shared" si="11"/>
        <v>13612.256562000002</v>
      </c>
      <c r="F69" s="12">
        <f>4889.809+15-153.487-100.002-120-221.263</f>
        <v>4310.0569999999998</v>
      </c>
      <c r="G69" s="12">
        <f>3838.951+294.3+378</f>
        <v>4511.2510000000002</v>
      </c>
      <c r="H69" s="10">
        <f>G69*1.062</f>
        <v>4790.9485620000005</v>
      </c>
      <c r="I69" s="6"/>
      <c r="J69" s="34"/>
    </row>
    <row r="70" spans="1:12" ht="15.75" hidden="1" customHeight="1" x14ac:dyDescent="0.25">
      <c r="A70" s="67" t="s">
        <v>23</v>
      </c>
      <c r="B70" s="89" t="s">
        <v>24</v>
      </c>
      <c r="C70" s="34"/>
      <c r="D70" s="70" t="s">
        <v>12</v>
      </c>
      <c r="E70" s="20">
        <f>F70+G70+H70</f>
        <v>0</v>
      </c>
      <c r="F70" s="20">
        <f>SUM(F71:F74)</f>
        <v>0</v>
      </c>
      <c r="G70" s="20">
        <f>SUM(G71:G74)</f>
        <v>0</v>
      </c>
      <c r="H70" s="20">
        <f>SUM(H71:H74)</f>
        <v>0</v>
      </c>
      <c r="I70" s="6"/>
    </row>
    <row r="71" spans="1:12" ht="49.5" hidden="1" customHeight="1" x14ac:dyDescent="0.25">
      <c r="A71" s="68"/>
      <c r="B71" s="90"/>
      <c r="C71" s="48" t="s">
        <v>11</v>
      </c>
      <c r="D71" s="71"/>
      <c r="E71" s="12">
        <f t="shared" si="11"/>
        <v>0</v>
      </c>
      <c r="F71" s="12">
        <f>392.129-392.129</f>
        <v>0</v>
      </c>
      <c r="G71" s="12"/>
      <c r="H71" s="12"/>
      <c r="L71" s="6"/>
    </row>
    <row r="72" spans="1:12" ht="66" hidden="1" customHeight="1" x14ac:dyDescent="0.25">
      <c r="A72" s="68"/>
      <c r="B72" s="90"/>
      <c r="C72" s="48" t="s">
        <v>14</v>
      </c>
      <c r="D72" s="71"/>
      <c r="E72" s="12">
        <f t="shared" si="11"/>
        <v>0</v>
      </c>
      <c r="F72" s="12">
        <f>254.151-254.151</f>
        <v>0</v>
      </c>
      <c r="G72" s="12"/>
      <c r="H72" s="12"/>
      <c r="L72" s="6"/>
    </row>
    <row r="73" spans="1:12" ht="62.25" hidden="1" customHeight="1" x14ac:dyDescent="0.25">
      <c r="A73" s="68"/>
      <c r="B73" s="90"/>
      <c r="C73" s="18" t="s">
        <v>16</v>
      </c>
      <c r="D73" s="71"/>
      <c r="E73" s="12">
        <f t="shared" si="11"/>
        <v>0</v>
      </c>
      <c r="F73" s="12">
        <f>841.986-841.986</f>
        <v>0</v>
      </c>
      <c r="G73" s="12"/>
      <c r="H73" s="12"/>
      <c r="L73" s="6"/>
    </row>
    <row r="74" spans="1:12" ht="13.5" hidden="1" customHeight="1" x14ac:dyDescent="0.25">
      <c r="A74" s="69"/>
      <c r="B74" s="91"/>
      <c r="C74" s="18" t="s">
        <v>15</v>
      </c>
      <c r="D74" s="72"/>
      <c r="E74" s="12">
        <f t="shared" si="11"/>
        <v>0</v>
      </c>
      <c r="F74" s="12">
        <f>998.7-998.7</f>
        <v>0</v>
      </c>
      <c r="G74" s="12"/>
      <c r="H74" s="12"/>
      <c r="L74" s="6"/>
    </row>
    <row r="75" spans="1:12" ht="15.75" x14ac:dyDescent="0.25">
      <c r="A75" s="57" t="s">
        <v>42</v>
      </c>
      <c r="B75" s="57"/>
      <c r="C75" s="57"/>
      <c r="D75" s="57"/>
      <c r="E75" s="57"/>
      <c r="F75" s="57"/>
      <c r="G75" s="57"/>
      <c r="H75" s="57"/>
      <c r="L75" s="6"/>
    </row>
    <row r="76" spans="1:12" ht="15.75" customHeight="1" x14ac:dyDescent="0.25">
      <c r="A76" s="78" t="s">
        <v>42</v>
      </c>
      <c r="B76" s="61" t="s">
        <v>45</v>
      </c>
      <c r="C76" s="18"/>
      <c r="D76" s="81" t="s">
        <v>12</v>
      </c>
      <c r="E76" s="8">
        <f>F76+G76+H76</f>
        <v>934.29100000000005</v>
      </c>
      <c r="F76" s="8">
        <f>SUM(F77:F78)</f>
        <v>479.58400000000006</v>
      </c>
      <c r="G76" s="8">
        <f t="shared" ref="G76:H76" si="12">SUM(G77:G77)</f>
        <v>454.70699999999999</v>
      </c>
      <c r="H76" s="8">
        <f t="shared" si="12"/>
        <v>0</v>
      </c>
      <c r="L76" s="6"/>
    </row>
    <row r="77" spans="1:12" ht="54.75" customHeight="1" x14ac:dyDescent="0.25">
      <c r="A77" s="79"/>
      <c r="B77" s="62"/>
      <c r="C77" s="18" t="s">
        <v>16</v>
      </c>
      <c r="D77" s="82"/>
      <c r="E77" s="10">
        <f t="shared" ref="E77:E78" si="13">SUM(F77:H77)</f>
        <v>884.39499999999998</v>
      </c>
      <c r="F77" s="10">
        <f>619.032-189.344</f>
        <v>429.68800000000005</v>
      </c>
      <c r="G77" s="10">
        <f>83.828+352.908+17.971</f>
        <v>454.70699999999999</v>
      </c>
      <c r="H77" s="10"/>
      <c r="I77" s="35"/>
      <c r="L77" s="6"/>
    </row>
    <row r="78" spans="1:12" ht="60" customHeight="1" x14ac:dyDescent="0.25">
      <c r="A78" s="80"/>
      <c r="B78" s="63"/>
      <c r="C78" s="18" t="s">
        <v>17</v>
      </c>
      <c r="D78" s="83"/>
      <c r="E78" s="10">
        <f t="shared" si="13"/>
        <v>49.896000000000001</v>
      </c>
      <c r="F78" s="10">
        <f>87.84-37.944</f>
        <v>49.896000000000001</v>
      </c>
      <c r="G78" s="10"/>
      <c r="H78" s="10"/>
      <c r="I78" s="35"/>
      <c r="L78" s="6"/>
    </row>
    <row r="79" spans="1:12" ht="15.75" hidden="1" x14ac:dyDescent="0.25">
      <c r="A79" s="57" t="s">
        <v>38</v>
      </c>
      <c r="B79" s="57"/>
      <c r="C79" s="57"/>
      <c r="D79" s="57"/>
      <c r="E79" s="57"/>
      <c r="F79" s="57"/>
      <c r="G79" s="57"/>
      <c r="H79" s="57"/>
      <c r="L79" s="6"/>
    </row>
    <row r="80" spans="1:12" ht="15" hidden="1" customHeight="1" x14ac:dyDescent="0.25">
      <c r="A80" s="58" t="s">
        <v>39</v>
      </c>
      <c r="B80" s="60" t="s">
        <v>40</v>
      </c>
      <c r="C80" s="18"/>
      <c r="D80" s="59" t="s">
        <v>12</v>
      </c>
      <c r="E80" s="8">
        <f>F80+G80+H80</f>
        <v>0</v>
      </c>
      <c r="F80" s="8">
        <f>F81</f>
        <v>0</v>
      </c>
      <c r="G80" s="8">
        <f t="shared" ref="G80:H80" si="14">SUM(G81:G81)</f>
        <v>0</v>
      </c>
      <c r="H80" s="8">
        <f t="shared" si="14"/>
        <v>0</v>
      </c>
      <c r="L80" s="6"/>
    </row>
    <row r="81" spans="1:12" ht="47.25" hidden="1" x14ac:dyDescent="0.25">
      <c r="A81" s="58"/>
      <c r="B81" s="60"/>
      <c r="C81" s="18" t="s">
        <v>17</v>
      </c>
      <c r="D81" s="59"/>
      <c r="E81" s="10">
        <f t="shared" ref="E81" si="15">SUM(F81:H81)</f>
        <v>0</v>
      </c>
      <c r="F81" s="10"/>
      <c r="G81" s="10"/>
      <c r="H81" s="10"/>
      <c r="I81" s="35"/>
      <c r="L81" s="6"/>
    </row>
    <row r="82" spans="1:12" ht="15" customHeight="1" x14ac:dyDescent="0.25">
      <c r="A82" s="65" t="s">
        <v>36</v>
      </c>
      <c r="B82" s="65"/>
      <c r="C82" s="65"/>
      <c r="D82" s="65"/>
      <c r="E82" s="65"/>
      <c r="F82" s="65"/>
      <c r="G82" s="65"/>
      <c r="H82" s="66"/>
      <c r="I82" s="35"/>
    </row>
    <row r="83" spans="1:12" ht="15.75" x14ac:dyDescent="0.25">
      <c r="A83" s="67" t="s">
        <v>36</v>
      </c>
      <c r="B83" s="61" t="s">
        <v>37</v>
      </c>
      <c r="C83" s="18"/>
      <c r="D83" s="18"/>
      <c r="E83" s="8">
        <f t="shared" ref="E83:E88" si="16">SUM(F83:H83)</f>
        <v>1066.8340000000001</v>
      </c>
      <c r="F83" s="8">
        <f>SUM(F84:F89)</f>
        <v>755.95</v>
      </c>
      <c r="G83" s="8">
        <f>SUM(G84:G89)</f>
        <v>310.88400000000001</v>
      </c>
      <c r="H83" s="8">
        <f t="shared" ref="H83" si="17">H84</f>
        <v>0</v>
      </c>
      <c r="I83" s="6"/>
      <c r="L83" s="36"/>
    </row>
    <row r="84" spans="1:12" ht="47.25" hidden="1" x14ac:dyDescent="0.25">
      <c r="A84" s="68"/>
      <c r="B84" s="62"/>
      <c r="C84" s="48" t="s">
        <v>18</v>
      </c>
      <c r="D84" s="70" t="s">
        <v>49</v>
      </c>
      <c r="E84" s="10">
        <f t="shared" si="16"/>
        <v>0</v>
      </c>
      <c r="F84" s="10"/>
      <c r="G84" s="10"/>
      <c r="H84" s="10"/>
    </row>
    <row r="85" spans="1:12" ht="65.25" hidden="1" customHeight="1" x14ac:dyDescent="0.25">
      <c r="A85" s="68"/>
      <c r="B85" s="62"/>
      <c r="C85" s="48" t="s">
        <v>13</v>
      </c>
      <c r="D85" s="71"/>
      <c r="E85" s="10">
        <f t="shared" si="16"/>
        <v>0</v>
      </c>
      <c r="F85" s="12"/>
      <c r="G85" s="12"/>
      <c r="H85" s="12"/>
    </row>
    <row r="86" spans="1:12" ht="47.25" hidden="1" x14ac:dyDescent="0.25">
      <c r="A86" s="68"/>
      <c r="B86" s="62"/>
      <c r="C86" s="48" t="s">
        <v>11</v>
      </c>
      <c r="D86" s="71"/>
      <c r="E86" s="10">
        <f t="shared" si="16"/>
        <v>0</v>
      </c>
      <c r="F86" s="12"/>
      <c r="G86" s="12"/>
      <c r="H86" s="12"/>
    </row>
    <row r="87" spans="1:12" ht="52.5" customHeight="1" x14ac:dyDescent="0.25">
      <c r="A87" s="68"/>
      <c r="B87" s="62"/>
      <c r="C87" s="18" t="s">
        <v>15</v>
      </c>
      <c r="D87" s="71"/>
      <c r="E87" s="10">
        <f t="shared" si="16"/>
        <v>678.64099999999996</v>
      </c>
      <c r="F87" s="12">
        <f>194.359+242.141</f>
        <v>436.5</v>
      </c>
      <c r="G87" s="12">
        <f>242.141</f>
        <v>242.14099999999999</v>
      </c>
      <c r="H87" s="12"/>
      <c r="J87" s="37"/>
    </row>
    <row r="88" spans="1:12" ht="49.5" customHeight="1" x14ac:dyDescent="0.25">
      <c r="A88" s="68"/>
      <c r="B88" s="62"/>
      <c r="C88" s="18" t="s">
        <v>14</v>
      </c>
      <c r="D88" s="71"/>
      <c r="E88" s="10">
        <f t="shared" si="16"/>
        <v>50</v>
      </c>
      <c r="F88" s="12">
        <v>50</v>
      </c>
      <c r="G88" s="12"/>
      <c r="H88" s="12"/>
      <c r="J88" s="37"/>
    </row>
    <row r="89" spans="1:12" ht="51" customHeight="1" x14ac:dyDescent="0.25">
      <c r="A89" s="69"/>
      <c r="B89" s="63"/>
      <c r="C89" s="18" t="s">
        <v>16</v>
      </c>
      <c r="D89" s="72"/>
      <c r="E89" s="12">
        <f t="shared" ref="E89" si="18">SUM(F89:H89)</f>
        <v>338.19299999999998</v>
      </c>
      <c r="F89" s="12">
        <f>199.45+70</f>
        <v>269.45</v>
      </c>
      <c r="G89" s="12">
        <v>68.742999999999995</v>
      </c>
      <c r="H89" s="12"/>
      <c r="J89" s="38"/>
      <c r="K89" s="6"/>
    </row>
    <row r="90" spans="1:12" ht="15.75" x14ac:dyDescent="0.25">
      <c r="A90" s="51" t="s">
        <v>21</v>
      </c>
      <c r="B90" s="39"/>
      <c r="C90" s="40"/>
      <c r="D90" s="18"/>
      <c r="E90" s="8">
        <f>SUM(F90:H90)</f>
        <v>514840.31729400007</v>
      </c>
      <c r="F90" s="8">
        <f>F17+F30+F55+F59+F70+F76+F37+F83</f>
        <v>148680.51100000003</v>
      </c>
      <c r="G90" s="8">
        <f>G17+G30+G55+G59+G70+G76+G37+G83+G26+G45</f>
        <v>85114.581999999995</v>
      </c>
      <c r="H90" s="8">
        <f>H17+H30+H55+H59+H70+H76+H37+H83+H26</f>
        <v>281045.22429400001</v>
      </c>
      <c r="K90" s="6"/>
    </row>
    <row r="91" spans="1:12" ht="13.5" customHeight="1" x14ac:dyDescent="0.25">
      <c r="A91" s="41"/>
      <c r="B91" s="42"/>
      <c r="C91" s="43"/>
      <c r="D91" s="44"/>
      <c r="E91" s="45"/>
      <c r="F91" s="45"/>
      <c r="G91" s="45"/>
      <c r="H91" s="45"/>
      <c r="K91" s="6"/>
    </row>
    <row r="92" spans="1:12" ht="75" customHeight="1" x14ac:dyDescent="0.25">
      <c r="A92" s="41"/>
      <c r="B92" s="42"/>
      <c r="C92" s="43"/>
      <c r="D92" s="44"/>
      <c r="E92" s="45"/>
      <c r="F92" s="45"/>
      <c r="G92" s="45"/>
      <c r="H92" s="45"/>
      <c r="K92" s="6"/>
    </row>
    <row r="93" spans="1:12" ht="23.25" x14ac:dyDescent="0.25">
      <c r="A93" s="64" t="s">
        <v>19</v>
      </c>
      <c r="B93" s="64"/>
      <c r="C93" s="53"/>
      <c r="D93" s="53"/>
      <c r="E93" s="53"/>
      <c r="F93" s="46"/>
      <c r="G93" s="64" t="s">
        <v>48</v>
      </c>
      <c r="H93" s="64"/>
      <c r="K93" s="6"/>
    </row>
    <row r="100" spans="6:6" x14ac:dyDescent="0.25">
      <c r="F100" s="47"/>
    </row>
  </sheetData>
  <mergeCells count="56">
    <mergeCell ref="A29:H29"/>
    <mergeCell ref="A58:H58"/>
    <mergeCell ref="D59:D69"/>
    <mergeCell ref="A37:A54"/>
    <mergeCell ref="B53:B54"/>
    <mergeCell ref="D37:D54"/>
    <mergeCell ref="A30:A36"/>
    <mergeCell ref="D30:D36"/>
    <mergeCell ref="B30:B36"/>
    <mergeCell ref="B55:B57"/>
    <mergeCell ref="A16:H16"/>
    <mergeCell ref="A17:A25"/>
    <mergeCell ref="B17:B25"/>
    <mergeCell ref="D17:D25"/>
    <mergeCell ref="A26:A28"/>
    <mergeCell ref="B26:B28"/>
    <mergeCell ref="D26:D28"/>
    <mergeCell ref="B76:B78"/>
    <mergeCell ref="A76:A78"/>
    <mergeCell ref="D76:D78"/>
    <mergeCell ref="M44:M60"/>
    <mergeCell ref="C37:C38"/>
    <mergeCell ref="B37:B44"/>
    <mergeCell ref="A59:A69"/>
    <mergeCell ref="A75:H75"/>
    <mergeCell ref="B70:B74"/>
    <mergeCell ref="D70:D74"/>
    <mergeCell ref="A70:A74"/>
    <mergeCell ref="B59:B69"/>
    <mergeCell ref="B45:B52"/>
    <mergeCell ref="A55:A57"/>
    <mergeCell ref="D55:D57"/>
    <mergeCell ref="F1:H1"/>
    <mergeCell ref="F2:H2"/>
    <mergeCell ref="F3:H3"/>
    <mergeCell ref="F5:H5"/>
    <mergeCell ref="F6:H6"/>
    <mergeCell ref="A8:H8"/>
    <mergeCell ref="A9:H9"/>
    <mergeCell ref="A12:A14"/>
    <mergeCell ref="B12:B14"/>
    <mergeCell ref="C12:C14"/>
    <mergeCell ref="D12:D14"/>
    <mergeCell ref="E12:H12"/>
    <mergeCell ref="F13:H13"/>
    <mergeCell ref="E13:E14"/>
    <mergeCell ref="A93:B93"/>
    <mergeCell ref="G93:H93"/>
    <mergeCell ref="A82:H82"/>
    <mergeCell ref="A83:A89"/>
    <mergeCell ref="D84:D89"/>
    <mergeCell ref="A79:H79"/>
    <mergeCell ref="A80:A81"/>
    <mergeCell ref="D80:D81"/>
    <mergeCell ref="B80:B81"/>
    <mergeCell ref="B83:B89"/>
  </mergeCells>
  <printOptions horizontalCentered="1"/>
  <pageMargins left="0.39370078740157483" right="0" top="1.1811023622047245" bottom="0" header="0.78740157480314965" footer="0"/>
  <pageSetup paperSize="9" scale="79" fitToHeight="3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1.2.РА</vt:lpstr>
      <vt:lpstr>'додаток 1.2.РА'!Область_друку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2021-03-23T12:04:03Z</dcterms:modified>
</cp:coreProperties>
</file>